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codeName="ThisWorkbook"/>
  <mc:AlternateContent xmlns:mc="http://schemas.openxmlformats.org/markup-compatibility/2006">
    <mc:Choice Requires="x15">
      <x15ac:absPath xmlns:x15ac="http://schemas.microsoft.com/office/spreadsheetml/2010/11/ac" url="D:\Sorbonne\S&amp;T Sorbonne\Projet\"/>
    </mc:Choice>
  </mc:AlternateContent>
  <xr:revisionPtr revIDLastSave="0" documentId="13_ncr:1_{5E74235D-A29D-417E-BAED-106474D4D959}" xr6:coauthVersionLast="47" xr6:coauthVersionMax="47" xr10:uidLastSave="{00000000-0000-0000-0000-000000000000}"/>
  <bookViews>
    <workbookView xWindow="-120" yWindow="-120" windowWidth="29040" windowHeight="1572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6" l="1"/>
  <c r="C10" i="6"/>
  <c r="E10" i="6" s="1"/>
  <c r="C10" i="8" s="1"/>
  <c r="C34" i="6"/>
  <c r="C140" i="6" s="1"/>
  <c r="B45" i="1"/>
  <c r="B43" i="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O7" i="6"/>
  <c r="O8" i="6"/>
  <c r="K25" i="7" s="1"/>
  <c r="M7" i="6"/>
  <c r="C15" i="6"/>
  <c r="H6" i="7" s="1"/>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H176" i="6"/>
  <c r="C177" i="6"/>
  <c r="F177" i="6"/>
  <c r="G177" i="6"/>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C163" i="6"/>
  <c r="O21" i="6"/>
  <c r="C167" i="6"/>
  <c r="C166" i="6"/>
  <c r="D161" i="6"/>
  <c r="E161" i="6" s="1"/>
  <c r="D158" i="6"/>
  <c r="E158" i="6" s="1"/>
  <c r="D162" i="6"/>
  <c r="E162" i="6" s="1"/>
  <c r="D160" i="6"/>
  <c r="E160" i="6" s="1"/>
  <c r="D159" i="6"/>
  <c r="E159" i="6" s="1"/>
  <c r="D166" i="6"/>
  <c r="E166" i="6" s="1"/>
  <c r="D167" i="6"/>
  <c r="E167" i="6" s="1"/>
  <c r="D163" i="6"/>
  <c r="E163" i="6" s="1"/>
  <c r="S206" i="4"/>
  <c r="R206" i="4"/>
  <c r="T206" i="4"/>
  <c r="U206" i="4"/>
  <c r="X205" i="4"/>
  <c r="W206" i="4" s="1"/>
  <c r="V206" i="4"/>
  <c r="X100" i="4"/>
  <c r="L105" i="4"/>
  <c r="C105" i="4"/>
  <c r="K105" i="4"/>
  <c r="O105" i="4"/>
  <c r="S100" i="4"/>
  <c r="U100" i="4"/>
  <c r="H100" i="4"/>
  <c r="Q100" i="4"/>
  <c r="Q105" i="4"/>
  <c r="D176" i="6" l="1"/>
  <c r="E176" i="6" s="1"/>
  <c r="D177" i="6"/>
  <c r="E177" i="6"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C35" i="6"/>
  <c r="E56" i="7" s="1"/>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E4" i="7" l="1"/>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H3" i="4"/>
  <c r="R2" i="4"/>
  <c r="E4" i="4"/>
  <c r="K3" i="4"/>
  <c r="D3" i="4"/>
  <c r="B4" i="4"/>
  <c r="M4" i="4"/>
  <c r="H2" i="4"/>
  <c r="I3" i="4"/>
  <c r="I4" i="4"/>
  <c r="Q4" i="4"/>
  <c r="C4" i="4"/>
  <c r="N4" i="4"/>
  <c r="C3" i="4"/>
  <c r="P4" i="4"/>
  <c r="Z2" i="4"/>
  <c r="V3" i="4"/>
  <c r="M3" i="4"/>
  <c r="G4" i="4"/>
  <c r="E3" i="4"/>
  <c r="N2" i="4"/>
  <c r="D4" i="4"/>
  <c r="X2" i="4"/>
  <c r="B3" i="4"/>
  <c r="F3" i="4"/>
  <c r="P2" i="4"/>
  <c r="R4" i="4"/>
  <c r="K4" i="4"/>
  <c r="G3" i="4"/>
  <c r="T2" i="4"/>
  <c r="L3" i="4"/>
  <c r="Y3" i="4"/>
  <c r="T4" i="4"/>
  <c r="W4" i="4"/>
  <c r="J2" i="4"/>
  <c r="O4" i="4"/>
  <c r="J4" i="4"/>
  <c r="V4" i="4"/>
  <c r="V2" i="4"/>
  <c r="S4" i="4"/>
  <c r="U4" i="4"/>
  <c r="P3" i="4"/>
  <c r="L2" i="4"/>
  <c r="O3" i="4"/>
  <c r="L4" i="4"/>
  <c r="X4" i="4"/>
  <c r="R3" i="4"/>
  <c r="N3" i="4"/>
  <c r="F4" i="4"/>
  <c r="U3" i="4"/>
  <c r="H4" i="4"/>
  <c r="W3" i="4"/>
  <c r="S3" i="4"/>
  <c r="J3" i="4"/>
  <c r="X3" i="4"/>
  <c r="P14" i="6" l="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1" i="8" l="1"/>
  <c r="D68" i="8"/>
  <c r="D59" i="8"/>
  <c r="M14" i="6"/>
  <c r="P15" i="6" s="1"/>
  <c r="M15" i="6" s="1"/>
  <c r="J42" i="7" s="1"/>
  <c r="D45" i="8"/>
  <c r="D52" i="8"/>
  <c r="D63" i="8"/>
  <c r="D60" i="8"/>
  <c r="D47" i="8"/>
  <c r="D48" i="8"/>
  <c r="D46" i="8"/>
  <c r="D57" i="8"/>
  <c r="D69" i="8"/>
  <c r="D58" i="8"/>
  <c r="F58" i="8" s="1"/>
  <c r="I58" i="8" s="1"/>
  <c r="D67" i="8"/>
  <c r="E67" i="8" s="1"/>
  <c r="H67" i="8" s="1"/>
  <c r="D44" i="8"/>
  <c r="E44" i="8" s="1"/>
  <c r="H44" i="8" s="1"/>
  <c r="D64" i="8"/>
  <c r="E64" i="8" s="1"/>
  <c r="H64" i="8" s="1"/>
  <c r="D55" i="8"/>
  <c r="F55" i="8" s="1"/>
  <c r="I55" i="8" s="1"/>
  <c r="D66" i="8"/>
  <c r="E66" i="8" s="1"/>
  <c r="H66" i="8" s="1"/>
  <c r="D51" i="8"/>
  <c r="E51" i="8" s="1"/>
  <c r="H51" i="8" s="1"/>
  <c r="D65" i="8"/>
  <c r="E65" i="8" s="1"/>
  <c r="H65" i="8" s="1"/>
  <c r="D56" i="8"/>
  <c r="F56" i="8" s="1"/>
  <c r="I56" i="8" s="1"/>
  <c r="D54" i="8"/>
  <c r="E54" i="8" s="1"/>
  <c r="H54" i="8" s="1"/>
  <c r="N14" i="6"/>
  <c r="I41" i="7" s="1"/>
  <c r="D53" i="8"/>
  <c r="E53" i="8" s="1"/>
  <c r="H53" i="8" s="1"/>
  <c r="D50" i="8"/>
  <c r="F50" i="8" s="1"/>
  <c r="I50" i="8" s="1"/>
  <c r="D43" i="8"/>
  <c r="E43" i="8" s="1"/>
  <c r="H43" i="8" s="1"/>
  <c r="D49" i="8"/>
  <c r="E49" i="8" s="1"/>
  <c r="H49" i="8" s="1"/>
  <c r="D62" i="8"/>
  <c r="F62" i="8" s="1"/>
  <c r="I62" i="8" s="1"/>
  <c r="E11" i="7"/>
  <c r="H5" i="7"/>
  <c r="E107" i="7"/>
  <c r="H41" i="7"/>
  <c r="C11" i="8"/>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F52" i="8" l="1"/>
  <c r="I52" i="8" s="1"/>
  <c r="E52" i="8"/>
  <c r="H52" i="8" s="1"/>
  <c r="F46" i="8"/>
  <c r="I46" i="8" s="1"/>
  <c r="E46" i="8"/>
  <c r="H46" i="8" s="1"/>
  <c r="F61" i="8"/>
  <c r="I61" i="8" s="1"/>
  <c r="E61" i="8"/>
  <c r="H61" i="8" s="1"/>
  <c r="E45" i="8"/>
  <c r="H45" i="8" s="1"/>
  <c r="F45" i="8"/>
  <c r="I45" i="8" s="1"/>
  <c r="F69" i="8"/>
  <c r="I69" i="8" s="1"/>
  <c r="E69" i="8"/>
  <c r="H69" i="8" s="1"/>
  <c r="F48" i="8"/>
  <c r="I48" i="8" s="1"/>
  <c r="E48" i="8"/>
  <c r="H48" i="8" s="1"/>
  <c r="E63" i="8"/>
  <c r="H63" i="8" s="1"/>
  <c r="F63" i="8"/>
  <c r="I63" i="8" s="1"/>
  <c r="E57" i="8"/>
  <c r="H57" i="8" s="1"/>
  <c r="F57" i="8"/>
  <c r="I57" i="8" s="1"/>
  <c r="F107" i="7"/>
  <c r="E58" i="7"/>
  <c r="H65" i="7" s="1"/>
  <c r="E60" i="8"/>
  <c r="H60" i="8" s="1"/>
  <c r="F60" i="8"/>
  <c r="I60" i="8" s="1"/>
  <c r="E47" i="8"/>
  <c r="H47" i="8" s="1"/>
  <c r="F47" i="8"/>
  <c r="I47" i="8" s="1"/>
  <c r="F68" i="8"/>
  <c r="I68" i="8" s="1"/>
  <c r="E68" i="8"/>
  <c r="H68" i="8" s="1"/>
  <c r="E59" i="8"/>
  <c r="H59" i="8" s="1"/>
  <c r="F59" i="8"/>
  <c r="I59" i="8" s="1"/>
  <c r="C11" i="1"/>
  <c r="S4" i="3" s="1"/>
  <c r="T4" i="3" s="1"/>
  <c r="U4" i="3" s="1"/>
  <c r="J41" i="7"/>
  <c r="C12" i="8"/>
  <c r="F44" i="8"/>
  <c r="I44" i="8" s="1"/>
  <c r="F67" i="8"/>
  <c r="I67" i="8" s="1"/>
  <c r="F64" i="8"/>
  <c r="I64" i="8" s="1"/>
  <c r="E58" i="8"/>
  <c r="H58" i="8" s="1"/>
  <c r="F66" i="8"/>
  <c r="I66" i="8" s="1"/>
  <c r="E55" i="8"/>
  <c r="H55" i="8" s="1"/>
  <c r="F54" i="8"/>
  <c r="I54" i="8" s="1"/>
  <c r="F51" i="8"/>
  <c r="I51" i="8" s="1"/>
  <c r="F65" i="8"/>
  <c r="I65" i="8" s="1"/>
  <c r="F53" i="8"/>
  <c r="I53" i="8" s="1"/>
  <c r="E56" i="8"/>
  <c r="H56" i="8" s="1"/>
  <c r="C25" i="1"/>
  <c r="C32" i="1" s="1"/>
  <c r="K49" i="1" s="1"/>
  <c r="E110" i="7"/>
  <c r="N15" i="6"/>
  <c r="I42" i="7" s="1"/>
  <c r="F49" i="8"/>
  <c r="I49" i="8" s="1"/>
  <c r="F43" i="8"/>
  <c r="I43" i="8" s="1"/>
  <c r="E50" i="8"/>
  <c r="H50" i="8" s="1"/>
  <c r="H42" i="7"/>
  <c r="D23" i="7"/>
  <c r="E108" i="7"/>
  <c r="E62" i="8"/>
  <c r="H62" i="8" s="1"/>
  <c r="M19" i="6"/>
  <c r="H31" i="6" s="1"/>
  <c r="H29" i="6" s="1"/>
  <c r="H47" i="7" s="1"/>
  <c r="AA6" i="3"/>
  <c r="A7" i="3"/>
  <c r="B7" i="3" s="1"/>
  <c r="P7" i="3" s="1"/>
  <c r="Q7" i="3" s="1"/>
  <c r="AD6" i="3"/>
  <c r="P6" i="3"/>
  <c r="Q6" i="3" s="1"/>
  <c r="Z6" i="3"/>
  <c r="C149" i="6"/>
  <c r="H46" i="7"/>
  <c r="D152" i="6"/>
  <c r="H13" i="7"/>
  <c r="R194" i="4"/>
  <c r="P196" i="4"/>
  <c r="F108" i="7"/>
  <c r="D213" i="4"/>
  <c r="F213" i="4" s="1"/>
  <c r="B191" i="6"/>
  <c r="C194" i="6"/>
  <c r="D223" i="4"/>
  <c r="F223" i="4" s="1"/>
  <c r="X111" i="4"/>
  <c r="W111" i="4"/>
  <c r="D108" i="4" s="1"/>
  <c r="D188" i="4"/>
  <c r="F188" i="4" s="1"/>
  <c r="D130" i="6"/>
  <c r="E130" i="6" s="1"/>
  <c r="E129" i="6"/>
  <c r="S28" i="6"/>
  <c r="C193" i="6"/>
  <c r="X236" i="4"/>
  <c r="W236" i="4"/>
  <c r="W201" i="4"/>
  <c r="X201" i="4"/>
  <c r="D198" i="4" s="1"/>
  <c r="D2" i="4"/>
  <c r="C155" i="6" l="1"/>
  <c r="H16" i="7"/>
  <c r="P28" i="1"/>
  <c r="H68" i="7"/>
  <c r="C150" i="6"/>
  <c r="H71" i="7"/>
  <c r="P29" i="1"/>
  <c r="I29" i="6"/>
  <c r="I47" i="7" s="1"/>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C156" i="6" l="1"/>
  <c r="S29" i="6"/>
  <c r="I14" i="7"/>
  <c r="I30" i="6"/>
  <c r="I48" i="7" s="1"/>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I15" i="7"/>
  <c r="M50" i="8"/>
  <c r="H33" i="6"/>
  <c r="S30" i="6"/>
  <c r="H15" i="7"/>
  <c r="R196" i="4"/>
  <c r="T194" i="4"/>
  <c r="L49" i="8" l="1"/>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D193" i="4"/>
  <c r="AA15" i="3"/>
  <c r="P15" i="3"/>
  <c r="Q15" i="3" s="1"/>
  <c r="R15" i="3" s="1"/>
  <c r="AC15" i="3"/>
  <c r="Z15" i="3"/>
  <c r="AD15" i="3"/>
  <c r="A16" i="3"/>
  <c r="B16" i="3" s="1"/>
  <c r="K6" i="3" l="1"/>
  <c r="M6" i="3"/>
  <c r="N6" i="3" s="1"/>
  <c r="S11" i="3"/>
  <c r="T11" i="3" s="1"/>
  <c r="F6" i="3"/>
  <c r="I6" i="3"/>
  <c r="F193" i="4"/>
  <c r="AA16" i="3"/>
  <c r="AD16" i="3"/>
  <c r="AC16" i="3"/>
  <c r="P16" i="3"/>
  <c r="Q16" i="3" s="1"/>
  <c r="R16" i="3" s="1"/>
  <c r="Z16" i="3"/>
  <c r="A17" i="3"/>
  <c r="B17" i="3" s="1"/>
  <c r="L6" i="3" l="1"/>
  <c r="AE6" i="3"/>
  <c r="V6" i="3"/>
  <c r="W6" i="3" s="1"/>
  <c r="N36" i="1"/>
  <c r="M37" i="6"/>
  <c r="S12" i="3"/>
  <c r="S13" i="3" s="1"/>
  <c r="P17" i="3"/>
  <c r="Q17" i="3" s="1"/>
  <c r="R17" i="3" s="1"/>
  <c r="A18" i="3"/>
  <c r="B18" i="3" s="1"/>
  <c r="AC17" i="3"/>
  <c r="Z17" i="3"/>
  <c r="AD17" i="3"/>
  <c r="AA17" i="3"/>
  <c r="U6" i="3" l="1"/>
  <c r="Y5" i="3"/>
  <c r="T12" i="3"/>
  <c r="AH7" i="3"/>
  <c r="AG7" i="3"/>
  <c r="S14" i="3"/>
  <c r="T13" i="3"/>
  <c r="AA18" i="3"/>
  <c r="P18" i="3"/>
  <c r="Q18" i="3" s="1"/>
  <c r="R18" i="3" s="1"/>
  <c r="AC18" i="3"/>
  <c r="A19" i="3"/>
  <c r="B19" i="3" s="1"/>
  <c r="AD18" i="3"/>
  <c r="Z18" i="3"/>
  <c r="E7" i="3" l="1"/>
  <c r="H7" i="3" s="1"/>
  <c r="K7" i="3" s="1"/>
  <c r="D7" i="3"/>
  <c r="S15" i="3"/>
  <c r="T14" i="3"/>
  <c r="P19" i="3"/>
  <c r="Q19" i="3" s="1"/>
  <c r="R19" i="3" s="1"/>
  <c r="A20" i="3"/>
  <c r="B20" i="3" s="1"/>
  <c r="Z19" i="3"/>
  <c r="AD19" i="3"/>
  <c r="AA19" i="3"/>
  <c r="AC19" i="3"/>
  <c r="G7" i="3" l="1"/>
  <c r="F7" i="3"/>
  <c r="V7" i="3"/>
  <c r="AE7" i="3"/>
  <c r="T15" i="3"/>
  <c r="S16" i="3"/>
  <c r="P20" i="3"/>
  <c r="Q20" i="3" s="1"/>
  <c r="R20" i="3" s="1"/>
  <c r="A21" i="3"/>
  <c r="B21" i="3" s="1"/>
  <c r="AA20" i="3"/>
  <c r="Z20" i="3"/>
  <c r="AD20" i="3"/>
  <c r="AC20" i="3"/>
  <c r="M7" i="3" l="1"/>
  <c r="N7" i="3" s="1"/>
  <c r="I7" i="3"/>
  <c r="W7" i="3" s="1"/>
  <c r="J7" i="3"/>
  <c r="L7" i="3" s="1"/>
  <c r="T16" i="3"/>
  <c r="S17" i="3"/>
  <c r="AD21" i="3"/>
  <c r="P21" i="3"/>
  <c r="Q21" i="3" s="1"/>
  <c r="R21" i="3" s="1"/>
  <c r="AC21" i="3"/>
  <c r="AA21" i="3"/>
  <c r="Z21" i="3"/>
  <c r="A22" i="3"/>
  <c r="B22" i="3" s="1"/>
  <c r="Y6" i="3" l="1"/>
  <c r="U7" i="3"/>
  <c r="AH8" i="3"/>
  <c r="AG8" i="3"/>
  <c r="T17" i="3"/>
  <c r="S18" i="3"/>
  <c r="AC22" i="3"/>
  <c r="A23" i="3"/>
  <c r="B23" i="3" s="1"/>
  <c r="AD22" i="3"/>
  <c r="AA22" i="3"/>
  <c r="Z22" i="3"/>
  <c r="P22" i="3"/>
  <c r="Q22" i="3" s="1"/>
  <c r="R22" i="3" s="1"/>
  <c r="E8" i="3" l="1"/>
  <c r="H8" i="3" s="1"/>
  <c r="K8" i="3" s="1"/>
  <c r="D8" i="3"/>
  <c r="S19" i="3"/>
  <c r="T18" i="3"/>
  <c r="A24" i="3"/>
  <c r="B24" i="3" s="1"/>
  <c r="Z23" i="3"/>
  <c r="AA23" i="3"/>
  <c r="AC23" i="3"/>
  <c r="AD23" i="3"/>
  <c r="P23" i="3"/>
  <c r="Q23" i="3" s="1"/>
  <c r="R23" i="3" s="1"/>
  <c r="AE8" i="3" l="1"/>
  <c r="V8" i="3"/>
  <c r="F8" i="3"/>
  <c r="G8" i="3"/>
  <c r="S20" i="3"/>
  <c r="T19" i="3"/>
  <c r="AA24" i="3"/>
  <c r="Z24" i="3"/>
  <c r="AC24" i="3"/>
  <c r="AD24" i="3"/>
  <c r="A25" i="3"/>
  <c r="B25" i="3" s="1"/>
  <c r="P24" i="3"/>
  <c r="Q24" i="3" s="1"/>
  <c r="R24" i="3" s="1"/>
  <c r="J8" i="3" l="1"/>
  <c r="L8" i="3" s="1"/>
  <c r="M8" i="3"/>
  <c r="N8" i="3" s="1"/>
  <c r="I8" i="3"/>
  <c r="W8" i="3" s="1"/>
  <c r="S21" i="3"/>
  <c r="T20" i="3"/>
  <c r="P25" i="3"/>
  <c r="Q25" i="3" s="1"/>
  <c r="R25" i="3" s="1"/>
  <c r="Z25" i="3"/>
  <c r="A26" i="3"/>
  <c r="B26" i="3" s="1"/>
  <c r="AC25" i="3"/>
  <c r="AA25" i="3"/>
  <c r="AD25" i="3"/>
  <c r="Y7" i="3" l="1"/>
  <c r="AG9" i="3"/>
  <c r="AH9" i="3"/>
  <c r="U8" i="3"/>
  <c r="T21" i="3"/>
  <c r="S22" i="3"/>
  <c r="AD26" i="3"/>
  <c r="P26" i="3"/>
  <c r="Q26" i="3" s="1"/>
  <c r="R26" i="3" s="1"/>
  <c r="A27" i="3"/>
  <c r="B27" i="3" s="1"/>
  <c r="AA26" i="3"/>
  <c r="Z26" i="3"/>
  <c r="AC26" i="3"/>
  <c r="E9" i="3" l="1"/>
  <c r="H9" i="3" s="1"/>
  <c r="K9" i="3" s="1"/>
  <c r="D9" i="3"/>
  <c r="T22" i="3"/>
  <c r="S23" i="3"/>
  <c r="P27" i="3"/>
  <c r="Q27" i="3" s="1"/>
  <c r="R27" i="3" s="1"/>
  <c r="Z27" i="3"/>
  <c r="AA27" i="3"/>
  <c r="AD27" i="3"/>
  <c r="A28" i="3"/>
  <c r="B28" i="3" s="1"/>
  <c r="AC27" i="3"/>
  <c r="V9" i="3" l="1"/>
  <c r="AE9" i="3"/>
  <c r="F9" i="3"/>
  <c r="G9" i="3"/>
  <c r="S24" i="3"/>
  <c r="T23" i="3"/>
  <c r="Z28" i="3"/>
  <c r="P28" i="3"/>
  <c r="Q28" i="3" s="1"/>
  <c r="R28" i="3" s="1"/>
  <c r="A29" i="3"/>
  <c r="B29" i="3" s="1"/>
  <c r="AA28" i="3"/>
  <c r="AC28" i="3"/>
  <c r="AD28" i="3"/>
  <c r="M9" i="3" l="1"/>
  <c r="N9" i="3" s="1"/>
  <c r="J9" i="3"/>
  <c r="L9" i="3" s="1"/>
  <c r="I9" i="3"/>
  <c r="W9" i="3" s="1"/>
  <c r="S25" i="3"/>
  <c r="T24" i="3"/>
  <c r="AC29" i="3"/>
  <c r="P29" i="3"/>
  <c r="Q29" i="3" s="1"/>
  <c r="R29" i="3" s="1"/>
  <c r="A30" i="3"/>
  <c r="B30" i="3" s="1"/>
  <c r="AD29" i="3"/>
  <c r="Z29" i="3"/>
  <c r="AA29" i="3"/>
  <c r="Y8" i="3" l="1"/>
  <c r="AG10" i="3"/>
  <c r="AH10" i="3"/>
  <c r="U9" i="3"/>
  <c r="T25" i="3"/>
  <c r="S26" i="3"/>
  <c r="Z30" i="3"/>
  <c r="P30" i="3"/>
  <c r="Q30" i="3" s="1"/>
  <c r="R30" i="3" s="1"/>
  <c r="AC30" i="3"/>
  <c r="AA30" i="3"/>
  <c r="AD30" i="3"/>
  <c r="A31" i="3"/>
  <c r="B31" i="3" s="1"/>
  <c r="D10" i="3" l="1"/>
  <c r="E10" i="3"/>
  <c r="H10" i="3" s="1"/>
  <c r="K10" i="3" s="1"/>
  <c r="T26" i="3"/>
  <c r="S27" i="3"/>
  <c r="AC31" i="3"/>
  <c r="A32" i="3"/>
  <c r="B32" i="3" s="1"/>
  <c r="Z31" i="3"/>
  <c r="P31" i="3"/>
  <c r="Q31" i="3" s="1"/>
  <c r="R31" i="3" s="1"/>
  <c r="AD31" i="3"/>
  <c r="AA31" i="3"/>
  <c r="G10" i="3" l="1"/>
  <c r="F10" i="3"/>
  <c r="AE10" i="3"/>
  <c r="V10" i="3"/>
  <c r="S28" i="3"/>
  <c r="T27" i="3"/>
  <c r="A33" i="3"/>
  <c r="B33" i="3" s="1"/>
  <c r="Z32" i="3"/>
  <c r="P32" i="3"/>
  <c r="Q32" i="3" s="1"/>
  <c r="R32" i="3" s="1"/>
  <c r="AD32" i="3"/>
  <c r="AC32" i="3"/>
  <c r="AA32" i="3"/>
  <c r="M10" i="3" l="1"/>
  <c r="N10" i="3" s="1"/>
  <c r="J10" i="3"/>
  <c r="L10" i="3" s="1"/>
  <c r="I10" i="3"/>
  <c r="W10" i="3" s="1"/>
  <c r="S29" i="3"/>
  <c r="T28" i="3"/>
  <c r="P33" i="3"/>
  <c r="Q33" i="3" s="1"/>
  <c r="R33" i="3" s="1"/>
  <c r="AC33" i="3"/>
  <c r="A34" i="3"/>
  <c r="B34" i="3" s="1"/>
  <c r="AA33" i="3"/>
  <c r="Z33" i="3"/>
  <c r="AD33" i="3"/>
  <c r="AG11" i="3" l="1"/>
  <c r="AH11" i="3"/>
  <c r="U10" i="3"/>
  <c r="Y9" i="3"/>
  <c r="T29" i="3"/>
  <c r="S30" i="3"/>
  <c r="Z34" i="3"/>
  <c r="P34" i="3"/>
  <c r="Q34" i="3" s="1"/>
  <c r="R34" i="3" s="1"/>
  <c r="AC34" i="3"/>
  <c r="AD34" i="3"/>
  <c r="A35" i="3"/>
  <c r="B35" i="3" s="1"/>
  <c r="AA34" i="3"/>
  <c r="E11" i="3" l="1"/>
  <c r="H11" i="3" s="1"/>
  <c r="K11" i="3" s="1"/>
  <c r="D11" i="3"/>
  <c r="S31" i="3"/>
  <c r="T30" i="3"/>
  <c r="A36" i="3"/>
  <c r="B36" i="3" s="1"/>
  <c r="Z35" i="3"/>
  <c r="AD35" i="3"/>
  <c r="AA35" i="3"/>
  <c r="AC35" i="3"/>
  <c r="P35" i="3"/>
  <c r="Q35" i="3" s="1"/>
  <c r="R35" i="3" s="1"/>
  <c r="V11" i="3" l="1"/>
  <c r="AE11" i="3"/>
  <c r="F11" i="3"/>
  <c r="G11" i="3"/>
  <c r="T31" i="3"/>
  <c r="S32" i="3"/>
  <c r="AD36" i="3"/>
  <c r="AA36" i="3"/>
  <c r="P36" i="3"/>
  <c r="Q36" i="3" s="1"/>
  <c r="R36" i="3" s="1"/>
  <c r="Z36" i="3"/>
  <c r="A37" i="3"/>
  <c r="B37" i="3" s="1"/>
  <c r="AC36" i="3"/>
  <c r="I11" i="3" l="1"/>
  <c r="W11" i="3" s="1"/>
  <c r="J11" i="3"/>
  <c r="L11" i="3" s="1"/>
  <c r="M11" i="3"/>
  <c r="N11" i="3" s="1"/>
  <c r="T32" i="3"/>
  <c r="S33" i="3"/>
  <c r="AD37" i="3"/>
  <c r="Z37" i="3"/>
  <c r="AA37" i="3"/>
  <c r="AC37" i="3"/>
  <c r="P37" i="3"/>
  <c r="Q37" i="3" s="1"/>
  <c r="R37" i="3" s="1"/>
  <c r="A38" i="3"/>
  <c r="B38" i="3" s="1"/>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D44" i="3"/>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U204" i="3" l="1"/>
  <c r="Y203" i="3"/>
  <c r="T205" i="3"/>
  <c r="AH205" i="3" s="1"/>
  <c r="E205" i="3" l="1"/>
  <c r="H205" i="3" s="1"/>
  <c r="D205" i="3"/>
  <c r="AG205" i="3"/>
  <c r="K205" i="3" l="1"/>
  <c r="F205" i="3"/>
  <c r="G205" i="3"/>
  <c r="V205" i="3" l="1"/>
  <c r="A206" i="3"/>
  <c r="B206" i="3" s="1"/>
  <c r="AE205" i="3"/>
  <c r="I205" i="3"/>
  <c r="J205" i="3"/>
  <c r="AD205" i="3" s="1"/>
  <c r="M205" i="3"/>
  <c r="N205" i="3" s="1"/>
  <c r="W205" i="3" l="1"/>
  <c r="L205" i="3"/>
  <c r="AC206" i="3"/>
  <c r="P206" i="3"/>
  <c r="Q206" i="3" s="1"/>
  <c r="R206" i="3" s="1"/>
  <c r="S206" i="3" s="1"/>
  <c r="Z206" i="3"/>
  <c r="AA206" i="3"/>
  <c r="T206" i="3" l="1"/>
  <c r="AH206" i="3" s="1"/>
  <c r="U205" i="3"/>
  <c r="Y204" i="3"/>
  <c r="AG206" i="3" l="1"/>
  <c r="D206" i="3"/>
  <c r="E206" i="3"/>
  <c r="H206" i="3" s="1"/>
  <c r="F206" i="3" l="1"/>
  <c r="G206" i="3"/>
  <c r="K206" i="3"/>
  <c r="I206" i="3" l="1"/>
  <c r="J206" i="3"/>
  <c r="AD206" i="3" s="1"/>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A209" i="3"/>
  <c r="Z209" i="3"/>
  <c r="U208" i="3" l="1"/>
  <c r="Y207" i="3"/>
  <c r="T209" i="3"/>
  <c r="AH209" i="3" s="1"/>
  <c r="AG209" i="3" l="1"/>
  <c r="D209" i="3"/>
  <c r="G209" i="3" s="1"/>
  <c r="E209" i="3"/>
  <c r="H209" i="3" s="1"/>
  <c r="F209" i="3" l="1"/>
  <c r="K209" i="3"/>
  <c r="I209" i="3"/>
  <c r="J209" i="3"/>
  <c r="AD209" i="3" s="1"/>
  <c r="M209" i="3"/>
  <c r="N209" i="3" s="1"/>
  <c r="L209" i="3" l="1"/>
  <c r="V209" i="3"/>
  <c r="W209" i="3" s="1"/>
  <c r="A210" i="3"/>
  <c r="B210" i="3" s="1"/>
  <c r="AE209" i="3"/>
  <c r="AC210" i="3" l="1"/>
  <c r="Z210" i="3"/>
  <c r="P210" i="3"/>
  <c r="Q210" i="3" s="1"/>
  <c r="R210" i="3" s="1"/>
  <c r="S210" i="3" s="1"/>
  <c r="AA210" i="3"/>
  <c r="U209" i="3"/>
  <c r="Y208" i="3"/>
  <c r="T210" i="3" l="1"/>
  <c r="AG210" i="3" s="1"/>
  <c r="AH210" i="3" l="1"/>
  <c r="D210" i="3"/>
  <c r="E210" i="3"/>
  <c r="H210" i="3" s="1"/>
  <c r="F210" i="3" l="1"/>
  <c r="G210" i="3"/>
  <c r="K210" i="3"/>
  <c r="V210" i="3" l="1"/>
  <c r="AE210" i="3"/>
  <c r="A211" i="3"/>
  <c r="B211" i="3" s="1"/>
  <c r="I210" i="3"/>
  <c r="J210" i="3"/>
  <c r="AD210" i="3" s="1"/>
  <c r="M210" i="3"/>
  <c r="N210" i="3" s="1"/>
  <c r="W210" i="3" l="1"/>
  <c r="AC211" i="3"/>
  <c r="Z211" i="3"/>
  <c r="P211" i="3"/>
  <c r="Q211" i="3" s="1"/>
  <c r="R211" i="3" s="1"/>
  <c r="S211" i="3" s="1"/>
  <c r="AA211" i="3"/>
  <c r="L210" i="3"/>
  <c r="T211" i="3" l="1"/>
  <c r="AG211" i="3" s="1"/>
  <c r="U210" i="3"/>
  <c r="Y209" i="3"/>
  <c r="E211" i="3" l="1"/>
  <c r="H211" i="3" s="1"/>
  <c r="D211" i="3"/>
  <c r="AH211" i="3"/>
  <c r="K211" i="3" l="1"/>
  <c r="F211" i="3"/>
  <c r="G211" i="3"/>
  <c r="I211" i="3" l="1"/>
  <c r="J211" i="3"/>
  <c r="AD211" i="3" s="1"/>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C213" i="3" l="1"/>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AD213" i="3" s="1"/>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AD217" i="3"/>
  <c r="T217" i="3" l="1"/>
  <c r="D217" i="3" s="1"/>
  <c r="G217" i="3" l="1"/>
  <c r="AG217" i="3"/>
  <c r="AH217" i="3"/>
  <c r="E217" i="3"/>
  <c r="H217" i="3" s="1"/>
  <c r="I217" i="3" l="1"/>
  <c r="J217" i="3"/>
  <c r="M217" i="3"/>
  <c r="N217" i="3" s="1"/>
  <c r="K217" i="3"/>
  <c r="AE217" i="3" s="1"/>
  <c r="F217" i="3"/>
  <c r="V217" i="3" l="1"/>
  <c r="W217" i="3" s="1"/>
  <c r="A218" i="3"/>
  <c r="B218" i="3" s="1"/>
  <c r="L217" i="3"/>
  <c r="U217" i="3" l="1"/>
  <c r="Y216" i="3"/>
  <c r="AC218" i="3"/>
  <c r="AA218" i="3"/>
  <c r="Z218" i="3"/>
  <c r="P218" i="3"/>
  <c r="Q218" i="3" s="1"/>
  <c r="R218" i="3" s="1"/>
  <c r="S218" i="3" s="1"/>
  <c r="AD218" i="3"/>
  <c r="T218" i="3" l="1"/>
  <c r="AG218" i="3" s="1"/>
  <c r="AH218" i="3" l="1"/>
  <c r="E218" i="3"/>
  <c r="H218" i="3" s="1"/>
  <c r="K218" i="3" s="1"/>
  <c r="AE218" i="3" s="1"/>
  <c r="D218" i="3"/>
  <c r="G218" i="3" s="1"/>
  <c r="F218" i="3" l="1"/>
  <c r="I218" i="3"/>
  <c r="J218" i="3"/>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D227" i="3"/>
  <c r="AC227" i="3"/>
  <c r="T227" i="3" l="1"/>
  <c r="D227" i="3" s="1"/>
  <c r="E227" i="3" l="1"/>
  <c r="H227" i="3" s="1"/>
  <c r="K227" i="3" s="1"/>
  <c r="AE227" i="3" s="1"/>
  <c r="AH227" i="3"/>
  <c r="AG227" i="3"/>
  <c r="G227" i="3"/>
  <c r="F227" i="3" l="1"/>
  <c r="V227" i="3"/>
  <c r="A228" i="3"/>
  <c r="B228" i="3" s="1"/>
  <c r="I227" i="3"/>
  <c r="J227" i="3"/>
  <c r="M227" i="3"/>
  <c r="N227" i="3" s="1"/>
  <c r="L227" i="3" l="1"/>
  <c r="W227" i="3"/>
  <c r="AD228"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D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L237" i="3" s="1"/>
  <c r="P238" i="3"/>
  <c r="Q238" i="3" s="1"/>
  <c r="R238" i="3" s="1"/>
  <c r="S238" i="3" s="1"/>
  <c r="Z238" i="3"/>
  <c r="AC238" i="3"/>
  <c r="AA238" i="3"/>
  <c r="AD238" i="3"/>
  <c r="T238" i="3" l="1"/>
  <c r="AG238" i="3" s="1"/>
  <c r="U237" i="3"/>
  <c r="Y236" i="3"/>
  <c r="AH238" i="3" l="1"/>
  <c r="E238" i="3"/>
  <c r="H238" i="3" s="1"/>
  <c r="K238" i="3" s="1"/>
  <c r="AE238" i="3" s="1"/>
  <c r="D238" i="3"/>
  <c r="F238" i="3" l="1"/>
  <c r="G238" i="3"/>
  <c r="M238" i="3" s="1"/>
  <c r="N238" i="3" s="1"/>
  <c r="V238" i="3"/>
  <c r="A239" i="3"/>
  <c r="B239" i="3" s="1"/>
  <c r="I238" i="3" l="1"/>
  <c r="W238" i="3" s="1"/>
  <c r="J238" i="3"/>
  <c r="L238" i="3" s="1"/>
  <c r="AD239" i="3"/>
  <c r="P239" i="3"/>
  <c r="Q239" i="3" s="1"/>
  <c r="R239" i="3" s="1"/>
  <c r="S239" i="3" s="1"/>
  <c r="AC239" i="3"/>
  <c r="Z239" i="3"/>
  <c r="AA239" i="3"/>
  <c r="T239" i="3" l="1"/>
  <c r="U238" i="3"/>
  <c r="Y237" i="3"/>
  <c r="D239" i="3" l="1"/>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AD247" i="3"/>
  <c r="U246" i="3" l="1"/>
  <c r="Y245" i="3"/>
  <c r="T247" i="3"/>
  <c r="AG247" i="3" s="1"/>
  <c r="AH247" i="3" l="1"/>
  <c r="D247" i="3"/>
  <c r="E247" i="3"/>
  <c r="H247" i="3" s="1"/>
  <c r="K247" i="3" s="1"/>
  <c r="AE247" i="3" s="1"/>
  <c r="F247" i="3" l="1"/>
  <c r="G247" i="3"/>
  <c r="M247" i="3" s="1"/>
  <c r="N247" i="3" s="1"/>
  <c r="V247" i="3"/>
  <c r="A248" i="3"/>
  <c r="B248" i="3" s="1"/>
  <c r="I247" i="3" l="1"/>
  <c r="W247" i="3" s="1"/>
  <c r="J247" i="3"/>
  <c r="L247" i="3" s="1"/>
  <c r="Z248" i="3"/>
  <c r="P248" i="3"/>
  <c r="Q248" i="3" s="1"/>
  <c r="R248" i="3" s="1"/>
  <c r="S248" i="3" s="1"/>
  <c r="AA248" i="3"/>
  <c r="AC248" i="3"/>
  <c r="AD248" i="3"/>
  <c r="U247" i="3" l="1"/>
  <c r="Y246" i="3"/>
  <c r="T248" i="3"/>
  <c r="AG248" i="3" s="1"/>
  <c r="E248" i="3" l="1"/>
  <c r="H248" i="3" s="1"/>
  <c r="K248" i="3" s="1"/>
  <c r="AE248" i="3" s="1"/>
  <c r="AH248" i="3"/>
  <c r="D248" i="3"/>
  <c r="G248" i="3" s="1"/>
  <c r="F248" i="3" l="1"/>
  <c r="I248" i="3"/>
  <c r="J248" i="3"/>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D257"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M257" i="3"/>
  <c r="N257" i="3" s="1"/>
  <c r="W257" i="3" l="1"/>
  <c r="L257" i="3"/>
  <c r="AC258" i="3"/>
  <c r="AD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AD267" i="3"/>
  <c r="T267" i="3" l="1"/>
  <c r="L266" i="3"/>
  <c r="AH267" i="3" l="1"/>
  <c r="AG267" i="3"/>
  <c r="U266" i="3"/>
  <c r="E267" i="3" s="1"/>
  <c r="H267" i="3" s="1"/>
  <c r="Y265" i="3"/>
  <c r="K267" i="3" l="1"/>
  <c r="AE267" i="3" s="1"/>
  <c r="D267" i="3"/>
  <c r="V267" i="3" l="1"/>
  <c r="A268" i="3"/>
  <c r="B268" i="3" s="1"/>
  <c r="F267" i="3"/>
  <c r="G267" i="3"/>
  <c r="I267" i="3" l="1"/>
  <c r="W267" i="3" s="1"/>
  <c r="J267" i="3"/>
  <c r="M267" i="3"/>
  <c r="N267" i="3" s="1"/>
  <c r="AC268" i="3"/>
  <c r="P268" i="3"/>
  <c r="Q268" i="3" s="1"/>
  <c r="R268" i="3" s="1"/>
  <c r="S268" i="3" s="1"/>
  <c r="Z268" i="3"/>
  <c r="AA268" i="3"/>
  <c r="AD268" i="3"/>
  <c r="T268" i="3" l="1"/>
  <c r="L267" i="3"/>
  <c r="U267" i="3" l="1"/>
  <c r="E268" i="3" s="1"/>
  <c r="H268" i="3" s="1"/>
  <c r="AH268" i="3"/>
  <c r="AG268" i="3"/>
  <c r="Y266" i="3"/>
  <c r="K268" i="3" l="1"/>
  <c r="AE268" i="3" s="1"/>
  <c r="D268" i="3"/>
  <c r="V268" i="3" l="1"/>
  <c r="A269" i="3"/>
  <c r="B269" i="3" s="1"/>
  <c r="F268" i="3"/>
  <c r="G268" i="3"/>
  <c r="I268" i="3" l="1"/>
  <c r="W268" i="3" s="1"/>
  <c r="J268" i="3"/>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D277" i="3"/>
  <c r="AA277" i="3"/>
  <c r="U276" i="3" l="1"/>
  <c r="Y275" i="3"/>
  <c r="T277" i="3"/>
  <c r="AG277" i="3" s="1"/>
  <c r="D277" i="3" l="1"/>
  <c r="G277" i="3" s="1"/>
  <c r="E277" i="3"/>
  <c r="H277" i="3" s="1"/>
  <c r="K277" i="3" s="1"/>
  <c r="AE277" i="3" s="1"/>
  <c r="AH277" i="3"/>
  <c r="F277" i="3" l="1"/>
  <c r="V277" i="3"/>
  <c r="A278" i="3"/>
  <c r="B278" i="3" s="1"/>
  <c r="I277" i="3"/>
  <c r="J277" i="3"/>
  <c r="M277" i="3"/>
  <c r="N277" i="3" s="1"/>
  <c r="W277" i="3" l="1"/>
  <c r="L277" i="3"/>
  <c r="AD278"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D287" i="3"/>
  <c r="AC287" i="3"/>
  <c r="T287" i="3" l="1"/>
  <c r="D287" i="3" s="1"/>
  <c r="G287" i="3" l="1"/>
  <c r="AH287" i="3"/>
  <c r="AG287" i="3"/>
  <c r="E287" i="3"/>
  <c r="H287" i="3" s="1"/>
  <c r="F287" i="3" l="1"/>
  <c r="K287" i="3"/>
  <c r="AE287" i="3" s="1"/>
  <c r="I287" i="3"/>
  <c r="J287" i="3"/>
  <c r="M287" i="3"/>
  <c r="N287" i="3" s="1"/>
  <c r="L287" i="3" l="1"/>
  <c r="V287" i="3"/>
  <c r="W287" i="3" s="1"/>
  <c r="A288" i="3"/>
  <c r="B288" i="3" s="1"/>
  <c r="U287" i="3" l="1"/>
  <c r="Y286" i="3"/>
  <c r="P288" i="3"/>
  <c r="Q288" i="3" s="1"/>
  <c r="R288" i="3" s="1"/>
  <c r="S288" i="3" s="1"/>
  <c r="AA288" i="3"/>
  <c r="AC288" i="3"/>
  <c r="AD288" i="3"/>
  <c r="Z288" i="3"/>
  <c r="T288" i="3" l="1"/>
  <c r="D288" i="3" s="1"/>
  <c r="AG288" i="3" l="1"/>
  <c r="AH288" i="3"/>
  <c r="E288" i="3"/>
  <c r="H288" i="3" s="1"/>
  <c r="K288" i="3" s="1"/>
  <c r="AE288" i="3" s="1"/>
  <c r="G288" i="3"/>
  <c r="F288" i="3" l="1"/>
  <c r="I288" i="3"/>
  <c r="J288" i="3"/>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AD297" i="3"/>
  <c r="T297" i="3" l="1"/>
  <c r="E297" i="3" s="1"/>
  <c r="H297" i="3" s="1"/>
  <c r="D297" i="3" l="1"/>
  <c r="F297" i="3" s="1"/>
  <c r="AG297" i="3"/>
  <c r="K297" i="3"/>
  <c r="AE297" i="3" s="1"/>
  <c r="AH297" i="3"/>
  <c r="G297" i="3" l="1"/>
  <c r="M297" i="3" s="1"/>
  <c r="N297" i="3" s="1"/>
  <c r="V297" i="3"/>
  <c r="A298" i="3"/>
  <c r="B298" i="3" s="1"/>
  <c r="J297" i="3" l="1"/>
  <c r="L297" i="3" s="1"/>
  <c r="I297" i="3"/>
  <c r="W297" i="3" s="1"/>
  <c r="Z298" i="3"/>
  <c r="AD298" i="3"/>
  <c r="P298" i="3"/>
  <c r="Q298" i="3" s="1"/>
  <c r="R298" i="3" s="1"/>
  <c r="S298" i="3" s="1"/>
  <c r="AA298" i="3"/>
  <c r="AC298" i="3"/>
  <c r="T298" i="3" l="1"/>
  <c r="U297" i="3"/>
  <c r="Y296" i="3"/>
  <c r="E298" i="3" l="1"/>
  <c r="H298" i="3" s="1"/>
  <c r="K298" i="3" s="1"/>
  <c r="AE298" i="3" s="1"/>
  <c r="AH298" i="3"/>
  <c r="D298" i="3"/>
  <c r="AG298" i="3"/>
  <c r="F298" i="3" l="1"/>
  <c r="G298" i="3"/>
  <c r="V298" i="3"/>
  <c r="A299" i="3"/>
  <c r="B299" i="3" s="1"/>
  <c r="I298" i="3" l="1"/>
  <c r="W298" i="3" s="1"/>
  <c r="J298" i="3"/>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AD307" i="3"/>
  <c r="T307" i="3" l="1"/>
  <c r="AH307" i="3" s="1"/>
  <c r="U306" i="3"/>
  <c r="Y305" i="3"/>
  <c r="D307" i="3" l="1"/>
  <c r="E307" i="3"/>
  <c r="H307" i="3" s="1"/>
  <c r="AG307" i="3"/>
  <c r="F307" i="3" l="1"/>
  <c r="G307" i="3"/>
  <c r="K307" i="3"/>
  <c r="AE307" i="3" s="1"/>
  <c r="I307" i="3" l="1"/>
  <c r="J307" i="3"/>
  <c r="M307" i="3"/>
  <c r="N307" i="3" s="1"/>
  <c r="V307" i="3"/>
  <c r="A308" i="3"/>
  <c r="B308" i="3" s="1"/>
  <c r="L307" i="3" l="1"/>
  <c r="Z308" i="3"/>
  <c r="AD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D317" i="3"/>
  <c r="AC317" i="3"/>
  <c r="T317" i="3" l="1"/>
  <c r="AG317" i="3" s="1"/>
  <c r="U316" i="3"/>
  <c r="Y315" i="3"/>
  <c r="E317" i="3" l="1"/>
  <c r="H317" i="3" s="1"/>
  <c r="K317" i="3" s="1"/>
  <c r="AE317" i="3" s="1"/>
  <c r="D317" i="3"/>
  <c r="AH317" i="3"/>
  <c r="V317" i="3" l="1"/>
  <c r="A318" i="3"/>
  <c r="B318" i="3" s="1"/>
  <c r="F317" i="3"/>
  <c r="G317" i="3"/>
  <c r="I317" i="3" l="1"/>
  <c r="W317" i="3" s="1"/>
  <c r="J317" i="3"/>
  <c r="M317" i="3"/>
  <c r="N317" i="3" s="1"/>
  <c r="AA318" i="3"/>
  <c r="P318" i="3"/>
  <c r="Q318" i="3" s="1"/>
  <c r="R318" i="3" s="1"/>
  <c r="S318" i="3" s="1"/>
  <c r="Z318" i="3"/>
  <c r="AC318" i="3"/>
  <c r="AD318" i="3"/>
  <c r="T318" i="3" l="1"/>
  <c r="L317" i="3"/>
  <c r="AH318" i="3" l="1"/>
  <c r="AG318" i="3"/>
  <c r="U317" i="3"/>
  <c r="E318" i="3" s="1"/>
  <c r="H318" i="3" s="1"/>
  <c r="Y316" i="3"/>
  <c r="K318" i="3" l="1"/>
  <c r="AE318" i="3" s="1"/>
  <c r="D318" i="3"/>
  <c r="V318" i="3" l="1"/>
  <c r="A319" i="3"/>
  <c r="B319" i="3" s="1"/>
  <c r="F318" i="3"/>
  <c r="G318" i="3"/>
  <c r="I318" i="3" l="1"/>
  <c r="W318" i="3" s="1"/>
  <c r="J318" i="3"/>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D367" i="3"/>
  <c r="AA367" i="3"/>
  <c r="T367" i="3" l="1"/>
  <c r="AG367" i="3" s="1"/>
  <c r="U366" i="3"/>
  <c r="Y365" i="3"/>
  <c r="D367" i="3" l="1"/>
  <c r="AH367" i="3"/>
  <c r="E367" i="3"/>
  <c r="H367" i="3" s="1"/>
  <c r="F367" i="3" l="1"/>
  <c r="G367" i="3"/>
  <c r="K367" i="3"/>
  <c r="AE367" i="3" s="1"/>
  <c r="I367" i="3" l="1"/>
  <c r="J367" i="3"/>
  <c r="M367" i="3"/>
  <c r="N367" i="3" s="1"/>
  <c r="V367" i="3"/>
  <c r="A368" i="3"/>
  <c r="B368" i="3" s="1"/>
  <c r="L367" i="3" l="1"/>
  <c r="W367" i="3"/>
  <c r="Z368" i="3"/>
  <c r="P368" i="3"/>
  <c r="Q368" i="3" s="1"/>
  <c r="R368" i="3" s="1"/>
  <c r="S368" i="3" s="1"/>
  <c r="AD368" i="3"/>
  <c r="AC368" i="3"/>
  <c r="AA368" i="3"/>
  <c r="T368" i="3" l="1"/>
  <c r="AH368" i="3" s="1"/>
  <c r="U367" i="3"/>
  <c r="Y366" i="3"/>
  <c r="E368" i="3" l="1"/>
  <c r="H368" i="3" s="1"/>
  <c r="K368" i="3" s="1"/>
  <c r="AE368" i="3" s="1"/>
  <c r="D368" i="3"/>
  <c r="AG368" i="3"/>
  <c r="V368" i="3" l="1"/>
  <c r="A369" i="3"/>
  <c r="B369" i="3" s="1"/>
  <c r="F368" i="3"/>
  <c r="G368" i="3"/>
  <c r="I368" i="3" l="1"/>
  <c r="W368" i="3" s="1"/>
  <c r="J368" i="3"/>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AD377" i="3"/>
  <c r="Z377" i="3"/>
  <c r="U376" i="3"/>
  <c r="Y375" i="3"/>
  <c r="T377" i="3" l="1"/>
  <c r="AH377" i="3" s="1"/>
  <c r="E377" i="3" l="1"/>
  <c r="H377" i="3" s="1"/>
  <c r="K377" i="3" s="1"/>
  <c r="AE377" i="3" s="1"/>
  <c r="D377" i="3"/>
  <c r="AG377" i="3"/>
  <c r="F377" i="3" l="1"/>
  <c r="G377" i="3"/>
  <c r="M377" i="3" s="1"/>
  <c r="N377" i="3" s="1"/>
  <c r="V377" i="3"/>
  <c r="A378" i="3"/>
  <c r="B378" i="3" s="1"/>
  <c r="I377" i="3" l="1"/>
  <c r="W377" i="3" s="1"/>
  <c r="J377" i="3"/>
  <c r="L377" i="3" s="1"/>
  <c r="AD378" i="3"/>
  <c r="Z378" i="3"/>
  <c r="AC378" i="3"/>
  <c r="P378" i="3"/>
  <c r="Q378" i="3" s="1"/>
  <c r="R378" i="3" s="1"/>
  <c r="S378" i="3" s="1"/>
  <c r="AA378" i="3"/>
  <c r="U377" i="3" l="1"/>
  <c r="Y376" i="3"/>
  <c r="T378" i="3"/>
  <c r="D378" i="3" l="1"/>
  <c r="G378" i="3" s="1"/>
  <c r="AG378" i="3"/>
  <c r="E378" i="3"/>
  <c r="H378" i="3" s="1"/>
  <c r="K378" i="3" s="1"/>
  <c r="AE378" i="3" s="1"/>
  <c r="AH378" i="3"/>
  <c r="F378" i="3" l="1"/>
  <c r="V378" i="3"/>
  <c r="A379" i="3"/>
  <c r="B379" i="3" s="1"/>
  <c r="I378" i="3"/>
  <c r="J378" i="3"/>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D387" i="3"/>
  <c r="AA387" i="3"/>
  <c r="P387" i="3"/>
  <c r="Q387" i="3" s="1"/>
  <c r="R387" i="3" s="1"/>
  <c r="S387" i="3" s="1"/>
  <c r="AC387" i="3"/>
  <c r="Z387" i="3"/>
  <c r="U386" i="3" l="1"/>
  <c r="Y385" i="3"/>
  <c r="T387" i="3"/>
  <c r="AG387" i="3" s="1"/>
  <c r="AH387" i="3" l="1"/>
  <c r="D387" i="3"/>
  <c r="G387" i="3" s="1"/>
  <c r="E387" i="3"/>
  <c r="H387" i="3" s="1"/>
  <c r="F387" i="3" l="1"/>
  <c r="I387" i="3"/>
  <c r="J387" i="3"/>
  <c r="M387" i="3"/>
  <c r="N387" i="3" s="1"/>
  <c r="K387" i="3"/>
  <c r="AE387" i="3" s="1"/>
  <c r="V387" i="3" l="1"/>
  <c r="W387" i="3" s="1"/>
  <c r="A388" i="3"/>
  <c r="B388" i="3" s="1"/>
  <c r="L387" i="3"/>
  <c r="U387" i="3" l="1"/>
  <c r="Y386" i="3"/>
  <c r="AA388" i="3"/>
  <c r="Z388" i="3"/>
  <c r="P388" i="3"/>
  <c r="Q388" i="3" s="1"/>
  <c r="R388" i="3" s="1"/>
  <c r="S388" i="3" s="1"/>
  <c r="AD388" i="3"/>
  <c r="AC388" i="3"/>
  <c r="T388" i="3" l="1"/>
  <c r="E388" i="3" s="1"/>
  <c r="H388" i="3" s="1"/>
  <c r="K388" i="3" l="1"/>
  <c r="AE388" i="3" s="1"/>
  <c r="D388" i="3"/>
  <c r="AG388" i="3"/>
  <c r="AH388" i="3"/>
  <c r="V388" i="3" l="1"/>
  <c r="A389" i="3"/>
  <c r="B389" i="3" s="1"/>
  <c r="F388" i="3"/>
  <c r="G388" i="3"/>
  <c r="I388" i="3" l="1"/>
  <c r="W388" i="3" s="1"/>
  <c r="J388" i="3"/>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AD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L397" i="3" s="1"/>
  <c r="AD398" i="3"/>
  <c r="AC398" i="3"/>
  <c r="AA398" i="3"/>
  <c r="P398" i="3"/>
  <c r="Q398" i="3" s="1"/>
  <c r="R398" i="3" s="1"/>
  <c r="S398" i="3" s="1"/>
  <c r="Z398" i="3"/>
  <c r="T398" i="3" l="1"/>
  <c r="U397" i="3"/>
  <c r="Y396" i="3"/>
  <c r="E398" i="3" l="1"/>
  <c r="H398" i="3" s="1"/>
  <c r="K398" i="3" s="1"/>
  <c r="AE398" i="3" s="1"/>
  <c r="D398" i="3"/>
  <c r="G398" i="3" s="1"/>
  <c r="AH398" i="3"/>
  <c r="AG398" i="3"/>
  <c r="F398" i="3" l="1"/>
  <c r="V398" i="3"/>
  <c r="A399" i="3"/>
  <c r="B399" i="3" s="1"/>
  <c r="I398" i="3"/>
  <c r="J398" i="3"/>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D407" i="3"/>
  <c r="AA407" i="3"/>
  <c r="L406" i="3" l="1"/>
  <c r="T407" i="3"/>
  <c r="U406" i="3" l="1"/>
  <c r="D407" i="3" s="1"/>
  <c r="AG407" i="3"/>
  <c r="AH407" i="3"/>
  <c r="Y405" i="3"/>
  <c r="G407" i="3" l="1"/>
  <c r="E407" i="3"/>
  <c r="H407" i="3" s="1"/>
  <c r="F407" i="3" l="1"/>
  <c r="I407" i="3"/>
  <c r="J407" i="3"/>
  <c r="M407" i="3"/>
  <c r="N407" i="3" s="1"/>
  <c r="K407" i="3"/>
  <c r="AE407" i="3" s="1"/>
  <c r="V407" i="3" l="1"/>
  <c r="W407" i="3" s="1"/>
  <c r="A408" i="3"/>
  <c r="B408" i="3" s="1"/>
  <c r="L407" i="3"/>
  <c r="U407" i="3" l="1"/>
  <c r="Y406" i="3"/>
  <c r="Z408" i="3"/>
  <c r="AC408" i="3"/>
  <c r="AD408" i="3"/>
  <c r="P408" i="3"/>
  <c r="Q408" i="3" s="1"/>
  <c r="R408" i="3" s="1"/>
  <c r="S408" i="3" s="1"/>
  <c r="AA408" i="3"/>
  <c r="T408" i="3" l="1"/>
  <c r="AH408" i="3" s="1"/>
  <c r="E408" i="3" l="1"/>
  <c r="H408" i="3" s="1"/>
  <c r="K408" i="3" s="1"/>
  <c r="AE408" i="3" s="1"/>
  <c r="D408" i="3"/>
  <c r="G408" i="3" s="1"/>
  <c r="AG408" i="3"/>
  <c r="F408" i="3" l="1"/>
  <c r="I408" i="3"/>
  <c r="J408" i="3"/>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AD427" i="3"/>
  <c r="Z427" i="3"/>
  <c r="AA427" i="3"/>
  <c r="U426" i="3" l="1"/>
  <c r="Y425" i="3"/>
  <c r="T427" i="3"/>
  <c r="AG427" i="3" s="1"/>
  <c r="D427" i="3" l="1"/>
  <c r="G427" i="3" s="1"/>
  <c r="E427" i="3"/>
  <c r="H427" i="3" s="1"/>
  <c r="K427" i="3" s="1"/>
  <c r="AE427" i="3" s="1"/>
  <c r="AH427" i="3"/>
  <c r="F427" i="3" l="1"/>
  <c r="I427" i="3"/>
  <c r="J427" i="3"/>
  <c r="M427" i="3"/>
  <c r="N427" i="3" s="1"/>
  <c r="V427" i="3"/>
  <c r="A428" i="3"/>
  <c r="B428" i="3" s="1"/>
  <c r="W427" i="3" l="1"/>
  <c r="L427" i="3"/>
  <c r="P428" i="3"/>
  <c r="Q428" i="3" s="1"/>
  <c r="R428" i="3" s="1"/>
  <c r="S428" i="3" s="1"/>
  <c r="AC428" i="3"/>
  <c r="Z428" i="3"/>
  <c r="AA428" i="3"/>
  <c r="AD428" i="3"/>
  <c r="U427" i="3" l="1"/>
  <c r="Y426" i="3"/>
  <c r="T428" i="3"/>
  <c r="AG428" i="3" s="1"/>
  <c r="E428" i="3" l="1"/>
  <c r="H428" i="3" s="1"/>
  <c r="AH428" i="3"/>
  <c r="D428" i="3"/>
  <c r="K428" i="3" l="1"/>
  <c r="AE428" i="3" s="1"/>
  <c r="F428" i="3"/>
  <c r="G428" i="3"/>
  <c r="I428" i="3" l="1"/>
  <c r="J428" i="3"/>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AD437" i="3"/>
  <c r="Z437" i="3"/>
  <c r="U436" i="3" l="1"/>
  <c r="Y435" i="3"/>
  <c r="T437" i="3"/>
  <c r="AH437" i="3" s="1"/>
  <c r="D437" i="3" l="1"/>
  <c r="G437" i="3" s="1"/>
  <c r="E437" i="3"/>
  <c r="H437" i="3" s="1"/>
  <c r="K437" i="3" s="1"/>
  <c r="AE437" i="3" s="1"/>
  <c r="AG437" i="3"/>
  <c r="F437" i="3" l="1"/>
  <c r="I437" i="3"/>
  <c r="J437" i="3"/>
  <c r="M437" i="3"/>
  <c r="N437" i="3" s="1"/>
  <c r="V437" i="3"/>
  <c r="A438" i="3"/>
  <c r="B438" i="3" s="1"/>
  <c r="W437" i="3" l="1"/>
  <c r="L437" i="3"/>
  <c r="Z438" i="3"/>
  <c r="P438" i="3"/>
  <c r="Q438" i="3" s="1"/>
  <c r="R438" i="3" s="1"/>
  <c r="S438" i="3" s="1"/>
  <c r="AC438" i="3"/>
  <c r="AD438" i="3"/>
  <c r="AA438" i="3"/>
  <c r="U437" i="3" l="1"/>
  <c r="Y436" i="3"/>
  <c r="T438" i="3"/>
  <c r="E438" i="3" l="1"/>
  <c r="H438" i="3" s="1"/>
  <c r="K438" i="3" s="1"/>
  <c r="AE438" i="3" s="1"/>
  <c r="D438" i="3"/>
  <c r="AH438" i="3"/>
  <c r="AG438" i="3"/>
  <c r="V438" i="3" l="1"/>
  <c r="A439" i="3"/>
  <c r="B439" i="3" s="1"/>
  <c r="F438" i="3"/>
  <c r="G438" i="3"/>
  <c r="I438" i="3" l="1"/>
  <c r="W438" i="3" s="1"/>
  <c r="J438" i="3"/>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AD447" i="3"/>
  <c r="U446" i="3"/>
  <c r="Y445" i="3"/>
  <c r="T447" i="3" l="1"/>
  <c r="AG447" i="3" s="1"/>
  <c r="D447" i="3" l="1"/>
  <c r="G447" i="3" s="1"/>
  <c r="AH447" i="3"/>
  <c r="E447" i="3"/>
  <c r="H447" i="3" s="1"/>
  <c r="K447" i="3" s="1"/>
  <c r="AE447" i="3" s="1"/>
  <c r="F447" i="3" l="1"/>
  <c r="I447" i="3"/>
  <c r="J447" i="3"/>
  <c r="M447" i="3"/>
  <c r="N447" i="3" s="1"/>
  <c r="V447" i="3"/>
  <c r="A448" i="3"/>
  <c r="B448" i="3" s="1"/>
  <c r="W447" i="3" l="1"/>
  <c r="L447" i="3"/>
  <c r="AD448" i="3"/>
  <c r="Z448" i="3"/>
  <c r="AA448" i="3"/>
  <c r="P448" i="3"/>
  <c r="Q448" i="3" s="1"/>
  <c r="R448" i="3" s="1"/>
  <c r="S448" i="3" s="1"/>
  <c r="AC448" i="3"/>
  <c r="T448" i="3" l="1"/>
  <c r="AG448" i="3" s="1"/>
  <c r="U447" i="3"/>
  <c r="Y446" i="3"/>
  <c r="D448" i="3" l="1"/>
  <c r="G448" i="3" s="1"/>
  <c r="E448" i="3"/>
  <c r="H448" i="3" s="1"/>
  <c r="AH448" i="3"/>
  <c r="F448" i="3" l="1"/>
  <c r="I448" i="3"/>
  <c r="J448" i="3"/>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D457" i="3"/>
  <c r="AA457" i="3"/>
  <c r="U456" i="3"/>
  <c r="Y455" i="3"/>
  <c r="T457" i="3" l="1"/>
  <c r="D457" i="3" l="1"/>
  <c r="AH457" i="3"/>
  <c r="E457" i="3"/>
  <c r="H457" i="3" s="1"/>
  <c r="AG457" i="3"/>
  <c r="F457" i="3" l="1"/>
  <c r="G457" i="3"/>
  <c r="K457" i="3"/>
  <c r="AE457" i="3" s="1"/>
  <c r="I457" i="3" l="1"/>
  <c r="J457" i="3"/>
  <c r="M457" i="3"/>
  <c r="N457" i="3" s="1"/>
  <c r="V457" i="3"/>
  <c r="A458" i="3"/>
  <c r="B458" i="3" s="1"/>
  <c r="L457" i="3" l="1"/>
  <c r="W457" i="3"/>
  <c r="P458" i="3"/>
  <c r="Q458" i="3" s="1"/>
  <c r="R458" i="3" s="1"/>
  <c r="S458" i="3" s="1"/>
  <c r="AC458" i="3"/>
  <c r="Z458" i="3"/>
  <c r="AD458" i="3"/>
  <c r="AA458" i="3"/>
  <c r="U457" i="3" l="1"/>
  <c r="Y456" i="3"/>
  <c r="T458" i="3"/>
  <c r="AH458" i="3" s="1"/>
  <c r="AG458" i="3" l="1"/>
  <c r="E458" i="3"/>
  <c r="H458" i="3" s="1"/>
  <c r="D458" i="3"/>
  <c r="K458" i="3" l="1"/>
  <c r="AE458" i="3" s="1"/>
  <c r="F458" i="3"/>
  <c r="G458" i="3"/>
  <c r="V458" i="3" l="1"/>
  <c r="A459" i="3"/>
  <c r="B459" i="3" s="1"/>
  <c r="I458" i="3"/>
  <c r="J458" i="3"/>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AD465" i="3"/>
  <c r="T465" i="3" l="1"/>
  <c r="AH465" i="3" s="1"/>
  <c r="U464" i="3"/>
  <c r="Y463" i="3"/>
  <c r="D465" i="3" l="1"/>
  <c r="G465" i="3" s="1"/>
  <c r="E465" i="3"/>
  <c r="H465" i="3" s="1"/>
  <c r="AG465" i="3"/>
  <c r="F465" i="3" l="1"/>
  <c r="I465" i="3"/>
  <c r="J465" i="3"/>
  <c r="M465" i="3"/>
  <c r="N465" i="3" s="1"/>
  <c r="K465" i="3"/>
  <c r="AE465" i="3" s="1"/>
  <c r="V465" i="3" l="1"/>
  <c r="W465" i="3" s="1"/>
  <c r="A466" i="3"/>
  <c r="B466" i="3" s="1"/>
  <c r="L465" i="3"/>
  <c r="U465" i="3" l="1"/>
  <c r="Y464" i="3"/>
  <c r="AA466" i="3"/>
  <c r="AD466" i="3"/>
  <c r="AC466" i="3"/>
  <c r="Z466" i="3"/>
  <c r="P466" i="3"/>
  <c r="Q466" i="3" s="1"/>
  <c r="R466" i="3" s="1"/>
  <c r="S466" i="3" s="1"/>
  <c r="T466" i="3" l="1"/>
  <c r="AH466" i="3" s="1"/>
  <c r="AG466" i="3" l="1"/>
  <c r="E466" i="3"/>
  <c r="H466" i="3" s="1"/>
  <c r="K466" i="3" s="1"/>
  <c r="AE466" i="3" s="1"/>
  <c r="D466" i="3"/>
  <c r="G466" i="3" s="1"/>
  <c r="F466" i="3" l="1"/>
  <c r="I466" i="3"/>
  <c r="J466" i="3"/>
  <c r="M466" i="3"/>
  <c r="N466" i="3" s="1"/>
  <c r="V466" i="3"/>
  <c r="A467" i="3"/>
  <c r="B467" i="3" s="1"/>
  <c r="W466" i="3" l="1"/>
  <c r="L466" i="3"/>
  <c r="P467" i="3"/>
  <c r="Q467" i="3" s="1"/>
  <c r="R467" i="3" s="1"/>
  <c r="S467" i="3" s="1"/>
  <c r="AA467" i="3"/>
  <c r="Z467" i="3"/>
  <c r="AC467" i="3"/>
  <c r="AD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AD468" i="3"/>
  <c r="I467" i="3"/>
  <c r="W467" i="3" s="1"/>
  <c r="J467" i="3"/>
  <c r="M467" i="3"/>
  <c r="N467" i="3" s="1"/>
  <c r="L467" i="3" l="1"/>
  <c r="T468" i="3"/>
  <c r="U467" i="3" l="1"/>
  <c r="D468" i="3" s="1"/>
  <c r="AH468" i="3"/>
  <c r="AG468" i="3"/>
  <c r="Y466" i="3"/>
  <c r="E468" i="3" l="1"/>
  <c r="H468" i="3" s="1"/>
  <c r="K468" i="3" s="1"/>
  <c r="AE468" i="3" s="1"/>
  <c r="G468" i="3"/>
  <c r="F468" i="3" l="1"/>
  <c r="I468" i="3"/>
  <c r="J468" i="3"/>
  <c r="M468" i="3"/>
  <c r="N468" i="3" s="1"/>
  <c r="V468" i="3"/>
  <c r="A469" i="3"/>
  <c r="B469" i="3" s="1"/>
  <c r="W468" i="3" l="1"/>
  <c r="L468" i="3"/>
  <c r="AD469" i="3"/>
  <c r="AA469" i="3"/>
  <c r="P469" i="3"/>
  <c r="Q469" i="3" s="1"/>
  <c r="R469" i="3" s="1"/>
  <c r="S469" i="3" s="1"/>
  <c r="Z469" i="3"/>
  <c r="AC469" i="3"/>
  <c r="U468" i="3" l="1"/>
  <c r="Y467" i="3"/>
  <c r="T469" i="3"/>
  <c r="AG469" i="3" s="1"/>
  <c r="D469" i="3" l="1"/>
  <c r="G469" i="3" s="1"/>
  <c r="AH469" i="3"/>
  <c r="E469" i="3"/>
  <c r="H469" i="3" s="1"/>
  <c r="K469" i="3" s="1"/>
  <c r="AE469" i="3" s="1"/>
  <c r="F469" i="3" l="1"/>
  <c r="I469" i="3"/>
  <c r="J469" i="3"/>
  <c r="M469" i="3"/>
  <c r="N469" i="3" s="1"/>
  <c r="V469" i="3"/>
  <c r="A470" i="3"/>
  <c r="B470" i="3" s="1"/>
  <c r="W469" i="3" l="1"/>
  <c r="L469" i="3"/>
  <c r="AC470" i="3"/>
  <c r="P470" i="3"/>
  <c r="Q470" i="3" s="1"/>
  <c r="R470" i="3" s="1"/>
  <c r="S470" i="3" s="1"/>
  <c r="AA470" i="3"/>
  <c r="Z470" i="3"/>
  <c r="AD470" i="3"/>
  <c r="U469" i="3" l="1"/>
  <c r="Y468" i="3"/>
  <c r="T470" i="3"/>
  <c r="D470" i="3" l="1"/>
  <c r="G470" i="3" s="1"/>
  <c r="AH470" i="3"/>
  <c r="AG470" i="3"/>
  <c r="E470" i="3"/>
  <c r="H470" i="3" s="1"/>
  <c r="K470" i="3" l="1"/>
  <c r="AE470" i="3" s="1"/>
  <c r="F470" i="3"/>
  <c r="I470" i="3"/>
  <c r="J470" i="3"/>
  <c r="M470" i="3"/>
  <c r="N470" i="3" s="1"/>
  <c r="V470" i="3" l="1"/>
  <c r="W470" i="3" s="1"/>
  <c r="A471" i="3"/>
  <c r="B471" i="3" s="1"/>
  <c r="L470" i="3"/>
  <c r="U470" i="3" l="1"/>
  <c r="Y469" i="3"/>
  <c r="Z471" i="3"/>
  <c r="AA471" i="3"/>
  <c r="AD471" i="3"/>
  <c r="AC471" i="3"/>
  <c r="P471" i="3"/>
  <c r="Q471" i="3" s="1"/>
  <c r="R471" i="3" s="1"/>
  <c r="S471" i="3" s="1"/>
  <c r="T471" i="3" l="1"/>
  <c r="AH471" i="3" s="1"/>
  <c r="AG471" i="3" l="1"/>
  <c r="E471" i="3"/>
  <c r="H471" i="3" s="1"/>
  <c r="D471" i="3"/>
  <c r="F471" i="3" l="1"/>
  <c r="G471" i="3"/>
  <c r="K471" i="3"/>
  <c r="AE471" i="3" s="1"/>
  <c r="V471" i="3" l="1"/>
  <c r="A472" i="3"/>
  <c r="B472" i="3" s="1"/>
  <c r="I471" i="3"/>
  <c r="J471" i="3"/>
  <c r="M471" i="3"/>
  <c r="N471" i="3" s="1"/>
  <c r="W471" i="3" l="1"/>
  <c r="L471" i="3"/>
  <c r="Z472" i="3"/>
  <c r="AA472" i="3"/>
  <c r="P472" i="3"/>
  <c r="Q472" i="3" s="1"/>
  <c r="R472" i="3" s="1"/>
  <c r="S472" i="3" s="1"/>
  <c r="AD472" i="3"/>
  <c r="AC472" i="3"/>
  <c r="U471" i="3" l="1"/>
  <c r="Y470" i="3"/>
  <c r="T472" i="3"/>
  <c r="E472" i="3" l="1"/>
  <c r="H472" i="3" s="1"/>
  <c r="K472" i="3" s="1"/>
  <c r="AE472" i="3" s="1"/>
  <c r="AG472" i="3"/>
  <c r="AH472" i="3"/>
  <c r="D472" i="3"/>
  <c r="V472" i="3" l="1"/>
  <c r="A473" i="3"/>
  <c r="B473" i="3" s="1"/>
  <c r="F472" i="3"/>
  <c r="G472" i="3"/>
  <c r="I472" i="3" l="1"/>
  <c r="W472" i="3" s="1"/>
  <c r="J472" i="3"/>
  <c r="M472" i="3"/>
  <c r="N472" i="3" s="1"/>
  <c r="AC473" i="3"/>
  <c r="P473" i="3"/>
  <c r="Q473" i="3" s="1"/>
  <c r="R473" i="3" s="1"/>
  <c r="S473" i="3" s="1"/>
  <c r="AD473" i="3"/>
  <c r="Z473" i="3"/>
  <c r="AA473" i="3"/>
  <c r="L472" i="3" l="1"/>
  <c r="T473" i="3"/>
  <c r="U472" i="3" l="1"/>
  <c r="D473" i="3" s="1"/>
  <c r="AH473" i="3"/>
  <c r="AG473" i="3"/>
  <c r="Y471" i="3"/>
  <c r="G473" i="3" l="1"/>
  <c r="E473" i="3"/>
  <c r="H473" i="3" s="1"/>
  <c r="F473" i="3" l="1"/>
  <c r="I473" i="3"/>
  <c r="J473" i="3"/>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D477" i="3"/>
  <c r="AC477" i="3"/>
  <c r="Z477" i="3"/>
  <c r="U476" i="3" l="1"/>
  <c r="Y475" i="3"/>
  <c r="T477" i="3"/>
  <c r="D477" i="3" l="1"/>
  <c r="G477" i="3" s="1"/>
  <c r="AG477" i="3"/>
  <c r="E477" i="3"/>
  <c r="H477" i="3" s="1"/>
  <c r="K477" i="3" s="1"/>
  <c r="AE477" i="3" s="1"/>
  <c r="AH477" i="3"/>
  <c r="F477" i="3" l="1"/>
  <c r="V477" i="3"/>
  <c r="A478" i="3"/>
  <c r="B478" i="3" s="1"/>
  <c r="I477" i="3"/>
  <c r="J477" i="3"/>
  <c r="M477" i="3"/>
  <c r="N477" i="3" s="1"/>
  <c r="W477" i="3" l="1"/>
  <c r="L477" i="3"/>
  <c r="AA478" i="3"/>
  <c r="AD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AD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M487" i="3"/>
  <c r="N487" i="3" s="1"/>
  <c r="AA488" i="3"/>
  <c r="AD488" i="3"/>
  <c r="Z488" i="3"/>
  <c r="P488" i="3"/>
  <c r="Q488" i="3" s="1"/>
  <c r="R488" i="3" s="1"/>
  <c r="S488" i="3" s="1"/>
  <c r="AC488" i="3"/>
  <c r="L487" i="3" l="1"/>
  <c r="T488" i="3"/>
  <c r="U487" i="3" l="1"/>
  <c r="D488" i="3" s="1"/>
  <c r="AG488" i="3"/>
  <c r="AH488" i="3"/>
  <c r="Y486" i="3"/>
  <c r="E488" i="3" l="1"/>
  <c r="H488" i="3" s="1"/>
  <c r="K488" i="3" s="1"/>
  <c r="AE488" i="3" s="1"/>
  <c r="G488" i="3"/>
  <c r="F488" i="3" l="1"/>
  <c r="I488" i="3"/>
  <c r="J488" i="3"/>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D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M495" i="3"/>
  <c r="N495" i="3" s="1"/>
  <c r="W495" i="3" l="1"/>
  <c r="L495" i="3"/>
  <c r="AD496"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M496" i="3"/>
  <c r="N496" i="3" s="1"/>
  <c r="W496" i="3" l="1"/>
  <c r="L496" i="3"/>
  <c r="P497" i="3"/>
  <c r="Q497" i="3" s="1"/>
  <c r="R497" i="3" s="1"/>
  <c r="S497" i="3" s="1"/>
  <c r="AC497" i="3"/>
  <c r="AA497" i="3"/>
  <c r="AD497" i="3"/>
  <c r="Z497" i="3"/>
  <c r="U496" i="3" l="1"/>
  <c r="Y495" i="3"/>
  <c r="T497" i="3"/>
  <c r="AG497" i="3" s="1"/>
  <c r="E497" i="3" l="1"/>
  <c r="H497" i="3" s="1"/>
  <c r="D497" i="3"/>
  <c r="AH497" i="3"/>
  <c r="F497" i="3" l="1"/>
  <c r="G497" i="3"/>
  <c r="K497" i="3"/>
  <c r="AE497" i="3" s="1"/>
  <c r="I497" i="3" l="1"/>
  <c r="J497" i="3"/>
  <c r="M497" i="3"/>
  <c r="N497" i="3" s="1"/>
  <c r="V497" i="3"/>
  <c r="A498" i="3"/>
  <c r="B498" i="3" s="1"/>
  <c r="W497" i="3" l="1"/>
  <c r="L497" i="3"/>
  <c r="Z498" i="3"/>
  <c r="AC498" i="3"/>
  <c r="AD498" i="3"/>
  <c r="AA498" i="3"/>
  <c r="P498" i="3"/>
  <c r="Q498" i="3" s="1"/>
  <c r="R498" i="3" s="1"/>
  <c r="S498" i="3" s="1"/>
  <c r="U497" i="3" l="1"/>
  <c r="Y496" i="3"/>
  <c r="T498" i="3"/>
  <c r="AH498" i="3" s="1"/>
  <c r="AG498" i="3" l="1"/>
  <c r="D498" i="3"/>
  <c r="E498" i="3"/>
  <c r="H498" i="3" s="1"/>
  <c r="F498" i="3" l="1"/>
  <c r="G498" i="3"/>
  <c r="K498" i="3"/>
  <c r="AE498" i="3" s="1"/>
  <c r="I498" i="3" l="1"/>
  <c r="J498" i="3"/>
  <c r="M498" i="3"/>
  <c r="N498" i="3" s="1"/>
  <c r="V498" i="3"/>
  <c r="A499" i="3"/>
  <c r="B499" i="3" s="1"/>
  <c r="W498" i="3" l="1"/>
  <c r="L498" i="3"/>
  <c r="AC499" i="3"/>
  <c r="P499" i="3"/>
  <c r="Q499" i="3" s="1"/>
  <c r="R499" i="3" s="1"/>
  <c r="S499" i="3" s="1"/>
  <c r="AD499" i="3"/>
  <c r="AA499" i="3"/>
  <c r="Z499" i="3"/>
  <c r="T499" i="3" l="1"/>
  <c r="U498" i="3"/>
  <c r="Y497" i="3"/>
  <c r="D499" i="3" l="1"/>
  <c r="G499" i="3" s="1"/>
  <c r="AH499" i="3"/>
  <c r="E499" i="3"/>
  <c r="H499" i="3" s="1"/>
  <c r="AG499" i="3"/>
  <c r="F499" i="3" l="1"/>
  <c r="I499" i="3"/>
  <c r="J499" i="3"/>
  <c r="M499" i="3"/>
  <c r="N499" i="3" s="1"/>
  <c r="K499" i="3"/>
  <c r="AE499" i="3" s="1"/>
  <c r="V499" i="3" l="1"/>
  <c r="W499" i="3" s="1"/>
  <c r="A500" i="3"/>
  <c r="B500" i="3" s="1"/>
  <c r="L499" i="3"/>
  <c r="U499" i="3" l="1"/>
  <c r="Y498" i="3"/>
  <c r="AD500" i="3"/>
  <c r="AA500" i="3"/>
  <c r="AC500" i="3"/>
  <c r="P500" i="3"/>
  <c r="Q500" i="3" s="1"/>
  <c r="R500" i="3" s="1"/>
  <c r="S500" i="3" s="1"/>
  <c r="Z500" i="3"/>
  <c r="T500" i="3" l="1"/>
  <c r="AH500" i="3" s="1"/>
  <c r="D500" i="3" l="1"/>
  <c r="AG500" i="3"/>
  <c r="E500" i="3"/>
  <c r="H500" i="3" s="1"/>
  <c r="F500" i="3" l="1"/>
  <c r="G500" i="3"/>
  <c r="K500" i="3"/>
  <c r="AE500" i="3" s="1"/>
  <c r="I500" i="3" l="1"/>
  <c r="J500" i="3"/>
  <c r="M500" i="3"/>
  <c r="N500" i="3" s="1"/>
  <c r="V500" i="3"/>
  <c r="A501" i="3"/>
  <c r="B501" i="3" s="1"/>
  <c r="W500" i="3" l="1"/>
  <c r="L500" i="3"/>
  <c r="P501" i="3"/>
  <c r="Q501" i="3" s="1"/>
  <c r="R501" i="3" s="1"/>
  <c r="S501" i="3" s="1"/>
  <c r="AC501" i="3"/>
  <c r="AD501" i="3"/>
  <c r="Z501" i="3"/>
  <c r="AA501" i="3"/>
  <c r="U500" i="3" l="1"/>
  <c r="Y499" i="3"/>
  <c r="T501" i="3"/>
  <c r="D501" i="3" l="1"/>
  <c r="G501" i="3" s="1"/>
  <c r="E501" i="3"/>
  <c r="H501" i="3" s="1"/>
  <c r="K501" i="3" s="1"/>
  <c r="AE501" i="3" s="1"/>
  <c r="AG501" i="3"/>
  <c r="AH501" i="3"/>
  <c r="F501" i="3" l="1"/>
  <c r="I501" i="3"/>
  <c r="J501" i="3"/>
  <c r="M501" i="3"/>
  <c r="N501" i="3" s="1"/>
  <c r="V501" i="3"/>
  <c r="A502" i="3"/>
  <c r="B502" i="3" s="1"/>
  <c r="L501" i="3" l="1"/>
  <c r="W501" i="3"/>
  <c r="Z502" i="3"/>
  <c r="AA502" i="3"/>
  <c r="AC502" i="3"/>
  <c r="AD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M502" i="3"/>
  <c r="N502" i="3" s="1"/>
  <c r="AA503" i="3"/>
  <c r="P503" i="3"/>
  <c r="Q503" i="3" s="1"/>
  <c r="R503" i="3" s="1"/>
  <c r="S503" i="3" s="1"/>
  <c r="AD503" i="3"/>
  <c r="AC503" i="3"/>
  <c r="Z503" i="3"/>
  <c r="T503" i="3" l="1"/>
  <c r="L502" i="3"/>
  <c r="AG503" i="3" l="1"/>
  <c r="AH503" i="3"/>
  <c r="U502" i="3"/>
  <c r="E503" i="3" s="1"/>
  <c r="H503" i="3" s="1"/>
  <c r="Y501" i="3"/>
  <c r="D503" i="3" l="1"/>
  <c r="G503" i="3" s="1"/>
  <c r="K503" i="3"/>
  <c r="AE503" i="3" s="1"/>
  <c r="F503" i="3" l="1"/>
  <c r="V503" i="3"/>
  <c r="A504" i="3"/>
  <c r="B504" i="3" s="1"/>
  <c r="I503" i="3"/>
  <c r="J503" i="3"/>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D507" i="3"/>
  <c r="AC507" i="3"/>
  <c r="P507" i="3"/>
  <c r="Q507" i="3" s="1"/>
  <c r="R507" i="3" s="1"/>
  <c r="S507" i="3" s="1"/>
  <c r="AA507" i="3"/>
  <c r="Z507" i="3"/>
  <c r="U506" i="3" l="1"/>
  <c r="Y505" i="3"/>
  <c r="T507" i="3"/>
  <c r="AH507" i="3" s="1"/>
  <c r="AG507" i="3" l="1"/>
  <c r="E507" i="3"/>
  <c r="H507" i="3" s="1"/>
  <c r="D507" i="3"/>
  <c r="K507" i="3" l="1"/>
  <c r="AE507" i="3" s="1"/>
  <c r="F507" i="3"/>
  <c r="G507" i="3"/>
  <c r="I507" i="3" l="1"/>
  <c r="J507" i="3"/>
  <c r="M507" i="3"/>
  <c r="N507" i="3" s="1"/>
  <c r="V507" i="3"/>
  <c r="A508" i="3"/>
  <c r="B508" i="3" s="1"/>
  <c r="W507" i="3" l="1"/>
  <c r="L507" i="3"/>
  <c r="P508" i="3"/>
  <c r="Q508" i="3" s="1"/>
  <c r="R508" i="3" s="1"/>
  <c r="S508" i="3" s="1"/>
  <c r="AD508" i="3"/>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AD515" i="3"/>
  <c r="P515" i="3"/>
  <c r="Q515" i="3" s="1"/>
  <c r="R515" i="3" s="1"/>
  <c r="S515" i="3" s="1"/>
  <c r="AC515" i="3"/>
  <c r="Z515" i="3"/>
  <c r="AA515" i="3"/>
  <c r="U514" i="3" l="1"/>
  <c r="Y513" i="3"/>
  <c r="T515" i="3"/>
  <c r="D515" i="3" l="1"/>
  <c r="G515" i="3" s="1"/>
  <c r="AG515" i="3"/>
  <c r="AH515" i="3"/>
  <c r="E515" i="3"/>
  <c r="H515" i="3" s="1"/>
  <c r="K515" i="3" l="1"/>
  <c r="AE515" i="3" s="1"/>
  <c r="I515" i="3"/>
  <c r="J515" i="3"/>
  <c r="M515" i="3"/>
  <c r="N515" i="3" s="1"/>
  <c r="F515" i="3"/>
  <c r="L515" i="3" l="1"/>
  <c r="V515" i="3"/>
  <c r="W515" i="3" s="1"/>
  <c r="A516" i="3"/>
  <c r="B516" i="3" s="1"/>
  <c r="U515" i="3" l="1"/>
  <c r="Y514" i="3"/>
  <c r="AA516" i="3"/>
  <c r="Z516" i="3"/>
  <c r="AC516" i="3"/>
  <c r="P516" i="3"/>
  <c r="Q516" i="3" s="1"/>
  <c r="R516" i="3" s="1"/>
  <c r="S516" i="3" s="1"/>
  <c r="AD516" i="3"/>
  <c r="T516" i="3" l="1"/>
  <c r="AG516" i="3" s="1"/>
  <c r="D516" i="3" l="1"/>
  <c r="AH516" i="3"/>
  <c r="E516" i="3"/>
  <c r="H516" i="3" s="1"/>
  <c r="F516" i="3" l="1"/>
  <c r="G516" i="3"/>
  <c r="K516" i="3"/>
  <c r="AE516" i="3" s="1"/>
  <c r="I516" i="3" l="1"/>
  <c r="J516" i="3"/>
  <c r="M516" i="3"/>
  <c r="N516" i="3" s="1"/>
  <c r="V516" i="3"/>
  <c r="A517" i="3"/>
  <c r="B517" i="3" s="1"/>
  <c r="W516" i="3" l="1"/>
  <c r="L516" i="3"/>
  <c r="AD517" i="3"/>
  <c r="AC517" i="3"/>
  <c r="P517" i="3"/>
  <c r="Q517" i="3" s="1"/>
  <c r="R517" i="3" s="1"/>
  <c r="S517" i="3" s="1"/>
  <c r="AA517" i="3"/>
  <c r="Z517" i="3"/>
  <c r="U516" i="3" l="1"/>
  <c r="Y515" i="3"/>
  <c r="T517" i="3"/>
  <c r="AG517" i="3" s="1"/>
  <c r="D517" i="3" l="1"/>
  <c r="G517" i="3" s="1"/>
  <c r="AH517" i="3"/>
  <c r="E517" i="3"/>
  <c r="H517" i="3" s="1"/>
  <c r="K517" i="3" s="1"/>
  <c r="AE517" i="3" s="1"/>
  <c r="F517" i="3" l="1"/>
  <c r="I517" i="3"/>
  <c r="J517" i="3"/>
  <c r="M517" i="3"/>
  <c r="N517" i="3" s="1"/>
  <c r="V517" i="3"/>
  <c r="A518" i="3"/>
  <c r="B518" i="3" s="1"/>
  <c r="W517" i="3" l="1"/>
  <c r="L517" i="3"/>
  <c r="AD518" i="3"/>
  <c r="AA518" i="3"/>
  <c r="AC518" i="3"/>
  <c r="Z518" i="3"/>
  <c r="P518" i="3"/>
  <c r="Q518" i="3" s="1"/>
  <c r="R518" i="3" s="1"/>
  <c r="S518" i="3" s="1"/>
  <c r="U517" i="3" l="1"/>
  <c r="Y516" i="3"/>
  <c r="T518" i="3"/>
  <c r="D518" i="3" l="1"/>
  <c r="G518" i="3" s="1"/>
  <c r="E518" i="3"/>
  <c r="H518" i="3" s="1"/>
  <c r="AH518" i="3"/>
  <c r="AG518" i="3"/>
  <c r="F518" i="3" l="1"/>
  <c r="I518" i="3"/>
  <c r="J518" i="3"/>
  <c r="M518" i="3"/>
  <c r="N518" i="3" s="1"/>
  <c r="K518" i="3"/>
  <c r="AE518" i="3" s="1"/>
  <c r="V518" i="3" l="1"/>
  <c r="W518" i="3" s="1"/>
  <c r="A519" i="3"/>
  <c r="B519" i="3" s="1"/>
  <c r="L518" i="3"/>
  <c r="U518" i="3" l="1"/>
  <c r="Y517" i="3"/>
  <c r="AD519" i="3"/>
  <c r="AA519" i="3"/>
  <c r="Z519" i="3"/>
  <c r="AC519" i="3"/>
  <c r="P519" i="3"/>
  <c r="Q519" i="3" s="1"/>
  <c r="R519" i="3" s="1"/>
  <c r="S519" i="3" s="1"/>
  <c r="T519" i="3" l="1"/>
  <c r="D519" i="3" s="1"/>
  <c r="AG519" i="3" l="1"/>
  <c r="G519" i="3"/>
  <c r="AH519" i="3"/>
  <c r="E519" i="3"/>
  <c r="H519" i="3" s="1"/>
  <c r="F519" i="3" l="1"/>
  <c r="I519" i="3"/>
  <c r="J519" i="3"/>
  <c r="M519" i="3"/>
  <c r="N519" i="3" s="1"/>
  <c r="K519" i="3"/>
  <c r="AE519" i="3" s="1"/>
  <c r="V519" i="3" l="1"/>
  <c r="W519" i="3" s="1"/>
  <c r="A520" i="3"/>
  <c r="B520" i="3" s="1"/>
  <c r="L519" i="3"/>
  <c r="U519" i="3" l="1"/>
  <c r="Y518" i="3"/>
  <c r="AA520" i="3"/>
  <c r="AC520" i="3"/>
  <c r="Z520" i="3"/>
  <c r="AD520" i="3"/>
  <c r="P520" i="3"/>
  <c r="Q520" i="3" s="1"/>
  <c r="R520" i="3" s="1"/>
  <c r="S520" i="3" s="1"/>
  <c r="T520" i="3" l="1"/>
  <c r="D520" i="3" s="1"/>
  <c r="AG520" i="3" l="1"/>
  <c r="E520" i="3"/>
  <c r="H520" i="3" s="1"/>
  <c r="K520" i="3" s="1"/>
  <c r="AE520" i="3" s="1"/>
  <c r="AH520" i="3"/>
  <c r="G520" i="3"/>
  <c r="F520" i="3" l="1"/>
  <c r="I520" i="3"/>
  <c r="J520" i="3"/>
  <c r="M520" i="3"/>
  <c r="N520" i="3" s="1"/>
  <c r="V520" i="3"/>
  <c r="A521" i="3"/>
  <c r="B521" i="3" s="1"/>
  <c r="W520" i="3" l="1"/>
  <c r="L520" i="3"/>
  <c r="P521" i="3"/>
  <c r="Q521" i="3" s="1"/>
  <c r="R521" i="3" s="1"/>
  <c r="S521" i="3" s="1"/>
  <c r="AC521" i="3"/>
  <c r="AA521" i="3"/>
  <c r="AD521" i="3"/>
  <c r="Z521" i="3"/>
  <c r="U520" i="3" l="1"/>
  <c r="Y519" i="3"/>
  <c r="T521" i="3"/>
  <c r="AH521" i="3" s="1"/>
  <c r="AG521" i="3" l="1"/>
  <c r="D521" i="3"/>
  <c r="E521" i="3"/>
  <c r="H521" i="3" s="1"/>
  <c r="K521" i="3" s="1"/>
  <c r="AE521" i="3" s="1"/>
  <c r="F521" i="3" l="1"/>
  <c r="G521" i="3"/>
  <c r="I521" i="3" s="1"/>
  <c r="V521" i="3"/>
  <c r="A522" i="3"/>
  <c r="B522" i="3" s="1"/>
  <c r="M521" i="3" l="1"/>
  <c r="N521" i="3" s="1"/>
  <c r="J521" i="3"/>
  <c r="L521" i="3" s="1"/>
  <c r="W521" i="3"/>
  <c r="AC522" i="3"/>
  <c r="P522" i="3"/>
  <c r="Q522" i="3" s="1"/>
  <c r="R522" i="3" s="1"/>
  <c r="S522" i="3" s="1"/>
  <c r="AA522" i="3"/>
  <c r="AD522" i="3"/>
  <c r="Z522" i="3"/>
  <c r="U521" i="3" l="1"/>
  <c r="Y520" i="3"/>
  <c r="T522" i="3"/>
  <c r="AG522" i="3" s="1"/>
  <c r="AH522" i="3" l="1"/>
  <c r="E522" i="3"/>
  <c r="H522" i="3" s="1"/>
  <c r="D522" i="3"/>
  <c r="K522" i="3" l="1"/>
  <c r="AE522" i="3" s="1"/>
  <c r="F522" i="3"/>
  <c r="G522" i="3"/>
  <c r="I522" i="3" l="1"/>
  <c r="J522" i="3"/>
  <c r="M522" i="3"/>
  <c r="N522" i="3" s="1"/>
  <c r="V522" i="3"/>
  <c r="A523" i="3"/>
  <c r="B523" i="3" s="1"/>
  <c r="W522" i="3" l="1"/>
  <c r="L522" i="3"/>
  <c r="AC523" i="3"/>
  <c r="Z523" i="3"/>
  <c r="AD523" i="3"/>
  <c r="AA523" i="3"/>
  <c r="P523" i="3"/>
  <c r="Q523" i="3" s="1"/>
  <c r="R523" i="3" s="1"/>
  <c r="S523" i="3" s="1"/>
  <c r="U522" i="3" l="1"/>
  <c r="Y521" i="3"/>
  <c r="T523" i="3"/>
  <c r="AG523" i="3" s="1"/>
  <c r="AH523" i="3" l="1"/>
  <c r="D523" i="3"/>
  <c r="G523" i="3" s="1"/>
  <c r="E523" i="3"/>
  <c r="H523" i="3" s="1"/>
  <c r="F523" i="3" l="1"/>
  <c r="I523" i="3"/>
  <c r="J523" i="3"/>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AD527" i="3"/>
  <c r="Z527" i="3"/>
  <c r="AC527" i="3"/>
  <c r="P527" i="3"/>
  <c r="Q527" i="3" s="1"/>
  <c r="R527" i="3" s="1"/>
  <c r="S527" i="3" s="1"/>
  <c r="AA527" i="3"/>
  <c r="U526" i="3" l="1"/>
  <c r="Y525" i="3"/>
  <c r="T527" i="3"/>
  <c r="D527" i="3" l="1"/>
  <c r="G527" i="3" s="1"/>
  <c r="E527" i="3"/>
  <c r="H527" i="3" s="1"/>
  <c r="AG527" i="3"/>
  <c r="AH527" i="3"/>
  <c r="F527" i="3" l="1"/>
  <c r="I527" i="3"/>
  <c r="J527" i="3"/>
  <c r="M527" i="3"/>
  <c r="N527" i="3" s="1"/>
  <c r="K527" i="3"/>
  <c r="AE527" i="3" s="1"/>
  <c r="V527" i="3" l="1"/>
  <c r="W527" i="3" s="1"/>
  <c r="A528" i="3"/>
  <c r="B528" i="3" s="1"/>
  <c r="L527" i="3"/>
  <c r="U527" i="3" l="1"/>
  <c r="Y526" i="3"/>
  <c r="Z528" i="3"/>
  <c r="P528" i="3"/>
  <c r="Q528" i="3" s="1"/>
  <c r="R528" i="3" s="1"/>
  <c r="S528" i="3" s="1"/>
  <c r="AC528" i="3"/>
  <c r="AD528" i="3"/>
  <c r="AA528" i="3"/>
  <c r="T528" i="3" l="1"/>
  <c r="AH528" i="3" s="1"/>
  <c r="D528" i="3" l="1"/>
  <c r="E528" i="3"/>
  <c r="H528" i="3" s="1"/>
  <c r="K528" i="3" s="1"/>
  <c r="AE528" i="3" s="1"/>
  <c r="AG528" i="3"/>
  <c r="F528" i="3" l="1"/>
  <c r="G528" i="3"/>
  <c r="M528" i="3" s="1"/>
  <c r="N528" i="3" s="1"/>
  <c r="V528" i="3"/>
  <c r="A529" i="3"/>
  <c r="B529" i="3" s="1"/>
  <c r="I528" i="3" l="1"/>
  <c r="W528" i="3" s="1"/>
  <c r="J528" i="3"/>
  <c r="L528" i="3" s="1"/>
  <c r="Z529" i="3"/>
  <c r="AC529" i="3"/>
  <c r="AD529" i="3"/>
  <c r="P529" i="3"/>
  <c r="Q529" i="3" s="1"/>
  <c r="R529" i="3" s="1"/>
  <c r="S529" i="3" s="1"/>
  <c r="AA529" i="3"/>
  <c r="U528" i="3" l="1"/>
  <c r="Y527" i="3"/>
  <c r="T529" i="3"/>
  <c r="AG529" i="3" s="1"/>
  <c r="D529" i="3" l="1"/>
  <c r="G529" i="3" s="1"/>
  <c r="AH529" i="3"/>
  <c r="E529" i="3"/>
  <c r="H529" i="3" s="1"/>
  <c r="K529" i="3" s="1"/>
  <c r="AE529" i="3" s="1"/>
  <c r="F529" i="3" l="1"/>
  <c r="I529" i="3"/>
  <c r="J529" i="3"/>
  <c r="M529" i="3"/>
  <c r="N529" i="3" s="1"/>
  <c r="V529" i="3"/>
  <c r="A530" i="3"/>
  <c r="B530" i="3" s="1"/>
  <c r="W529" i="3" l="1"/>
  <c r="L529" i="3"/>
  <c r="Z530" i="3"/>
  <c r="AD530" i="3"/>
  <c r="P530" i="3"/>
  <c r="Q530" i="3" s="1"/>
  <c r="R530" i="3" s="1"/>
  <c r="S530" i="3" s="1"/>
  <c r="AC530" i="3"/>
  <c r="AA530" i="3"/>
  <c r="T530" i="3" l="1"/>
  <c r="AG530" i="3" s="1"/>
  <c r="U529" i="3"/>
  <c r="Y528" i="3"/>
  <c r="D530" i="3" l="1"/>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D537" i="3"/>
  <c r="AA537" i="3"/>
  <c r="U536" i="3" l="1"/>
  <c r="Y535" i="3"/>
  <c r="T537" i="3"/>
  <c r="AH537" i="3" s="1"/>
  <c r="AG537" i="3" l="1"/>
  <c r="E537" i="3"/>
  <c r="H537" i="3" s="1"/>
  <c r="D537" i="3"/>
  <c r="K537" i="3" l="1"/>
  <c r="AE537" i="3" s="1"/>
  <c r="F537" i="3"/>
  <c r="G537" i="3"/>
  <c r="I537" i="3" l="1"/>
  <c r="J537" i="3"/>
  <c r="M537" i="3"/>
  <c r="N537" i="3" s="1"/>
  <c r="V537" i="3"/>
  <c r="A538" i="3"/>
  <c r="B538" i="3" s="1"/>
  <c r="W537" i="3" l="1"/>
  <c r="L537" i="3"/>
  <c r="AA538" i="3"/>
  <c r="AC538" i="3"/>
  <c r="AD538" i="3"/>
  <c r="Z538" i="3"/>
  <c r="P538" i="3"/>
  <c r="Q538" i="3" s="1"/>
  <c r="R538" i="3" s="1"/>
  <c r="S538" i="3" s="1"/>
  <c r="T538" i="3" l="1"/>
  <c r="U537" i="3"/>
  <c r="Y536" i="3"/>
  <c r="D538" i="3" l="1"/>
  <c r="G538" i="3" s="1"/>
  <c r="AH538" i="3"/>
  <c r="AG538" i="3"/>
  <c r="E538" i="3"/>
  <c r="H538" i="3" s="1"/>
  <c r="F538" i="3" l="1"/>
  <c r="I538" i="3"/>
  <c r="J538" i="3"/>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D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M545" i="3"/>
  <c r="N545" i="3" s="1"/>
  <c r="AC546" i="3"/>
  <c r="P546" i="3"/>
  <c r="Q546" i="3" s="1"/>
  <c r="R546" i="3" s="1"/>
  <c r="S546" i="3" s="1"/>
  <c r="Z546" i="3"/>
  <c r="AA546" i="3"/>
  <c r="AD546" i="3"/>
  <c r="T546" i="3" l="1"/>
  <c r="L545" i="3"/>
  <c r="U545" i="3" l="1"/>
  <c r="D546" i="3" s="1"/>
  <c r="AG546" i="3"/>
  <c r="AH546" i="3"/>
  <c r="Y544" i="3"/>
  <c r="E546" i="3" l="1"/>
  <c r="H546" i="3" s="1"/>
  <c r="K546" i="3" s="1"/>
  <c r="AE546" i="3" s="1"/>
  <c r="G546" i="3"/>
  <c r="F546" i="3" l="1"/>
  <c r="V546" i="3"/>
  <c r="A547" i="3"/>
  <c r="B547" i="3" s="1"/>
  <c r="I546" i="3"/>
  <c r="J546" i="3"/>
  <c r="M546" i="3"/>
  <c r="N546" i="3" s="1"/>
  <c r="W546" i="3" l="1"/>
  <c r="L546" i="3"/>
  <c r="AC547" i="3"/>
  <c r="AD547" i="3"/>
  <c r="P547" i="3"/>
  <c r="Q547" i="3" s="1"/>
  <c r="R547" i="3" s="1"/>
  <c r="S547" i="3" s="1"/>
  <c r="AA547" i="3"/>
  <c r="Z547" i="3"/>
  <c r="U546" i="3" l="1"/>
  <c r="Y545" i="3"/>
  <c r="T547" i="3"/>
  <c r="AG547" i="3" s="1"/>
  <c r="E547" i="3" l="1"/>
  <c r="H547" i="3" s="1"/>
  <c r="K547" i="3" s="1"/>
  <c r="AE547" i="3" s="1"/>
  <c r="D547" i="3"/>
  <c r="G547" i="3" s="1"/>
  <c r="AH547" i="3"/>
  <c r="F547" i="3" l="1"/>
  <c r="I547" i="3"/>
  <c r="J547" i="3"/>
  <c r="M547" i="3"/>
  <c r="N547" i="3" s="1"/>
  <c r="V547" i="3"/>
  <c r="A548" i="3"/>
  <c r="B548" i="3" s="1"/>
  <c r="W547" i="3" l="1"/>
  <c r="L547" i="3"/>
  <c r="Z548" i="3"/>
  <c r="AA548" i="3"/>
  <c r="P548" i="3"/>
  <c r="Q548" i="3" s="1"/>
  <c r="R548" i="3" s="1"/>
  <c r="S548" i="3" s="1"/>
  <c r="AC548" i="3"/>
  <c r="AD548" i="3"/>
  <c r="U547" i="3" l="1"/>
  <c r="Y546" i="3"/>
  <c r="T548" i="3"/>
  <c r="E548" i="3" l="1"/>
  <c r="H548" i="3" s="1"/>
  <c r="K548" i="3" s="1"/>
  <c r="AE548" i="3" s="1"/>
  <c r="D548" i="3"/>
  <c r="AG548" i="3"/>
  <c r="AH548" i="3"/>
  <c r="V548" i="3" l="1"/>
  <c r="A549" i="3"/>
  <c r="B549" i="3" s="1"/>
  <c r="F548" i="3"/>
  <c r="G548" i="3"/>
  <c r="I548" i="3" l="1"/>
  <c r="W548" i="3" s="1"/>
  <c r="J548" i="3"/>
  <c r="M548" i="3"/>
  <c r="N548" i="3" s="1"/>
  <c r="P549" i="3"/>
  <c r="Q549" i="3" s="1"/>
  <c r="R549" i="3" s="1"/>
  <c r="S549" i="3" s="1"/>
  <c r="AC549" i="3"/>
  <c r="AA549" i="3"/>
  <c r="Z549" i="3"/>
  <c r="AD549" i="3"/>
  <c r="T549" i="3" l="1"/>
  <c r="L548" i="3"/>
  <c r="AH549" i="3" l="1"/>
  <c r="U548" i="3"/>
  <c r="E549" i="3" s="1"/>
  <c r="H549" i="3" s="1"/>
  <c r="AG549" i="3"/>
  <c r="Y547" i="3"/>
  <c r="K549" i="3" l="1"/>
  <c r="AE549" i="3" s="1"/>
  <c r="D549" i="3"/>
  <c r="V549" i="3" l="1"/>
  <c r="A550" i="3"/>
  <c r="B550" i="3" s="1"/>
  <c r="F549" i="3"/>
  <c r="G549" i="3"/>
  <c r="I549" i="3" l="1"/>
  <c r="W549" i="3" s="1"/>
  <c r="J549" i="3"/>
  <c r="M549" i="3"/>
  <c r="N549" i="3" s="1"/>
  <c r="P550" i="3"/>
  <c r="Q550" i="3" s="1"/>
  <c r="R550" i="3" s="1"/>
  <c r="S550" i="3" s="1"/>
  <c r="AA550" i="3"/>
  <c r="AC550" i="3"/>
  <c r="Z550" i="3"/>
  <c r="AD550" i="3"/>
  <c r="T550" i="3" l="1"/>
  <c r="L549" i="3"/>
  <c r="U549" i="3" l="1"/>
  <c r="D550" i="3" s="1"/>
  <c r="AH550" i="3"/>
  <c r="AG550" i="3"/>
  <c r="Y548" i="3"/>
  <c r="E550" i="3" l="1"/>
  <c r="H550" i="3" s="1"/>
  <c r="K550" i="3" s="1"/>
  <c r="AE550" i="3" s="1"/>
  <c r="G550" i="3"/>
  <c r="F550" i="3" l="1"/>
  <c r="I550" i="3"/>
  <c r="J550" i="3"/>
  <c r="M550" i="3"/>
  <c r="N550" i="3" s="1"/>
  <c r="V550" i="3"/>
  <c r="A551" i="3"/>
  <c r="B551" i="3" s="1"/>
  <c r="W550" i="3" l="1"/>
  <c r="L550" i="3"/>
  <c r="AD551" i="3"/>
  <c r="P551" i="3"/>
  <c r="Q551" i="3" s="1"/>
  <c r="R551" i="3" s="1"/>
  <c r="S551" i="3" s="1"/>
  <c r="AC551" i="3"/>
  <c r="AA551" i="3"/>
  <c r="Z551" i="3"/>
  <c r="T551" i="3" l="1"/>
  <c r="AG551" i="3" s="1"/>
  <c r="U550" i="3"/>
  <c r="Y549" i="3"/>
  <c r="D551" i="3" l="1"/>
  <c r="G551" i="3" s="1"/>
  <c r="AH551" i="3"/>
  <c r="E551" i="3"/>
  <c r="H551" i="3" s="1"/>
  <c r="F551" i="3" l="1"/>
  <c r="I551" i="3"/>
  <c r="J551" i="3"/>
  <c r="M551" i="3"/>
  <c r="N551" i="3" s="1"/>
  <c r="K551" i="3"/>
  <c r="AE551" i="3" s="1"/>
  <c r="V551" i="3" l="1"/>
  <c r="W551" i="3" s="1"/>
  <c r="A552" i="3"/>
  <c r="B552" i="3" s="1"/>
  <c r="L551" i="3"/>
  <c r="U551" i="3" l="1"/>
  <c r="Y550" i="3"/>
  <c r="AA552" i="3"/>
  <c r="P552" i="3"/>
  <c r="Q552" i="3" s="1"/>
  <c r="R552" i="3" s="1"/>
  <c r="S552" i="3" s="1"/>
  <c r="AC552" i="3"/>
  <c r="Z552" i="3"/>
  <c r="AD552" i="3"/>
  <c r="T552" i="3" l="1"/>
  <c r="D552" i="3" s="1"/>
  <c r="AG552" i="3" l="1"/>
  <c r="AH552" i="3"/>
  <c r="E552" i="3"/>
  <c r="H552" i="3" s="1"/>
  <c r="K552" i="3" s="1"/>
  <c r="AE552" i="3" s="1"/>
  <c r="G552" i="3"/>
  <c r="F552" i="3" l="1"/>
  <c r="I552" i="3"/>
  <c r="J552" i="3"/>
  <c r="M552" i="3"/>
  <c r="N552" i="3" s="1"/>
  <c r="V552" i="3"/>
  <c r="A553" i="3"/>
  <c r="B553" i="3" s="1"/>
  <c r="W552" i="3" l="1"/>
  <c r="L552" i="3"/>
  <c r="P553" i="3"/>
  <c r="Q553" i="3" s="1"/>
  <c r="R553" i="3" s="1"/>
  <c r="S553" i="3" s="1"/>
  <c r="Z553" i="3"/>
  <c r="AC553" i="3"/>
  <c r="AA553" i="3"/>
  <c r="AD553" i="3"/>
  <c r="T553" i="3" l="1"/>
  <c r="U552" i="3"/>
  <c r="Y551" i="3"/>
  <c r="D553" i="3" l="1"/>
  <c r="G553" i="3" s="1"/>
  <c r="AH553" i="3"/>
  <c r="AG553" i="3"/>
  <c r="E553" i="3"/>
  <c r="H553" i="3" s="1"/>
  <c r="K553" i="3" l="1"/>
  <c r="AE553" i="3" s="1"/>
  <c r="F553" i="3"/>
  <c r="I553" i="3"/>
  <c r="J553" i="3"/>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AD555" i="3"/>
  <c r="L554" i="3" l="1"/>
  <c r="T555" i="3"/>
  <c r="U554" i="3" l="1"/>
  <c r="E555" i="3" s="1"/>
  <c r="H555" i="3" s="1"/>
  <c r="AG555" i="3"/>
  <c r="AH555" i="3"/>
  <c r="Y553" i="3"/>
  <c r="K555" i="3" l="1"/>
  <c r="AE555" i="3" s="1"/>
  <c r="D555" i="3"/>
  <c r="F555" i="3" l="1"/>
  <c r="G555" i="3"/>
  <c r="V555" i="3"/>
  <c r="A556" i="3"/>
  <c r="B556" i="3" s="1"/>
  <c r="P556" i="3" l="1"/>
  <c r="Q556" i="3" s="1"/>
  <c r="R556" i="3" s="1"/>
  <c r="S556" i="3" s="1"/>
  <c r="AA556" i="3"/>
  <c r="AD556" i="3"/>
  <c r="Z556" i="3"/>
  <c r="AC556" i="3"/>
  <c r="I555" i="3"/>
  <c r="W555" i="3" s="1"/>
  <c r="J555" i="3"/>
  <c r="M555" i="3"/>
  <c r="N555" i="3" s="1"/>
  <c r="T556" i="3" l="1"/>
  <c r="L555" i="3"/>
  <c r="AH556" i="3" l="1"/>
  <c r="U555" i="3"/>
  <c r="D556" i="3" s="1"/>
  <c r="AG556" i="3"/>
  <c r="Y554" i="3"/>
  <c r="E556" i="3" l="1"/>
  <c r="H556" i="3" s="1"/>
  <c r="K556" i="3" s="1"/>
  <c r="AE556" i="3" s="1"/>
  <c r="G556" i="3"/>
  <c r="F556" i="3" l="1"/>
  <c r="I556" i="3"/>
  <c r="J556" i="3"/>
  <c r="M556" i="3"/>
  <c r="N556" i="3" s="1"/>
  <c r="V556" i="3"/>
  <c r="A557" i="3"/>
  <c r="B557" i="3" s="1"/>
  <c r="W556" i="3" l="1"/>
  <c r="L556" i="3"/>
  <c r="AD557" i="3"/>
  <c r="P557" i="3"/>
  <c r="Q557" i="3" s="1"/>
  <c r="R557" i="3" s="1"/>
  <c r="S557" i="3" s="1"/>
  <c r="AA557" i="3"/>
  <c r="AC557" i="3"/>
  <c r="Z557" i="3"/>
  <c r="U556" i="3" l="1"/>
  <c r="Y555" i="3"/>
  <c r="T557" i="3"/>
  <c r="AH557" i="3" s="1"/>
  <c r="D557" i="3" l="1"/>
  <c r="G557" i="3" s="1"/>
  <c r="AG557" i="3"/>
  <c r="E557" i="3"/>
  <c r="H557" i="3" s="1"/>
  <c r="K557" i="3" s="1"/>
  <c r="AE557" i="3" s="1"/>
  <c r="F557" i="3" l="1"/>
  <c r="I557" i="3"/>
  <c r="J557" i="3"/>
  <c r="M557" i="3"/>
  <c r="N557" i="3" s="1"/>
  <c r="V557" i="3"/>
  <c r="A558" i="3"/>
  <c r="B558" i="3" s="1"/>
  <c r="W557" i="3" l="1"/>
  <c r="L557" i="3"/>
  <c r="AA558" i="3"/>
  <c r="AD558" i="3"/>
  <c r="P558" i="3"/>
  <c r="Q558" i="3" s="1"/>
  <c r="R558" i="3" s="1"/>
  <c r="S558" i="3" s="1"/>
  <c r="Z558" i="3"/>
  <c r="AC558" i="3"/>
  <c r="T558" i="3" l="1"/>
  <c r="AG558" i="3" s="1"/>
  <c r="U557" i="3"/>
  <c r="Y556" i="3"/>
  <c r="E558" i="3" l="1"/>
  <c r="H558" i="3" s="1"/>
  <c r="AH558" i="3"/>
  <c r="D558" i="3"/>
  <c r="F558" i="3" l="1"/>
  <c r="G558" i="3"/>
  <c r="K558" i="3"/>
  <c r="AE558" i="3" s="1"/>
  <c r="I558" i="3" l="1"/>
  <c r="J558" i="3"/>
  <c r="M558" i="3"/>
  <c r="N558" i="3" s="1"/>
  <c r="V558" i="3"/>
  <c r="A559" i="3"/>
  <c r="B559" i="3" s="1"/>
  <c r="W558" i="3" l="1"/>
  <c r="L558" i="3"/>
  <c r="AC559" i="3"/>
  <c r="P559" i="3"/>
  <c r="Q559" i="3" s="1"/>
  <c r="R559" i="3" s="1"/>
  <c r="S559" i="3" s="1"/>
  <c r="AA559" i="3"/>
  <c r="Z559" i="3"/>
  <c r="AD559" i="3"/>
  <c r="T559" i="3" l="1"/>
  <c r="U558" i="3"/>
  <c r="Y557" i="3"/>
  <c r="E559" i="3" l="1"/>
  <c r="H559" i="3" s="1"/>
  <c r="K559" i="3" s="1"/>
  <c r="AE559" i="3" s="1"/>
  <c r="AH559" i="3"/>
  <c r="AG559" i="3"/>
  <c r="D559" i="3"/>
  <c r="V559" i="3" l="1"/>
  <c r="A560" i="3"/>
  <c r="B560" i="3" s="1"/>
  <c r="F559" i="3"/>
  <c r="G559" i="3"/>
  <c r="I559" i="3" l="1"/>
  <c r="W559" i="3" s="1"/>
  <c r="J559" i="3"/>
  <c r="M559" i="3"/>
  <c r="N559" i="3" s="1"/>
  <c r="AD560" i="3"/>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M560" i="3"/>
  <c r="N560" i="3" s="1"/>
  <c r="W560" i="3" l="1"/>
  <c r="L560" i="3"/>
  <c r="AA561" i="3"/>
  <c r="P561" i="3"/>
  <c r="Q561" i="3" s="1"/>
  <c r="R561" i="3" s="1"/>
  <c r="S561" i="3" s="1"/>
  <c r="Z561" i="3"/>
  <c r="AD561" i="3"/>
  <c r="AC561" i="3"/>
  <c r="U560" i="3" l="1"/>
  <c r="Y559" i="3"/>
  <c r="T561" i="3"/>
  <c r="E561" i="3" l="1"/>
  <c r="H561" i="3" s="1"/>
  <c r="K561" i="3" s="1"/>
  <c r="AE561" i="3" s="1"/>
  <c r="D561" i="3"/>
  <c r="AH561" i="3"/>
  <c r="AG561" i="3"/>
  <c r="F561" i="3" l="1"/>
  <c r="G561" i="3"/>
  <c r="M561" i="3" s="1"/>
  <c r="N561" i="3" s="1"/>
  <c r="V561" i="3"/>
  <c r="A562" i="3"/>
  <c r="B562" i="3" s="1"/>
  <c r="I561" i="3" l="1"/>
  <c r="W561" i="3" s="1"/>
  <c r="J561" i="3"/>
  <c r="L561" i="3" s="1"/>
  <c r="Z562" i="3"/>
  <c r="AA562" i="3"/>
  <c r="AD562" i="3"/>
  <c r="P562" i="3"/>
  <c r="Q562" i="3" s="1"/>
  <c r="R562" i="3" s="1"/>
  <c r="S562" i="3" s="1"/>
  <c r="AC562" i="3"/>
  <c r="U561" i="3" l="1"/>
  <c r="Y560" i="3"/>
  <c r="T562" i="3"/>
  <c r="AH562" i="3" s="1"/>
  <c r="AG562" i="3" l="1"/>
  <c r="E562" i="3"/>
  <c r="H562" i="3" s="1"/>
  <c r="K562" i="3" s="1"/>
  <c r="AE562" i="3" s="1"/>
  <c r="D562" i="3"/>
  <c r="F562" i="3" l="1"/>
  <c r="G562" i="3"/>
  <c r="J562" i="3" s="1"/>
  <c r="V562" i="3"/>
  <c r="A563" i="3"/>
  <c r="B563" i="3" s="1"/>
  <c r="M562" i="3" l="1"/>
  <c r="N562" i="3" s="1"/>
  <c r="I562" i="3"/>
  <c r="W562" i="3" s="1"/>
  <c r="L562" i="3"/>
  <c r="Z563" i="3"/>
  <c r="P563" i="3"/>
  <c r="Q563" i="3" s="1"/>
  <c r="R563" i="3" s="1"/>
  <c r="S563" i="3" s="1"/>
  <c r="AC563" i="3"/>
  <c r="AA563" i="3"/>
  <c r="AD563" i="3"/>
  <c r="U562" i="3" l="1"/>
  <c r="Y561" i="3"/>
  <c r="T563" i="3"/>
  <c r="AH563" i="3" s="1"/>
  <c r="AG563" i="3" l="1"/>
  <c r="D563" i="3"/>
  <c r="E563" i="3"/>
  <c r="H563" i="3" s="1"/>
  <c r="K563" i="3" s="1"/>
  <c r="AE563" i="3" s="1"/>
  <c r="F563" i="3" l="1"/>
  <c r="G563" i="3"/>
  <c r="M563" i="3" s="1"/>
  <c r="N563" i="3" s="1"/>
  <c r="V563" i="3"/>
  <c r="A564" i="3"/>
  <c r="B564" i="3" s="1"/>
  <c r="I563" i="3" l="1"/>
  <c r="W563" i="3" s="1"/>
  <c r="J563" i="3"/>
  <c r="L563" i="3" s="1"/>
  <c r="Z564" i="3"/>
  <c r="P564" i="3"/>
  <c r="Q564" i="3" s="1"/>
  <c r="R564" i="3" s="1"/>
  <c r="S564" i="3" s="1"/>
  <c r="AC564" i="3"/>
  <c r="AA564" i="3"/>
  <c r="U563" i="3" l="1"/>
  <c r="Y562" i="3"/>
  <c r="T564" i="3"/>
  <c r="AH564" i="3" s="1"/>
  <c r="D564" i="3" l="1"/>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AD565" i="3"/>
  <c r="U564" i="3" l="1"/>
  <c r="Y563" i="3"/>
  <c r="T565" i="3"/>
  <c r="E565" i="3" l="1"/>
  <c r="H565" i="3" s="1"/>
  <c r="K565" i="3" s="1"/>
  <c r="AE565" i="3" s="1"/>
  <c r="D565" i="3"/>
  <c r="AG565" i="3"/>
  <c r="AH565" i="3"/>
  <c r="V565" i="3" l="1"/>
  <c r="A566" i="3"/>
  <c r="B566" i="3" s="1"/>
  <c r="F565" i="3"/>
  <c r="G565" i="3"/>
  <c r="I565" i="3" l="1"/>
  <c r="W565" i="3" s="1"/>
  <c r="J565" i="3"/>
  <c r="M565" i="3"/>
  <c r="N565" i="3" s="1"/>
  <c r="AD566" i="3"/>
  <c r="Z566" i="3"/>
  <c r="AA566" i="3"/>
  <c r="P566" i="3"/>
  <c r="Q566" i="3" s="1"/>
  <c r="R566" i="3" s="1"/>
  <c r="S566" i="3" s="1"/>
  <c r="AC566" i="3"/>
  <c r="L565" i="3" l="1"/>
  <c r="T566" i="3"/>
  <c r="AG566" i="3" l="1"/>
  <c r="AH566" i="3"/>
  <c r="U565" i="3"/>
  <c r="D566" i="3" s="1"/>
  <c r="Y564" i="3"/>
  <c r="G566" i="3" l="1"/>
  <c r="E566" i="3"/>
  <c r="H566" i="3" s="1"/>
  <c r="F566" i="3" l="1"/>
  <c r="I566" i="3"/>
  <c r="J566" i="3"/>
  <c r="M566" i="3"/>
  <c r="N566" i="3" s="1"/>
  <c r="K566" i="3"/>
  <c r="AE566" i="3" s="1"/>
  <c r="V566" i="3" l="1"/>
  <c r="W566" i="3" s="1"/>
  <c r="A567" i="3"/>
  <c r="B567" i="3" s="1"/>
  <c r="L566" i="3"/>
  <c r="U566" i="3" l="1"/>
  <c r="Y565" i="3"/>
  <c r="P567" i="3"/>
  <c r="Q567" i="3" s="1"/>
  <c r="R567" i="3" s="1"/>
  <c r="S567" i="3" s="1"/>
  <c r="AA567" i="3"/>
  <c r="AD567" i="3"/>
  <c r="Z567" i="3"/>
  <c r="AC567" i="3"/>
  <c r="T567" i="3" l="1"/>
  <c r="AG567" i="3" s="1"/>
  <c r="AH567" i="3" l="1"/>
  <c r="E567" i="3"/>
  <c r="H567" i="3" s="1"/>
  <c r="K567" i="3" s="1"/>
  <c r="AE567" i="3" s="1"/>
  <c r="D567" i="3"/>
  <c r="G567" i="3" s="1"/>
  <c r="F567" i="3" l="1"/>
  <c r="I567" i="3"/>
  <c r="J567" i="3"/>
  <c r="M567" i="3"/>
  <c r="N567" i="3" s="1"/>
  <c r="V567" i="3"/>
  <c r="A568" i="3"/>
  <c r="B568" i="3" s="1"/>
  <c r="W567" i="3" l="1"/>
  <c r="L567" i="3"/>
  <c r="AC568" i="3"/>
  <c r="AD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M568" i="3"/>
  <c r="N568" i="3" s="1"/>
  <c r="L568" i="3" l="1"/>
  <c r="W568" i="3"/>
  <c r="AA569" i="3"/>
  <c r="AD569" i="3"/>
  <c r="P569" i="3"/>
  <c r="Q569" i="3" s="1"/>
  <c r="R569" i="3" s="1"/>
  <c r="S569" i="3" s="1"/>
  <c r="AC569" i="3"/>
  <c r="Z569" i="3"/>
  <c r="T569" i="3" l="1"/>
  <c r="AH569" i="3" s="1"/>
  <c r="U568" i="3"/>
  <c r="Y567" i="3"/>
  <c r="D569" i="3" l="1"/>
  <c r="G569" i="3" s="1"/>
  <c r="AG569" i="3"/>
  <c r="E569" i="3"/>
  <c r="H569" i="3" s="1"/>
  <c r="F569" i="3" l="1"/>
  <c r="I569" i="3"/>
  <c r="J569" i="3"/>
  <c r="M569" i="3"/>
  <c r="N569" i="3" s="1"/>
  <c r="K569" i="3"/>
  <c r="AE569" i="3" s="1"/>
  <c r="L569" i="3" l="1"/>
  <c r="V569" i="3"/>
  <c r="W569" i="3" s="1"/>
  <c r="A570" i="3"/>
  <c r="B570" i="3" s="1"/>
  <c r="AC570" i="3" l="1"/>
  <c r="P570" i="3"/>
  <c r="Q570" i="3" s="1"/>
  <c r="R570" i="3" s="1"/>
  <c r="S570" i="3" s="1"/>
  <c r="AD570" i="3"/>
  <c r="Z570" i="3"/>
  <c r="AA570" i="3"/>
  <c r="U569" i="3"/>
  <c r="Y568" i="3"/>
  <c r="T570" i="3" l="1"/>
  <c r="D570" i="3" l="1"/>
  <c r="E570" i="3"/>
  <c r="H570" i="3" s="1"/>
  <c r="AG570" i="3"/>
  <c r="AH570" i="3"/>
  <c r="F570" i="3" l="1"/>
  <c r="G570" i="3"/>
  <c r="K570" i="3"/>
  <c r="AE570" i="3" s="1"/>
  <c r="V570" i="3" l="1"/>
  <c r="A571" i="3"/>
  <c r="B571" i="3" s="1"/>
  <c r="I570" i="3"/>
  <c r="J570" i="3"/>
  <c r="M570" i="3"/>
  <c r="N570" i="3" s="1"/>
  <c r="W570" i="3" l="1"/>
  <c r="L570" i="3"/>
  <c r="P571" i="3"/>
  <c r="Q571" i="3" s="1"/>
  <c r="R571" i="3" s="1"/>
  <c r="S571" i="3" s="1"/>
  <c r="AD571" i="3"/>
  <c r="AA571" i="3"/>
  <c r="Z571" i="3"/>
  <c r="AC571" i="3"/>
  <c r="U570" i="3" l="1"/>
  <c r="Y569" i="3"/>
  <c r="T571" i="3"/>
  <c r="D571" i="3" l="1"/>
  <c r="G571" i="3" s="1"/>
  <c r="AG571" i="3"/>
  <c r="AH571" i="3"/>
  <c r="E571" i="3"/>
  <c r="H571" i="3" s="1"/>
  <c r="K571" i="3" s="1"/>
  <c r="AE571" i="3" s="1"/>
  <c r="F571" i="3" l="1"/>
  <c r="V571" i="3"/>
  <c r="A572" i="3"/>
  <c r="B572" i="3" s="1"/>
  <c r="I571" i="3"/>
  <c r="J571" i="3"/>
  <c r="M571" i="3"/>
  <c r="N571" i="3" s="1"/>
  <c r="W571" i="3" l="1"/>
  <c r="L571" i="3"/>
  <c r="AC572" i="3"/>
  <c r="AD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M572" i="3"/>
  <c r="N572" i="3" s="1"/>
  <c r="W572" i="3" l="1"/>
  <c r="L572" i="3"/>
  <c r="P573" i="3"/>
  <c r="Q573" i="3" s="1"/>
  <c r="R573" i="3" s="1"/>
  <c r="S573" i="3" s="1"/>
  <c r="Z573" i="3"/>
  <c r="AC573" i="3"/>
  <c r="AA573" i="3"/>
  <c r="AD573" i="3"/>
  <c r="U572" i="3" l="1"/>
  <c r="Y571" i="3"/>
  <c r="T573" i="3"/>
  <c r="E573" i="3" l="1"/>
  <c r="H573" i="3" s="1"/>
  <c r="K573" i="3" s="1"/>
  <c r="AE573" i="3" s="1"/>
  <c r="D573" i="3"/>
  <c r="AH573" i="3"/>
  <c r="AG573" i="3"/>
  <c r="F573" i="3" l="1"/>
  <c r="G573" i="3"/>
  <c r="I573" i="3" s="1"/>
  <c r="V573" i="3"/>
  <c r="A574" i="3"/>
  <c r="B574" i="3" s="1"/>
  <c r="J573" i="3" l="1"/>
  <c r="L573" i="3" s="1"/>
  <c r="M573" i="3"/>
  <c r="N573" i="3" s="1"/>
  <c r="W573" i="3"/>
  <c r="AA574" i="3"/>
  <c r="Z574" i="3"/>
  <c r="P574" i="3"/>
  <c r="Q574" i="3" s="1"/>
  <c r="R574" i="3" s="1"/>
  <c r="S574" i="3" s="1"/>
  <c r="AC574" i="3"/>
  <c r="U573" i="3" l="1"/>
  <c r="Y572" i="3"/>
  <c r="T574" i="3"/>
  <c r="AH574" i="3" s="1"/>
  <c r="D574" i="3" l="1"/>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AD575" i="3"/>
  <c r="T575" i="3" l="1"/>
  <c r="AH575" i="3" s="1"/>
  <c r="AG575" i="3" l="1"/>
  <c r="E575" i="3"/>
  <c r="H575" i="3" s="1"/>
  <c r="D575" i="3"/>
  <c r="K575" i="3" l="1"/>
  <c r="AE575" i="3" s="1"/>
  <c r="F575" i="3"/>
  <c r="G575" i="3"/>
  <c r="V575" i="3" l="1"/>
  <c r="A576" i="3"/>
  <c r="B576" i="3" s="1"/>
  <c r="I575" i="3"/>
  <c r="J575" i="3"/>
  <c r="M575" i="3"/>
  <c r="N575" i="3" s="1"/>
  <c r="W575" i="3" l="1"/>
  <c r="L575" i="3"/>
  <c r="AA576" i="3"/>
  <c r="P576" i="3"/>
  <c r="Q576" i="3" s="1"/>
  <c r="R576" i="3" s="1"/>
  <c r="S576" i="3" s="1"/>
  <c r="AD576" i="3"/>
  <c r="Z576" i="3"/>
  <c r="AC576" i="3"/>
  <c r="U575" i="3" l="1"/>
  <c r="Y574" i="3"/>
  <c r="T576" i="3"/>
  <c r="E576" i="3" l="1"/>
  <c r="H576" i="3" s="1"/>
  <c r="K576" i="3" s="1"/>
  <c r="AE576" i="3" s="1"/>
  <c r="AH576" i="3"/>
  <c r="D576" i="3"/>
  <c r="G576" i="3" s="1"/>
  <c r="AG576" i="3"/>
  <c r="F576" i="3" l="1"/>
  <c r="V576" i="3"/>
  <c r="A577" i="3"/>
  <c r="B577" i="3" s="1"/>
  <c r="I576" i="3"/>
  <c r="J576" i="3"/>
  <c r="M576" i="3"/>
  <c r="N576" i="3" s="1"/>
  <c r="W576" i="3" l="1"/>
  <c r="L576" i="3"/>
  <c r="P577" i="3"/>
  <c r="Q577" i="3" s="1"/>
  <c r="R577" i="3" s="1"/>
  <c r="S577" i="3" s="1"/>
  <c r="AD577" i="3"/>
  <c r="AC577" i="3"/>
  <c r="AA577" i="3"/>
  <c r="Z577" i="3"/>
  <c r="U576" i="3" l="1"/>
  <c r="Y575" i="3"/>
  <c r="T577" i="3"/>
  <c r="AH577" i="3" s="1"/>
  <c r="E577" i="3" l="1"/>
  <c r="H577" i="3" s="1"/>
  <c r="K577" i="3" s="1"/>
  <c r="AE577" i="3" s="1"/>
  <c r="AG577" i="3"/>
  <c r="D577" i="3"/>
  <c r="F577" i="3" l="1"/>
  <c r="G577" i="3"/>
  <c r="J577" i="3" s="1"/>
  <c r="V577" i="3"/>
  <c r="A578" i="3"/>
  <c r="B578" i="3" s="1"/>
  <c r="M577" i="3" l="1"/>
  <c r="N577" i="3" s="1"/>
  <c r="I577" i="3"/>
  <c r="W577" i="3" s="1"/>
  <c r="L577" i="3"/>
  <c r="AC578" i="3"/>
  <c r="AD578" i="3"/>
  <c r="P578" i="3"/>
  <c r="Q578" i="3" s="1"/>
  <c r="R578" i="3" s="1"/>
  <c r="S578" i="3" s="1"/>
  <c r="Z578" i="3"/>
  <c r="AA578" i="3"/>
  <c r="U577" i="3" l="1"/>
  <c r="Y576" i="3"/>
  <c r="T578" i="3"/>
  <c r="AG578" i="3" s="1"/>
  <c r="D578" i="3" l="1"/>
  <c r="G578" i="3" s="1"/>
  <c r="AH578" i="3"/>
  <c r="E578" i="3"/>
  <c r="H578" i="3" s="1"/>
  <c r="K578" i="3" s="1"/>
  <c r="AE578" i="3" s="1"/>
  <c r="F578" i="3" l="1"/>
  <c r="I578" i="3"/>
  <c r="J578" i="3"/>
  <c r="M578" i="3"/>
  <c r="N578" i="3" s="1"/>
  <c r="V578" i="3"/>
  <c r="A579" i="3"/>
  <c r="B579" i="3" s="1"/>
  <c r="W578" i="3" l="1"/>
  <c r="L578" i="3"/>
  <c r="AC579" i="3"/>
  <c r="Z579" i="3"/>
  <c r="P579" i="3"/>
  <c r="Q579" i="3" s="1"/>
  <c r="R579" i="3" s="1"/>
  <c r="S579" i="3" s="1"/>
  <c r="AD579" i="3"/>
  <c r="AA579" i="3"/>
  <c r="U578" i="3" l="1"/>
  <c r="Y577" i="3"/>
  <c r="T579" i="3"/>
  <c r="AG579" i="3" s="1"/>
  <c r="E579" i="3" l="1"/>
  <c r="H579" i="3" s="1"/>
  <c r="K579" i="3" s="1"/>
  <c r="AE579" i="3" s="1"/>
  <c r="AH579" i="3"/>
  <c r="D579" i="3"/>
  <c r="F579" i="3" l="1"/>
  <c r="G579" i="3"/>
  <c r="M579" i="3" s="1"/>
  <c r="N579" i="3" s="1"/>
  <c r="V579" i="3"/>
  <c r="A580" i="3"/>
  <c r="B580" i="3" s="1"/>
  <c r="I579" i="3" l="1"/>
  <c r="W579" i="3" s="1"/>
  <c r="J579" i="3"/>
  <c r="L579" i="3" s="1"/>
  <c r="AD580" i="3"/>
  <c r="P580" i="3"/>
  <c r="Q580" i="3" s="1"/>
  <c r="R580" i="3" s="1"/>
  <c r="S580" i="3" s="1"/>
  <c r="AA580" i="3"/>
  <c r="AC580" i="3"/>
  <c r="Z580" i="3"/>
  <c r="U579" i="3" l="1"/>
  <c r="Y578" i="3"/>
  <c r="T580" i="3"/>
  <c r="AH580" i="3" s="1"/>
  <c r="E580" i="3" l="1"/>
  <c r="H580" i="3" s="1"/>
  <c r="D580" i="3"/>
  <c r="AG580" i="3"/>
  <c r="K580" i="3" l="1"/>
  <c r="AE580" i="3" s="1"/>
  <c r="F580" i="3"/>
  <c r="G580" i="3"/>
  <c r="I580" i="3" l="1"/>
  <c r="J580" i="3"/>
  <c r="M580" i="3"/>
  <c r="N580" i="3" s="1"/>
  <c r="V580" i="3"/>
  <c r="A581" i="3"/>
  <c r="B581" i="3" s="1"/>
  <c r="W580" i="3" l="1"/>
  <c r="P581" i="3"/>
  <c r="Q581" i="3" s="1"/>
  <c r="R581" i="3" s="1"/>
  <c r="S581" i="3" s="1"/>
  <c r="Z581" i="3"/>
  <c r="AA581" i="3"/>
  <c r="AC581" i="3"/>
  <c r="AD581" i="3"/>
  <c r="L580" i="3"/>
  <c r="T581" i="3" l="1"/>
  <c r="AH581" i="3" s="1"/>
  <c r="U580" i="3"/>
  <c r="Y579" i="3"/>
  <c r="D581" i="3" l="1"/>
  <c r="G581" i="3" s="1"/>
  <c r="AG581" i="3"/>
  <c r="E581" i="3"/>
  <c r="H581" i="3" s="1"/>
  <c r="I581" i="3" l="1"/>
  <c r="J581" i="3"/>
  <c r="M581" i="3"/>
  <c r="N581" i="3" s="1"/>
  <c r="F581" i="3"/>
  <c r="K581" i="3"/>
  <c r="AE581" i="3" s="1"/>
  <c r="L581" i="3" l="1"/>
  <c r="V581" i="3"/>
  <c r="W581" i="3" s="1"/>
  <c r="A582" i="3"/>
  <c r="B582" i="3" s="1"/>
  <c r="P582" i="3" l="1"/>
  <c r="Q582" i="3" s="1"/>
  <c r="R582" i="3" s="1"/>
  <c r="S582" i="3" s="1"/>
  <c r="Z582" i="3"/>
  <c r="AD582" i="3"/>
  <c r="AC582" i="3"/>
  <c r="AA582" i="3"/>
  <c r="U581" i="3"/>
  <c r="Y580" i="3"/>
  <c r="T582" i="3" l="1"/>
  <c r="AH582" i="3" s="1"/>
  <c r="E582" i="3" l="1"/>
  <c r="H582" i="3" s="1"/>
  <c r="K582" i="3" s="1"/>
  <c r="AE582" i="3" s="1"/>
  <c r="AG582" i="3"/>
  <c r="D582" i="3"/>
  <c r="V582" i="3" l="1"/>
  <c r="A583" i="3"/>
  <c r="B583" i="3" s="1"/>
  <c r="F582" i="3"/>
  <c r="G582" i="3"/>
  <c r="I582" i="3" l="1"/>
  <c r="W582" i="3" s="1"/>
  <c r="J582" i="3"/>
  <c r="M582" i="3"/>
  <c r="N582" i="3" s="1"/>
  <c r="AD583" i="3"/>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AD587" i="3"/>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M587" i="3"/>
  <c r="N587" i="3" s="1"/>
  <c r="L587" i="3" l="1"/>
  <c r="V587" i="3"/>
  <c r="W587" i="3" s="1"/>
  <c r="A588" i="3"/>
  <c r="B588" i="3" s="1"/>
  <c r="U587" i="3" l="1"/>
  <c r="Y586" i="3"/>
  <c r="P588" i="3"/>
  <c r="Q588" i="3" s="1"/>
  <c r="R588" i="3" s="1"/>
  <c r="S588" i="3" s="1"/>
  <c r="AD588" i="3"/>
  <c r="Z588" i="3"/>
  <c r="AC588" i="3"/>
  <c r="AA588" i="3"/>
  <c r="T588" i="3" l="1"/>
  <c r="AH588" i="3" s="1"/>
  <c r="E588" i="3" l="1"/>
  <c r="H588" i="3" s="1"/>
  <c r="K588" i="3" s="1"/>
  <c r="AE588" i="3" s="1"/>
  <c r="AG588" i="3"/>
  <c r="D588" i="3"/>
  <c r="G588" i="3" s="1"/>
  <c r="F588" i="3" l="1"/>
  <c r="I588" i="3"/>
  <c r="J588" i="3"/>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AD595" i="3"/>
  <c r="T595" i="3" l="1"/>
  <c r="L594" i="3"/>
  <c r="AH595" i="3" l="1"/>
  <c r="U594" i="3"/>
  <c r="E595" i="3" s="1"/>
  <c r="H595" i="3" s="1"/>
  <c r="AG595" i="3"/>
  <c r="Y593" i="3"/>
  <c r="D595" i="3" l="1"/>
  <c r="G595" i="3" s="1"/>
  <c r="K595" i="3"/>
  <c r="AE595" i="3" s="1"/>
  <c r="F595" i="3" l="1"/>
  <c r="V595" i="3"/>
  <c r="A596" i="3"/>
  <c r="B596" i="3" s="1"/>
  <c r="I595" i="3"/>
  <c r="J595" i="3"/>
  <c r="M595" i="3"/>
  <c r="N595" i="3" s="1"/>
  <c r="W595" i="3" l="1"/>
  <c r="L595" i="3"/>
  <c r="P596" i="3"/>
  <c r="Q596" i="3" s="1"/>
  <c r="R596" i="3" s="1"/>
  <c r="S596" i="3" s="1"/>
  <c r="AA596" i="3"/>
  <c r="AC596" i="3"/>
  <c r="AD596" i="3"/>
  <c r="Z596" i="3"/>
  <c r="T596" i="3" l="1"/>
  <c r="AG596" i="3" s="1"/>
  <c r="U595" i="3"/>
  <c r="Y594" i="3"/>
  <c r="D596" i="3" l="1"/>
  <c r="E596" i="3"/>
  <c r="H596" i="3" s="1"/>
  <c r="AH596" i="3"/>
  <c r="F596" i="3" l="1"/>
  <c r="G596" i="3"/>
  <c r="K596" i="3"/>
  <c r="AE596" i="3" s="1"/>
  <c r="V596" i="3" l="1"/>
  <c r="A597" i="3"/>
  <c r="B597" i="3" s="1"/>
  <c r="I596" i="3"/>
  <c r="J596" i="3"/>
  <c r="M596" i="3"/>
  <c r="N596" i="3" s="1"/>
  <c r="W596" i="3" l="1"/>
  <c r="L596" i="3"/>
  <c r="Z597" i="3"/>
  <c r="P597" i="3"/>
  <c r="Q597" i="3" s="1"/>
  <c r="R597" i="3" s="1"/>
  <c r="S597" i="3" s="1"/>
  <c r="AA597" i="3"/>
  <c r="AC597" i="3"/>
  <c r="AD597" i="3"/>
  <c r="U596" i="3" l="1"/>
  <c r="Y595" i="3"/>
  <c r="T597" i="3"/>
  <c r="E597" i="3" l="1"/>
  <c r="H597" i="3" s="1"/>
  <c r="K597" i="3" s="1"/>
  <c r="AE597" i="3" s="1"/>
  <c r="AH597" i="3"/>
  <c r="AG597" i="3"/>
  <c r="D597" i="3"/>
  <c r="G597" i="3" s="1"/>
  <c r="F597" i="3" l="1"/>
  <c r="I597" i="3"/>
  <c r="J597" i="3"/>
  <c r="M597" i="3"/>
  <c r="N597" i="3" s="1"/>
  <c r="V597" i="3"/>
  <c r="A598" i="3"/>
  <c r="B598" i="3" s="1"/>
  <c r="W597" i="3" l="1"/>
  <c r="L597" i="3"/>
  <c r="AC598" i="3"/>
  <c r="P598" i="3"/>
  <c r="Q598" i="3" s="1"/>
  <c r="R598" i="3" s="1"/>
  <c r="S598" i="3" s="1"/>
  <c r="Z598" i="3"/>
  <c r="AA598" i="3"/>
  <c r="AD598" i="3"/>
  <c r="U597" i="3" l="1"/>
  <c r="Y596" i="3"/>
  <c r="T598" i="3"/>
  <c r="AG598" i="3" s="1"/>
  <c r="AH598" i="3" l="1"/>
  <c r="E598" i="3"/>
  <c r="H598" i="3" s="1"/>
  <c r="K598" i="3" s="1"/>
  <c r="AE598" i="3" s="1"/>
  <c r="D598" i="3"/>
  <c r="V598" i="3" l="1"/>
  <c r="A599" i="3"/>
  <c r="B599" i="3" s="1"/>
  <c r="F598" i="3"/>
  <c r="G598" i="3"/>
  <c r="I598" i="3" l="1"/>
  <c r="W598" i="3" s="1"/>
  <c r="J598" i="3"/>
  <c r="M598" i="3"/>
  <c r="N598" i="3" s="1"/>
  <c r="AC599" i="3"/>
  <c r="AA599" i="3"/>
  <c r="P599" i="3"/>
  <c r="Q599" i="3" s="1"/>
  <c r="R599" i="3" s="1"/>
  <c r="S599" i="3" s="1"/>
  <c r="AD599" i="3"/>
  <c r="Z599" i="3"/>
  <c r="T599" i="3" l="1"/>
  <c r="L598" i="3"/>
  <c r="U598" i="3" l="1"/>
  <c r="D599" i="3" s="1"/>
  <c r="AG599" i="3"/>
  <c r="AH599" i="3"/>
  <c r="Y597" i="3"/>
  <c r="G599" i="3" l="1"/>
  <c r="E599" i="3"/>
  <c r="H599" i="3" s="1"/>
  <c r="I599" i="3" l="1"/>
  <c r="J599" i="3"/>
  <c r="M599" i="3"/>
  <c r="N599" i="3" s="1"/>
  <c r="K599" i="3"/>
  <c r="AE599" i="3" s="1"/>
  <c r="F599" i="3"/>
  <c r="V599" i="3" l="1"/>
  <c r="W599" i="3" s="1"/>
  <c r="A600" i="3"/>
  <c r="B600" i="3" s="1"/>
  <c r="L599" i="3"/>
  <c r="U599" i="3" l="1"/>
  <c r="Y598" i="3"/>
  <c r="AC600" i="3"/>
  <c r="P600" i="3"/>
  <c r="Q600" i="3" s="1"/>
  <c r="R600" i="3" s="1"/>
  <c r="S600" i="3" s="1"/>
  <c r="Z600" i="3"/>
  <c r="AA600" i="3"/>
  <c r="AD600" i="3"/>
  <c r="T600" i="3" l="1"/>
  <c r="E600" i="3" s="1"/>
  <c r="H600" i="3" s="1"/>
  <c r="AH600" i="3" l="1"/>
  <c r="K600" i="3"/>
  <c r="AE600" i="3" s="1"/>
  <c r="AG600" i="3"/>
  <c r="D600" i="3"/>
  <c r="V600" i="3" l="1"/>
  <c r="A601" i="3"/>
  <c r="B601" i="3" s="1"/>
  <c r="F600" i="3"/>
  <c r="G600" i="3"/>
  <c r="I600" i="3" l="1"/>
  <c r="W600" i="3" s="1"/>
  <c r="J600" i="3"/>
  <c r="M600" i="3"/>
  <c r="N600" i="3" s="1"/>
  <c r="P601" i="3"/>
  <c r="Q601" i="3" s="1"/>
  <c r="R601" i="3" s="1"/>
  <c r="S601" i="3" s="1"/>
  <c r="AA601" i="3"/>
  <c r="AC601" i="3"/>
  <c r="Z601" i="3"/>
  <c r="AD601" i="3"/>
  <c r="T601" i="3" l="1"/>
  <c r="L600" i="3"/>
  <c r="AH601" i="3" l="1"/>
  <c r="U600" i="3"/>
  <c r="D601" i="3" s="1"/>
  <c r="AG601" i="3"/>
  <c r="Y599" i="3"/>
  <c r="E601" i="3" l="1"/>
  <c r="H601" i="3" s="1"/>
  <c r="K601" i="3" s="1"/>
  <c r="AE601" i="3" s="1"/>
  <c r="G601" i="3"/>
  <c r="F601" i="3" l="1"/>
  <c r="I601" i="3"/>
  <c r="J601" i="3"/>
  <c r="M601" i="3"/>
  <c r="N601" i="3" s="1"/>
  <c r="V601" i="3"/>
  <c r="A602" i="3"/>
  <c r="B602" i="3" s="1"/>
  <c r="W601" i="3" l="1"/>
  <c r="L601" i="3"/>
  <c r="P602" i="3"/>
  <c r="Q602" i="3" s="1"/>
  <c r="R602" i="3" s="1"/>
  <c r="S602" i="3" s="1"/>
  <c r="Z602" i="3"/>
  <c r="AC602" i="3"/>
  <c r="AD602" i="3"/>
  <c r="AA602" i="3"/>
  <c r="U601" i="3" l="1"/>
  <c r="Y600" i="3"/>
  <c r="T602" i="3"/>
  <c r="AG602" i="3" s="1"/>
  <c r="D602" i="3" l="1"/>
  <c r="E602" i="3"/>
  <c r="H602" i="3" s="1"/>
  <c r="AH602" i="3"/>
  <c r="K602" i="3" l="1"/>
  <c r="AE602" i="3" s="1"/>
  <c r="F602" i="3"/>
  <c r="G602" i="3"/>
  <c r="I602" i="3" l="1"/>
  <c r="J602" i="3"/>
  <c r="M602" i="3"/>
  <c r="N602" i="3" s="1"/>
  <c r="V602" i="3"/>
  <c r="A603" i="3"/>
  <c r="B603" i="3" s="1"/>
  <c r="W602" i="3" l="1"/>
  <c r="L602" i="3"/>
  <c r="AA603" i="3"/>
  <c r="AC603" i="3"/>
  <c r="AD603" i="3"/>
  <c r="Z603" i="3"/>
  <c r="P603" i="3"/>
  <c r="Q603" i="3" s="1"/>
  <c r="R603" i="3" s="1"/>
  <c r="S603" i="3" s="1"/>
  <c r="U602" i="3" l="1"/>
  <c r="Y601" i="3"/>
  <c r="T603" i="3"/>
  <c r="AG603" i="3" s="1"/>
  <c r="AH603" i="3" l="1"/>
  <c r="D603" i="3"/>
  <c r="G603" i="3" s="1"/>
  <c r="E603" i="3"/>
  <c r="H603" i="3" s="1"/>
  <c r="K603" i="3" s="1"/>
  <c r="AE603" i="3" s="1"/>
  <c r="F603" i="3" l="1"/>
  <c r="I603" i="3"/>
  <c r="J603" i="3"/>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D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M607" i="3"/>
  <c r="N607" i="3" s="1"/>
  <c r="AD608" i="3"/>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AD617" i="3"/>
  <c r="P617" i="3"/>
  <c r="Q617" i="3" s="1"/>
  <c r="R617" i="3" s="1"/>
  <c r="S617" i="3" s="1"/>
  <c r="AA617" i="3"/>
  <c r="U616" i="3" l="1"/>
  <c r="Y615" i="3"/>
  <c r="T617" i="3"/>
  <c r="AG617" i="3" s="1"/>
  <c r="D617" i="3" l="1"/>
  <c r="G617" i="3" s="1"/>
  <c r="E617" i="3"/>
  <c r="H617" i="3" s="1"/>
  <c r="K617" i="3" s="1"/>
  <c r="AE617" i="3" s="1"/>
  <c r="AH617" i="3"/>
  <c r="F617" i="3" l="1"/>
  <c r="I617" i="3"/>
  <c r="J617" i="3"/>
  <c r="M617" i="3"/>
  <c r="N617" i="3" s="1"/>
  <c r="V617" i="3"/>
  <c r="A618" i="3"/>
  <c r="B618" i="3" s="1"/>
  <c r="W617" i="3" l="1"/>
  <c r="L617" i="3"/>
  <c r="P618" i="3"/>
  <c r="Q618" i="3" s="1"/>
  <c r="R618" i="3" s="1"/>
  <c r="S618" i="3" s="1"/>
  <c r="AD618" i="3"/>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AD627" i="3"/>
  <c r="P627" i="3"/>
  <c r="Q627" i="3" s="1"/>
  <c r="R627" i="3" s="1"/>
  <c r="S627" i="3" s="1"/>
  <c r="AC627" i="3"/>
  <c r="AA627" i="3"/>
  <c r="L626" i="3" l="1"/>
  <c r="T627" i="3"/>
  <c r="AG627" i="3" l="1"/>
  <c r="U626" i="3"/>
  <c r="D627" i="3" s="1"/>
  <c r="AH627" i="3"/>
  <c r="Y625" i="3"/>
  <c r="G627" i="3" l="1"/>
  <c r="E627" i="3"/>
  <c r="H627" i="3" s="1"/>
  <c r="K627" i="3" l="1"/>
  <c r="AE627" i="3" s="1"/>
  <c r="I627" i="3"/>
  <c r="J627" i="3"/>
  <c r="M627" i="3"/>
  <c r="N627" i="3" s="1"/>
  <c r="F627" i="3"/>
  <c r="L627" i="3" l="1"/>
  <c r="V627" i="3"/>
  <c r="W627" i="3" s="1"/>
  <c r="A628" i="3"/>
  <c r="B628" i="3" s="1"/>
  <c r="Z628" i="3" l="1"/>
  <c r="AA628" i="3"/>
  <c r="P628" i="3"/>
  <c r="Q628" i="3" s="1"/>
  <c r="R628" i="3" s="1"/>
  <c r="S628" i="3" s="1"/>
  <c r="AC628" i="3"/>
  <c r="AD628" i="3"/>
  <c r="U627" i="3"/>
  <c r="Y626" i="3"/>
  <c r="T628" i="3" l="1"/>
  <c r="D628" i="3" l="1"/>
  <c r="E628" i="3"/>
  <c r="H628" i="3" s="1"/>
  <c r="AG628" i="3"/>
  <c r="AH628" i="3"/>
  <c r="F628" i="3" l="1"/>
  <c r="G628" i="3"/>
  <c r="K628" i="3"/>
  <c r="AE628" i="3" s="1"/>
  <c r="I628" i="3" l="1"/>
  <c r="J628" i="3"/>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D637" i="3"/>
  <c r="AA637" i="3"/>
  <c r="U636" i="3" l="1"/>
  <c r="Y635" i="3"/>
  <c r="T637" i="3"/>
  <c r="AG637" i="3" s="1"/>
  <c r="D637" i="3" l="1"/>
  <c r="AH637" i="3"/>
  <c r="E637" i="3"/>
  <c r="H637" i="3" s="1"/>
  <c r="F637" i="3" l="1"/>
  <c r="G637" i="3"/>
  <c r="K637" i="3"/>
  <c r="AE637" i="3" s="1"/>
  <c r="I637" i="3" l="1"/>
  <c r="J637" i="3"/>
  <c r="M637" i="3"/>
  <c r="N637" i="3" s="1"/>
  <c r="V637" i="3"/>
  <c r="A638" i="3"/>
  <c r="B638" i="3" s="1"/>
  <c r="W637" i="3" l="1"/>
  <c r="L637" i="3"/>
  <c r="P638" i="3"/>
  <c r="Q638" i="3" s="1"/>
  <c r="R638" i="3" s="1"/>
  <c r="S638" i="3" s="1"/>
  <c r="AD638" i="3"/>
  <c r="AC638" i="3"/>
  <c r="AA638" i="3"/>
  <c r="Z638" i="3"/>
  <c r="T638" i="3" l="1"/>
  <c r="AG638" i="3" s="1"/>
  <c r="U637" i="3"/>
  <c r="Y636" i="3"/>
  <c r="D638" i="3" l="1"/>
  <c r="G638" i="3" s="1"/>
  <c r="E638" i="3"/>
  <c r="H638" i="3" s="1"/>
  <c r="AH638" i="3"/>
  <c r="F638" i="3" l="1"/>
  <c r="I638" i="3"/>
  <c r="J638" i="3"/>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AD647" i="3"/>
  <c r="Z647" i="3"/>
  <c r="U646" i="3" l="1"/>
  <c r="Y645" i="3"/>
  <c r="T647" i="3"/>
  <c r="AG647" i="3" s="1"/>
  <c r="E647" i="3" l="1"/>
  <c r="H647" i="3" s="1"/>
  <c r="D647" i="3"/>
  <c r="AH647" i="3"/>
  <c r="F647" i="3" l="1"/>
  <c r="G647" i="3"/>
  <c r="K647" i="3"/>
  <c r="AE647" i="3" s="1"/>
  <c r="V647" i="3" l="1"/>
  <c r="A648" i="3"/>
  <c r="B648" i="3" s="1"/>
  <c r="I647" i="3"/>
  <c r="J647" i="3"/>
  <c r="M647" i="3"/>
  <c r="N647" i="3" s="1"/>
  <c r="W647" i="3" l="1"/>
  <c r="L647" i="3"/>
  <c r="AC648" i="3"/>
  <c r="AA648" i="3"/>
  <c r="P648" i="3"/>
  <c r="Q648" i="3" s="1"/>
  <c r="R648" i="3" s="1"/>
  <c r="S648" i="3" s="1"/>
  <c r="Z648" i="3"/>
  <c r="AD648" i="3"/>
  <c r="T648" i="3" l="1"/>
  <c r="AH648" i="3" s="1"/>
  <c r="U647" i="3"/>
  <c r="Y646" i="3"/>
  <c r="D648" i="3" l="1"/>
  <c r="AG648" i="3"/>
  <c r="E648" i="3"/>
  <c r="H648" i="3" s="1"/>
  <c r="F648" i="3" l="1"/>
  <c r="G648" i="3"/>
  <c r="K648" i="3"/>
  <c r="AE648" i="3" s="1"/>
  <c r="I648" i="3" l="1"/>
  <c r="J648" i="3"/>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AD657" i="3"/>
  <c r="P657" i="3"/>
  <c r="Q657" i="3" s="1"/>
  <c r="R657" i="3" s="1"/>
  <c r="S657" i="3" s="1"/>
  <c r="AA657" i="3"/>
  <c r="Z657" i="3"/>
  <c r="L656" i="3" l="1"/>
  <c r="T657" i="3"/>
  <c r="AH657" i="3" l="1"/>
  <c r="U656" i="3"/>
  <c r="E657" i="3" s="1"/>
  <c r="H657" i="3" s="1"/>
  <c r="AG657" i="3"/>
  <c r="Y655" i="3"/>
  <c r="D657" i="3" l="1"/>
  <c r="G657" i="3" s="1"/>
  <c r="K657" i="3"/>
  <c r="AE657" i="3" s="1"/>
  <c r="F657" i="3" l="1"/>
  <c r="I657" i="3"/>
  <c r="J657" i="3"/>
  <c r="M657" i="3"/>
  <c r="N657" i="3" s="1"/>
  <c r="V657" i="3"/>
  <c r="A658" i="3"/>
  <c r="B658" i="3" s="1"/>
  <c r="W657" i="3" l="1"/>
  <c r="L657" i="3"/>
  <c r="AC658" i="3"/>
  <c r="Z658" i="3"/>
  <c r="AD658" i="3"/>
  <c r="AA658" i="3"/>
  <c r="P658" i="3"/>
  <c r="Q658" i="3" s="1"/>
  <c r="R658" i="3" s="1"/>
  <c r="S658" i="3" s="1"/>
  <c r="U657" i="3" l="1"/>
  <c r="Y656" i="3"/>
  <c r="T658" i="3"/>
  <c r="AG658" i="3" s="1"/>
  <c r="E658" i="3" l="1"/>
  <c r="H658" i="3" s="1"/>
  <c r="D658" i="3"/>
  <c r="AH658" i="3"/>
  <c r="K658" i="3" l="1"/>
  <c r="AE658" i="3" s="1"/>
  <c r="F658" i="3"/>
  <c r="G658" i="3"/>
  <c r="I658" i="3" l="1"/>
  <c r="J658" i="3"/>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D667" i="3"/>
  <c r="AA667" i="3"/>
  <c r="U666" i="3" l="1"/>
  <c r="Y665" i="3"/>
  <c r="T667" i="3"/>
  <c r="AG667" i="3" s="1"/>
  <c r="D667" i="3" l="1"/>
  <c r="E667" i="3"/>
  <c r="H667" i="3" s="1"/>
  <c r="AH667" i="3"/>
  <c r="F667" i="3" l="1"/>
  <c r="G667" i="3"/>
  <c r="K667" i="3"/>
  <c r="AE667" i="3" s="1"/>
  <c r="I667" i="3" l="1"/>
  <c r="J667" i="3"/>
  <c r="M667" i="3"/>
  <c r="N667" i="3" s="1"/>
  <c r="V667" i="3"/>
  <c r="A668" i="3"/>
  <c r="B668" i="3" s="1"/>
  <c r="W667" i="3" l="1"/>
  <c r="L667" i="3"/>
  <c r="Z668" i="3"/>
  <c r="P668" i="3"/>
  <c r="Q668" i="3" s="1"/>
  <c r="R668" i="3" s="1"/>
  <c r="S668" i="3" s="1"/>
  <c r="AD668" i="3"/>
  <c r="AC668" i="3"/>
  <c r="AA668" i="3"/>
  <c r="T668" i="3" l="1"/>
  <c r="AH668" i="3" s="1"/>
  <c r="U667" i="3"/>
  <c r="Y666" i="3"/>
  <c r="D668" i="3" l="1"/>
  <c r="G668" i="3" s="1"/>
  <c r="AG668" i="3"/>
  <c r="E668" i="3"/>
  <c r="H668" i="3" s="1"/>
  <c r="F668" i="3" l="1"/>
  <c r="I668" i="3"/>
  <c r="J668" i="3"/>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D675" i="3"/>
  <c r="AA675" i="3"/>
  <c r="AC675" i="3"/>
  <c r="Z675" i="3"/>
  <c r="U674" i="3" l="1"/>
  <c r="Y673" i="3"/>
  <c r="T675" i="3"/>
  <c r="AH675" i="3" s="1"/>
  <c r="AG675" i="3" l="1"/>
  <c r="D675" i="3"/>
  <c r="E675" i="3"/>
  <c r="H675" i="3" s="1"/>
  <c r="F675" i="3" l="1"/>
  <c r="G675" i="3"/>
  <c r="K675" i="3"/>
  <c r="AE675" i="3" s="1"/>
  <c r="I675" i="3" l="1"/>
  <c r="J675" i="3"/>
  <c r="M675" i="3"/>
  <c r="N675" i="3" s="1"/>
  <c r="V675" i="3"/>
  <c r="A676" i="3"/>
  <c r="B676" i="3" s="1"/>
  <c r="W675" i="3" l="1"/>
  <c r="L675" i="3"/>
  <c r="AD676" i="3"/>
  <c r="AC676" i="3"/>
  <c r="P676" i="3"/>
  <c r="Q676" i="3" s="1"/>
  <c r="R676" i="3" s="1"/>
  <c r="S676" i="3" s="1"/>
  <c r="Z676" i="3"/>
  <c r="AA676" i="3"/>
  <c r="T676" i="3" l="1"/>
  <c r="U675" i="3"/>
  <c r="Y674" i="3"/>
  <c r="E676" i="3" l="1"/>
  <c r="H676" i="3" s="1"/>
  <c r="K676" i="3" s="1"/>
  <c r="AE676" i="3" s="1"/>
  <c r="AH676" i="3"/>
  <c r="D676" i="3"/>
  <c r="G676" i="3" s="1"/>
  <c r="AG676" i="3"/>
  <c r="F676" i="3" l="1"/>
  <c r="I676" i="3"/>
  <c r="J676" i="3"/>
  <c r="M676" i="3"/>
  <c r="N676" i="3" s="1"/>
  <c r="V676" i="3"/>
  <c r="A677" i="3"/>
  <c r="B677" i="3" s="1"/>
  <c r="W676" i="3" l="1"/>
  <c r="L676" i="3"/>
  <c r="AA677" i="3"/>
  <c r="AC677" i="3"/>
  <c r="Z677" i="3"/>
  <c r="AD677" i="3"/>
  <c r="P677" i="3"/>
  <c r="Q677" i="3" s="1"/>
  <c r="R677" i="3" s="1"/>
  <c r="S677" i="3" s="1"/>
  <c r="U676" i="3" l="1"/>
  <c r="Y675" i="3"/>
  <c r="T677" i="3"/>
  <c r="AG677" i="3" s="1"/>
  <c r="D677" i="3" l="1"/>
  <c r="G677" i="3" s="1"/>
  <c r="AH677" i="3"/>
  <c r="E677" i="3"/>
  <c r="H677" i="3" s="1"/>
  <c r="F677" i="3" l="1"/>
  <c r="I677" i="3"/>
  <c r="J677" i="3"/>
  <c r="M677" i="3"/>
  <c r="N677" i="3" s="1"/>
  <c r="K677" i="3"/>
  <c r="AE677" i="3" s="1"/>
  <c r="V677" i="3" l="1"/>
  <c r="W677" i="3" s="1"/>
  <c r="A678" i="3"/>
  <c r="B678" i="3" s="1"/>
  <c r="L677" i="3"/>
  <c r="U677" i="3" l="1"/>
  <c r="Y676" i="3"/>
  <c r="AD678" i="3"/>
  <c r="P678" i="3"/>
  <c r="Q678" i="3" s="1"/>
  <c r="R678" i="3" s="1"/>
  <c r="S678" i="3" s="1"/>
  <c r="Z678" i="3"/>
  <c r="AC678" i="3"/>
  <c r="AA678" i="3"/>
  <c r="T678" i="3" l="1"/>
  <c r="AH678" i="3" s="1"/>
  <c r="E678" i="3" l="1"/>
  <c r="H678" i="3" s="1"/>
  <c r="K678" i="3" s="1"/>
  <c r="AE678" i="3" s="1"/>
  <c r="D678" i="3"/>
  <c r="AG678" i="3"/>
  <c r="F678" i="3" l="1"/>
  <c r="G678" i="3"/>
  <c r="J678" i="3" s="1"/>
  <c r="V678" i="3"/>
  <c r="A679" i="3"/>
  <c r="B679" i="3" s="1"/>
  <c r="M678" i="3" l="1"/>
  <c r="N678" i="3" s="1"/>
  <c r="I678" i="3"/>
  <c r="W678" i="3" s="1"/>
  <c r="L678" i="3"/>
  <c r="P679" i="3"/>
  <c r="Q679" i="3" s="1"/>
  <c r="R679" i="3" s="1"/>
  <c r="S679" i="3" s="1"/>
  <c r="AA679" i="3"/>
  <c r="Z679" i="3"/>
  <c r="AD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AD680" i="3"/>
  <c r="I679" i="3"/>
  <c r="W679" i="3" s="1"/>
  <c r="J679" i="3"/>
  <c r="M679" i="3"/>
  <c r="N679" i="3" s="1"/>
  <c r="L679" i="3" l="1"/>
  <c r="T680" i="3"/>
  <c r="AH680" i="3" l="1"/>
  <c r="U679" i="3"/>
  <c r="E680" i="3" s="1"/>
  <c r="H680" i="3" s="1"/>
  <c r="AG680" i="3"/>
  <c r="Y678" i="3"/>
  <c r="D680" i="3" l="1"/>
  <c r="G680" i="3" s="1"/>
  <c r="K680" i="3"/>
  <c r="AE680" i="3" s="1"/>
  <c r="F680" i="3" l="1"/>
  <c r="I680" i="3"/>
  <c r="J680" i="3"/>
  <c r="M680" i="3"/>
  <c r="N680" i="3" s="1"/>
  <c r="V680" i="3"/>
  <c r="A681" i="3"/>
  <c r="B681" i="3" s="1"/>
  <c r="W680" i="3" l="1"/>
  <c r="L680" i="3"/>
  <c r="AD681"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AD682" i="3" l="1"/>
  <c r="Z682" i="3"/>
  <c r="P682" i="3"/>
  <c r="Q682" i="3" s="1"/>
  <c r="R682" i="3" s="1"/>
  <c r="S682" i="3" s="1"/>
  <c r="AC682" i="3"/>
  <c r="AA682" i="3"/>
  <c r="I681" i="3"/>
  <c r="W681" i="3" s="1"/>
  <c r="J681" i="3"/>
  <c r="M681" i="3"/>
  <c r="N681" i="3" s="1"/>
  <c r="L681" i="3" l="1"/>
  <c r="T682" i="3"/>
  <c r="U681" i="3" l="1"/>
  <c r="E682" i="3" s="1"/>
  <c r="H682" i="3" s="1"/>
  <c r="AG682" i="3"/>
  <c r="AH682" i="3"/>
  <c r="Y680" i="3"/>
  <c r="D682" i="3" l="1"/>
  <c r="G682" i="3" s="1"/>
  <c r="K682" i="3"/>
  <c r="AE682" i="3" s="1"/>
  <c r="F682" i="3" l="1"/>
  <c r="V682" i="3"/>
  <c r="A683" i="3"/>
  <c r="B683" i="3" s="1"/>
  <c r="I682" i="3"/>
  <c r="J682" i="3"/>
  <c r="M682" i="3"/>
  <c r="N682" i="3" s="1"/>
  <c r="W682" i="3" l="1"/>
  <c r="L682" i="3"/>
  <c r="P683" i="3"/>
  <c r="Q683" i="3" s="1"/>
  <c r="R683" i="3" s="1"/>
  <c r="S683" i="3" s="1"/>
  <c r="AC683" i="3"/>
  <c r="AD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D687" i="3"/>
  <c r="AA687" i="3"/>
  <c r="AC687" i="3"/>
  <c r="U686" i="3" l="1"/>
  <c r="Y685" i="3"/>
  <c r="T687" i="3"/>
  <c r="AG687" i="3" s="1"/>
  <c r="AH687" i="3" l="1"/>
  <c r="D687" i="3"/>
  <c r="G687" i="3" s="1"/>
  <c r="E687" i="3"/>
  <c r="H687" i="3" s="1"/>
  <c r="K687" i="3" s="1"/>
  <c r="AE687" i="3" s="1"/>
  <c r="F687" i="3" l="1"/>
  <c r="I687" i="3"/>
  <c r="J687" i="3"/>
  <c r="M687" i="3"/>
  <c r="N687" i="3" s="1"/>
  <c r="V687" i="3"/>
  <c r="A688" i="3"/>
  <c r="B688" i="3" s="1"/>
  <c r="W687" i="3" l="1"/>
  <c r="L687" i="3"/>
  <c r="AC688" i="3"/>
  <c r="AA688" i="3"/>
  <c r="AD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AD695"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M695" i="3"/>
  <c r="N695" i="3" s="1"/>
  <c r="AD696" i="3"/>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M696" i="3"/>
  <c r="N696" i="3" s="1"/>
  <c r="W696" i="3" l="1"/>
  <c r="AD697" i="3"/>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L697" i="3" s="1"/>
  <c r="AD698" i="3"/>
  <c r="AA698" i="3"/>
  <c r="Z698" i="3"/>
  <c r="AC698" i="3"/>
  <c r="P698" i="3"/>
  <c r="Q698" i="3" s="1"/>
  <c r="R698" i="3" s="1"/>
  <c r="S698" i="3" s="1"/>
  <c r="U697" i="3" l="1"/>
  <c r="Y696" i="3"/>
  <c r="T698" i="3"/>
  <c r="AG698" i="3" s="1"/>
  <c r="E698" i="3" l="1"/>
  <c r="H698" i="3" s="1"/>
  <c r="K698" i="3" s="1"/>
  <c r="AE698" i="3" s="1"/>
  <c r="AH698" i="3"/>
  <c r="D698" i="3"/>
  <c r="F698" i="3" l="1"/>
  <c r="G698" i="3"/>
  <c r="J698" i="3" s="1"/>
  <c r="V698" i="3"/>
  <c r="A699" i="3"/>
  <c r="B699" i="3" s="1"/>
  <c r="M698" i="3" l="1"/>
  <c r="N698" i="3" s="1"/>
  <c r="I698" i="3"/>
  <c r="W698" i="3" s="1"/>
  <c r="L698" i="3"/>
  <c r="Z699" i="3"/>
  <c r="P699" i="3"/>
  <c r="Q699" i="3" s="1"/>
  <c r="R699" i="3" s="1"/>
  <c r="S699" i="3" s="1"/>
  <c r="AA699" i="3"/>
  <c r="AD699" i="3"/>
  <c r="AC699" i="3"/>
  <c r="T699" i="3" l="1"/>
  <c r="U698" i="3"/>
  <c r="Y697" i="3"/>
  <c r="D699" i="3" l="1"/>
  <c r="G699" i="3" s="1"/>
  <c r="AG699" i="3"/>
  <c r="AH699" i="3"/>
  <c r="E699" i="3"/>
  <c r="H699" i="3" s="1"/>
  <c r="K699" i="3" l="1"/>
  <c r="AE699" i="3" s="1"/>
  <c r="I699" i="3"/>
  <c r="J699" i="3"/>
  <c r="M699" i="3"/>
  <c r="N699" i="3" s="1"/>
  <c r="F699" i="3"/>
  <c r="L699" i="3" l="1"/>
  <c r="V699" i="3"/>
  <c r="W699" i="3" s="1"/>
  <c r="A700" i="3"/>
  <c r="B700" i="3" s="1"/>
  <c r="U699" i="3" l="1"/>
  <c r="Y698" i="3"/>
  <c r="Z700" i="3"/>
  <c r="P700" i="3"/>
  <c r="Q700" i="3" s="1"/>
  <c r="R700" i="3" s="1"/>
  <c r="S700" i="3" s="1"/>
  <c r="AD700" i="3"/>
  <c r="AC700" i="3"/>
  <c r="AA700" i="3"/>
  <c r="T700" i="3" l="1"/>
  <c r="D700" i="3" s="1"/>
  <c r="AH700" i="3" l="1"/>
  <c r="AG700" i="3"/>
  <c r="E700" i="3"/>
  <c r="H700" i="3" s="1"/>
  <c r="K700" i="3" s="1"/>
  <c r="AE700" i="3" s="1"/>
  <c r="G700" i="3"/>
  <c r="F700" i="3" l="1"/>
  <c r="I700" i="3"/>
  <c r="J700" i="3"/>
  <c r="M700" i="3"/>
  <c r="N700" i="3" s="1"/>
  <c r="V700" i="3"/>
  <c r="A701" i="3"/>
  <c r="B701" i="3" s="1"/>
  <c r="W700" i="3" l="1"/>
  <c r="L700" i="3"/>
  <c r="AC701" i="3"/>
  <c r="AA701" i="3"/>
  <c r="Z701" i="3"/>
  <c r="P701" i="3"/>
  <c r="Q701" i="3" s="1"/>
  <c r="R701" i="3" s="1"/>
  <c r="S701" i="3" s="1"/>
  <c r="AD701" i="3"/>
  <c r="U700" i="3" l="1"/>
  <c r="Y699" i="3"/>
  <c r="T701" i="3"/>
  <c r="AG701" i="3" s="1"/>
  <c r="AH701" i="3" l="1"/>
  <c r="E701" i="3"/>
  <c r="H701" i="3" s="1"/>
  <c r="D701" i="3"/>
  <c r="F701" i="3" l="1"/>
  <c r="G701" i="3"/>
  <c r="K701" i="3"/>
  <c r="AE701" i="3" s="1"/>
  <c r="I701" i="3" l="1"/>
  <c r="J701" i="3"/>
  <c r="M701" i="3"/>
  <c r="N701" i="3" s="1"/>
  <c r="V701" i="3"/>
  <c r="A702" i="3"/>
  <c r="B702" i="3" s="1"/>
  <c r="W701" i="3" l="1"/>
  <c r="L701" i="3"/>
  <c r="AC702" i="3"/>
  <c r="AD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M702" i="3"/>
  <c r="N702" i="3" s="1"/>
  <c r="W702" i="3" l="1"/>
  <c r="L702" i="3"/>
  <c r="AC703" i="3"/>
  <c r="AD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AD707" i="3"/>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M707" i="3"/>
  <c r="N707" i="3" s="1"/>
  <c r="AD708" i="3"/>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AD717" i="3"/>
  <c r="Z717" i="3"/>
  <c r="AA717" i="3"/>
  <c r="U716" i="3" l="1"/>
  <c r="Y715" i="3"/>
  <c r="T717" i="3"/>
  <c r="AG717" i="3" s="1"/>
  <c r="E717" i="3" l="1"/>
  <c r="H717" i="3" s="1"/>
  <c r="K717" i="3" s="1"/>
  <c r="AE717" i="3" s="1"/>
  <c r="AH717" i="3"/>
  <c r="D717" i="3"/>
  <c r="V717" i="3" l="1"/>
  <c r="A718" i="3"/>
  <c r="B718" i="3" s="1"/>
  <c r="F717" i="3"/>
  <c r="G717" i="3"/>
  <c r="I717" i="3" l="1"/>
  <c r="W717" i="3" s="1"/>
  <c r="J717" i="3"/>
  <c r="M717" i="3"/>
  <c r="N717" i="3" s="1"/>
  <c r="P718" i="3"/>
  <c r="Q718" i="3" s="1"/>
  <c r="R718" i="3" s="1"/>
  <c r="S718" i="3" s="1"/>
  <c r="AC718" i="3"/>
  <c r="Z718" i="3"/>
  <c r="AD718" i="3"/>
  <c r="AA718" i="3"/>
  <c r="L717" i="3" l="1"/>
  <c r="T718" i="3"/>
  <c r="U717" i="3" l="1"/>
  <c r="E718" i="3" s="1"/>
  <c r="H718" i="3" s="1"/>
  <c r="AH718" i="3"/>
  <c r="AG718" i="3"/>
  <c r="Y716" i="3"/>
  <c r="K718" i="3" l="1"/>
  <c r="AE718" i="3" s="1"/>
  <c r="D718" i="3"/>
  <c r="V718" i="3" l="1"/>
  <c r="A719" i="3"/>
  <c r="B719" i="3" s="1"/>
  <c r="F718" i="3"/>
  <c r="G718" i="3"/>
  <c r="I718" i="3" l="1"/>
  <c r="W718" i="3" s="1"/>
  <c r="J718" i="3"/>
  <c r="M718" i="3"/>
  <c r="N718" i="3" s="1"/>
  <c r="AD719" i="3"/>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M719" i="3"/>
  <c r="N719" i="3" s="1"/>
  <c r="V719" i="3"/>
  <c r="A720" i="3"/>
  <c r="B720" i="3" s="1"/>
  <c r="W719" i="3" l="1"/>
  <c r="L719" i="3"/>
  <c r="P720" i="3"/>
  <c r="Q720" i="3" s="1"/>
  <c r="R720" i="3" s="1"/>
  <c r="S720" i="3" s="1"/>
  <c r="AA720" i="3"/>
  <c r="AC720" i="3"/>
  <c r="Z720" i="3"/>
  <c r="AD720" i="3"/>
  <c r="U719" i="3" l="1"/>
  <c r="Y718" i="3"/>
  <c r="T720" i="3"/>
  <c r="AG720" i="3" s="1"/>
  <c r="E720" i="3" l="1"/>
  <c r="H720" i="3" s="1"/>
  <c r="K720" i="3" s="1"/>
  <c r="AE720" i="3" s="1"/>
  <c r="D720" i="3"/>
  <c r="AH720" i="3"/>
  <c r="V720" i="3" l="1"/>
  <c r="A721" i="3"/>
  <c r="B721" i="3" s="1"/>
  <c r="F720" i="3"/>
  <c r="G720" i="3"/>
  <c r="I720" i="3" l="1"/>
  <c r="W720" i="3" s="1"/>
  <c r="J720" i="3"/>
  <c r="M720" i="3"/>
  <c r="N720" i="3" s="1"/>
  <c r="AD721" i="3"/>
  <c r="AA721" i="3"/>
  <c r="Z721" i="3"/>
  <c r="AC721" i="3"/>
  <c r="P721" i="3"/>
  <c r="Q721" i="3" s="1"/>
  <c r="R721" i="3" s="1"/>
  <c r="S721" i="3" s="1"/>
  <c r="T721" i="3" l="1"/>
  <c r="L720" i="3"/>
  <c r="AG721" i="3" l="1"/>
  <c r="U720" i="3"/>
  <c r="D721" i="3" s="1"/>
  <c r="AH721" i="3"/>
  <c r="Y719" i="3"/>
  <c r="G721" i="3" l="1"/>
  <c r="E721" i="3"/>
  <c r="H721" i="3" s="1"/>
  <c r="F721" i="3" l="1"/>
  <c r="I721" i="3"/>
  <c r="J721" i="3"/>
  <c r="M721" i="3"/>
  <c r="N721" i="3" s="1"/>
  <c r="K721" i="3"/>
  <c r="AE721" i="3" s="1"/>
  <c r="V721" i="3" l="1"/>
  <c r="W721" i="3" s="1"/>
  <c r="A722" i="3"/>
  <c r="B722" i="3" s="1"/>
  <c r="L721" i="3"/>
  <c r="U721" i="3" l="1"/>
  <c r="Y720" i="3"/>
  <c r="AA722" i="3"/>
  <c r="AC722" i="3"/>
  <c r="P722" i="3"/>
  <c r="Q722" i="3" s="1"/>
  <c r="R722" i="3" s="1"/>
  <c r="S722" i="3" s="1"/>
  <c r="Z722" i="3"/>
  <c r="AD722" i="3"/>
  <c r="T722" i="3" l="1"/>
  <c r="AH722" i="3" s="1"/>
  <c r="E722" i="3" l="1"/>
  <c r="H722" i="3" s="1"/>
  <c r="K722" i="3" s="1"/>
  <c r="AE722" i="3" s="1"/>
  <c r="D722" i="3"/>
  <c r="AG722" i="3"/>
  <c r="V722" i="3" l="1"/>
  <c r="A723" i="3"/>
  <c r="B723" i="3" s="1"/>
  <c r="F722" i="3"/>
  <c r="G722" i="3"/>
  <c r="I722" i="3" l="1"/>
  <c r="W722" i="3" s="1"/>
  <c r="J722" i="3"/>
  <c r="M722" i="3"/>
  <c r="N722" i="3" s="1"/>
  <c r="Z723" i="3"/>
  <c r="AA723" i="3"/>
  <c r="AC723" i="3"/>
  <c r="P723" i="3"/>
  <c r="Q723" i="3" s="1"/>
  <c r="R723" i="3" s="1"/>
  <c r="S723" i="3" s="1"/>
  <c r="AD723" i="3"/>
  <c r="T723" i="3" l="1"/>
  <c r="L722" i="3"/>
  <c r="U722" i="3" l="1"/>
  <c r="E723" i="3" s="1"/>
  <c r="H723" i="3" s="1"/>
  <c r="AG723" i="3"/>
  <c r="AH723" i="3"/>
  <c r="Y721" i="3"/>
  <c r="D723" i="3" l="1"/>
  <c r="G723" i="3" s="1"/>
  <c r="K723" i="3"/>
  <c r="AE723" i="3" s="1"/>
  <c r="F723" i="3" l="1"/>
  <c r="V723" i="3"/>
  <c r="A724" i="3"/>
  <c r="B724" i="3" s="1"/>
  <c r="I723" i="3"/>
  <c r="J723" i="3"/>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AD725" i="3"/>
  <c r="U724" i="3" l="1"/>
  <c r="Y723" i="3"/>
  <c r="T725" i="3"/>
  <c r="AG725" i="3" s="1"/>
  <c r="AH725" i="3" l="1"/>
  <c r="D725" i="3"/>
  <c r="G725" i="3" s="1"/>
  <c r="E725" i="3"/>
  <c r="H725" i="3" s="1"/>
  <c r="F725" i="3" l="1"/>
  <c r="I725" i="3"/>
  <c r="J725" i="3"/>
  <c r="M725" i="3"/>
  <c r="N725" i="3" s="1"/>
  <c r="K725" i="3"/>
  <c r="AE725" i="3" s="1"/>
  <c r="V725" i="3" l="1"/>
  <c r="W725" i="3" s="1"/>
  <c r="A726" i="3"/>
  <c r="B726" i="3" s="1"/>
  <c r="L725" i="3"/>
  <c r="U725" i="3" l="1"/>
  <c r="Y724" i="3"/>
  <c r="Z726" i="3"/>
  <c r="P726" i="3"/>
  <c r="Q726" i="3" s="1"/>
  <c r="R726" i="3" s="1"/>
  <c r="S726" i="3" s="1"/>
  <c r="AA726" i="3"/>
  <c r="AD726" i="3"/>
  <c r="AC726" i="3"/>
  <c r="T726" i="3" l="1"/>
  <c r="AG726" i="3" s="1"/>
  <c r="D726" i="3" l="1"/>
  <c r="G726" i="3" s="1"/>
  <c r="E726" i="3"/>
  <c r="H726" i="3" s="1"/>
  <c r="K726" i="3" s="1"/>
  <c r="AE726" i="3" s="1"/>
  <c r="AH726" i="3"/>
  <c r="F726" i="3" l="1"/>
  <c r="I726" i="3"/>
  <c r="J726" i="3"/>
  <c r="M726" i="3"/>
  <c r="N726" i="3" s="1"/>
  <c r="V726" i="3"/>
  <c r="A727" i="3"/>
  <c r="B727" i="3" s="1"/>
  <c r="W726" i="3" l="1"/>
  <c r="L726" i="3"/>
  <c r="P727" i="3"/>
  <c r="Q727" i="3" s="1"/>
  <c r="R727" i="3" s="1"/>
  <c r="S727" i="3" s="1"/>
  <c r="Z727" i="3"/>
  <c r="AA727" i="3"/>
  <c r="AC727" i="3"/>
  <c r="AD727" i="3"/>
  <c r="U726" i="3" l="1"/>
  <c r="Y725" i="3"/>
  <c r="T727" i="3"/>
  <c r="AH727" i="3" s="1"/>
  <c r="E727" i="3" l="1"/>
  <c r="H727" i="3" s="1"/>
  <c r="K727" i="3" s="1"/>
  <c r="AE727" i="3" s="1"/>
  <c r="D727" i="3"/>
  <c r="AG727" i="3"/>
  <c r="F727" i="3" l="1"/>
  <c r="G727" i="3"/>
  <c r="M727" i="3" s="1"/>
  <c r="N727" i="3" s="1"/>
  <c r="V727" i="3"/>
  <c r="A728" i="3"/>
  <c r="B728" i="3" s="1"/>
  <c r="I727" i="3" l="1"/>
  <c r="W727" i="3" s="1"/>
  <c r="J727" i="3"/>
  <c r="L727" i="3" s="1"/>
  <c r="AA728" i="3"/>
  <c r="P728" i="3"/>
  <c r="Q728" i="3" s="1"/>
  <c r="R728" i="3" s="1"/>
  <c r="S728" i="3" s="1"/>
  <c r="AC728" i="3"/>
  <c r="Z728" i="3"/>
  <c r="AD728" i="3"/>
  <c r="U727" i="3" l="1"/>
  <c r="Y726" i="3"/>
  <c r="T728" i="3"/>
  <c r="D728" i="3" l="1"/>
  <c r="G728" i="3" s="1"/>
  <c r="AG728" i="3"/>
  <c r="E728" i="3"/>
  <c r="H728" i="3" s="1"/>
  <c r="AH728" i="3"/>
  <c r="F728" i="3" l="1"/>
  <c r="I728" i="3"/>
  <c r="J728" i="3"/>
  <c r="M728" i="3"/>
  <c r="N728" i="3" s="1"/>
  <c r="K728" i="3"/>
  <c r="AE728" i="3" s="1"/>
  <c r="V728" i="3" l="1"/>
  <c r="W728" i="3" s="1"/>
  <c r="A729" i="3"/>
  <c r="B729" i="3" s="1"/>
  <c r="L728" i="3"/>
  <c r="U728" i="3" l="1"/>
  <c r="Y727" i="3"/>
  <c r="P729" i="3"/>
  <c r="Q729" i="3" s="1"/>
  <c r="R729" i="3" s="1"/>
  <c r="S729" i="3" s="1"/>
  <c r="AA729" i="3"/>
  <c r="AD729" i="3"/>
  <c r="AC729" i="3"/>
  <c r="Z729" i="3"/>
  <c r="T729" i="3" l="1"/>
  <c r="E729" i="3" s="1"/>
  <c r="H729" i="3" s="1"/>
  <c r="AH729" i="3" l="1"/>
  <c r="D729" i="3"/>
  <c r="F729" i="3" s="1"/>
  <c r="AG729" i="3"/>
  <c r="K729" i="3"/>
  <c r="AE729" i="3" s="1"/>
  <c r="G729" i="3" l="1"/>
  <c r="I729" i="3" s="1"/>
  <c r="V729" i="3"/>
  <c r="A730" i="3"/>
  <c r="B730" i="3" s="1"/>
  <c r="W729" i="3" l="1"/>
  <c r="J729" i="3"/>
  <c r="L729" i="3" s="1"/>
  <c r="M729" i="3"/>
  <c r="N729" i="3" s="1"/>
  <c r="AA730" i="3"/>
  <c r="Z730" i="3"/>
  <c r="AD730" i="3"/>
  <c r="P730" i="3"/>
  <c r="Q730" i="3" s="1"/>
  <c r="R730" i="3" s="1"/>
  <c r="S730" i="3" s="1"/>
  <c r="AC730" i="3"/>
  <c r="U729" i="3" l="1"/>
  <c r="Y728" i="3"/>
  <c r="T730" i="3"/>
  <c r="AG730" i="3" s="1"/>
  <c r="D730" i="3" l="1"/>
  <c r="E730" i="3"/>
  <c r="H730" i="3" s="1"/>
  <c r="AH730" i="3"/>
  <c r="K730" i="3" l="1"/>
  <c r="AE730" i="3" s="1"/>
  <c r="F730" i="3"/>
  <c r="G730" i="3"/>
  <c r="I730" i="3" l="1"/>
  <c r="J730" i="3"/>
  <c r="M730" i="3"/>
  <c r="N730" i="3" s="1"/>
  <c r="V730" i="3"/>
  <c r="A731" i="3"/>
  <c r="B731" i="3" s="1"/>
  <c r="W730" i="3" l="1"/>
  <c r="L730" i="3"/>
  <c r="P731" i="3"/>
  <c r="Q731" i="3" s="1"/>
  <c r="R731" i="3" s="1"/>
  <c r="S731" i="3" s="1"/>
  <c r="Z731" i="3"/>
  <c r="AA731" i="3"/>
  <c r="AD731" i="3"/>
  <c r="AC731" i="3"/>
  <c r="U730" i="3" l="1"/>
  <c r="Y729" i="3"/>
  <c r="T731" i="3"/>
  <c r="AG731" i="3" s="1"/>
  <c r="E731" i="3" l="1"/>
  <c r="H731" i="3" s="1"/>
  <c r="K731" i="3" s="1"/>
  <c r="AE731" i="3" s="1"/>
  <c r="AH731" i="3"/>
  <c r="D731" i="3"/>
  <c r="F731" i="3" l="1"/>
  <c r="G731" i="3"/>
  <c r="J731" i="3" s="1"/>
  <c r="V731" i="3"/>
  <c r="A732" i="3"/>
  <c r="B732" i="3" s="1"/>
  <c r="M731" i="3" l="1"/>
  <c r="N731" i="3" s="1"/>
  <c r="I731" i="3"/>
  <c r="W731" i="3" s="1"/>
  <c r="L731" i="3"/>
  <c r="AC732" i="3"/>
  <c r="Z732" i="3"/>
  <c r="AD732" i="3"/>
  <c r="AA732" i="3"/>
  <c r="P732" i="3"/>
  <c r="Q732" i="3" s="1"/>
  <c r="R732" i="3" s="1"/>
  <c r="S732" i="3" s="1"/>
  <c r="U731" i="3" l="1"/>
  <c r="Y730" i="3"/>
  <c r="T732" i="3"/>
  <c r="E732" i="3" l="1"/>
  <c r="H732" i="3" s="1"/>
  <c r="K732" i="3" s="1"/>
  <c r="AE732" i="3" s="1"/>
  <c r="D732" i="3"/>
  <c r="G732" i="3" s="1"/>
  <c r="AH732" i="3"/>
  <c r="AG732" i="3"/>
  <c r="F732" i="3" l="1"/>
  <c r="I732" i="3"/>
  <c r="J732" i="3"/>
  <c r="M732" i="3"/>
  <c r="N732" i="3" s="1"/>
  <c r="V732" i="3"/>
  <c r="A733" i="3"/>
  <c r="B733" i="3" s="1"/>
  <c r="W732" i="3" l="1"/>
  <c r="L732" i="3"/>
  <c r="AC733" i="3"/>
  <c r="P733" i="3"/>
  <c r="Q733" i="3" s="1"/>
  <c r="R733" i="3" s="1"/>
  <c r="S733" i="3" s="1"/>
  <c r="AA733" i="3"/>
  <c r="Z733" i="3"/>
  <c r="AD733" i="3"/>
  <c r="T733" i="3" l="1"/>
  <c r="AH733" i="3" s="1"/>
  <c r="U732" i="3"/>
  <c r="Y731" i="3"/>
  <c r="D733" i="3" l="1"/>
  <c r="G733" i="3" s="1"/>
  <c r="E733" i="3"/>
  <c r="H733" i="3" s="1"/>
  <c r="AG733" i="3"/>
  <c r="F733" i="3" l="1"/>
  <c r="I733" i="3"/>
  <c r="J733" i="3"/>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AD735" i="3"/>
  <c r="L734" i="3" l="1"/>
  <c r="Y733" i="3" s="1"/>
  <c r="AD734" i="3"/>
  <c r="T735" i="3"/>
  <c r="U734" i="3" l="1"/>
  <c r="E735" i="3" s="1"/>
  <c r="H735" i="3" s="1"/>
  <c r="AH735" i="3"/>
  <c r="AG735" i="3"/>
  <c r="D735" i="3" l="1"/>
  <c r="G735" i="3" s="1"/>
  <c r="M735" i="3" s="1"/>
  <c r="N735" i="3" s="1"/>
  <c r="K735" i="3"/>
  <c r="AE735" i="3" s="1"/>
  <c r="F735" i="3" l="1"/>
  <c r="I735" i="3"/>
  <c r="J735" i="3"/>
  <c r="L735" i="3" s="1"/>
  <c r="V735" i="3"/>
  <c r="A736" i="3"/>
  <c r="B736" i="3" s="1"/>
  <c r="W735" i="3" l="1"/>
  <c r="U735" i="3"/>
  <c r="Y734" i="3"/>
  <c r="Z736" i="3"/>
  <c r="P736" i="3"/>
  <c r="Q736" i="3" s="1"/>
  <c r="R736" i="3" s="1"/>
  <c r="S736" i="3" s="1"/>
  <c r="AA736" i="3"/>
  <c r="AD736" i="3"/>
  <c r="AC736" i="3"/>
  <c r="T736" i="3" l="1"/>
  <c r="E736" i="3" s="1"/>
  <c r="H736" i="3" s="1"/>
  <c r="AH736" i="3" l="1"/>
  <c r="D736" i="3"/>
  <c r="F736" i="3" s="1"/>
  <c r="K736" i="3"/>
  <c r="AE736" i="3" s="1"/>
  <c r="AG736" i="3"/>
  <c r="G736" i="3" l="1"/>
  <c r="M736" i="3" s="1"/>
  <c r="N736" i="3" s="1"/>
  <c r="V736" i="3"/>
  <c r="A737" i="3"/>
  <c r="B737" i="3" s="1"/>
  <c r="I736" i="3" l="1"/>
  <c r="W736" i="3" s="1"/>
  <c r="J736" i="3"/>
  <c r="L736" i="3" s="1"/>
  <c r="AC737" i="3"/>
  <c r="P737" i="3"/>
  <c r="Q737" i="3" s="1"/>
  <c r="R737" i="3" s="1"/>
  <c r="S737" i="3" s="1"/>
  <c r="AD737" i="3"/>
  <c r="Z737" i="3"/>
  <c r="AA737" i="3"/>
  <c r="U736" i="3" l="1"/>
  <c r="Y735" i="3"/>
  <c r="T737" i="3"/>
  <c r="AH737" i="3" s="1"/>
  <c r="D737" i="3" l="1"/>
  <c r="E737" i="3"/>
  <c r="H737" i="3" s="1"/>
  <c r="AG737" i="3"/>
  <c r="F737" i="3" l="1"/>
  <c r="G737" i="3"/>
  <c r="K737" i="3"/>
  <c r="AE737" i="3" s="1"/>
  <c r="V737" i="3" l="1"/>
  <c r="A738" i="3"/>
  <c r="B738" i="3" s="1"/>
  <c r="I737" i="3"/>
  <c r="J737" i="3"/>
  <c r="M737" i="3"/>
  <c r="N737" i="3" s="1"/>
  <c r="W737" i="3" l="1"/>
  <c r="L737" i="3"/>
  <c r="AA738" i="3"/>
  <c r="P738" i="3"/>
  <c r="Q738" i="3" s="1"/>
  <c r="R738" i="3" s="1"/>
  <c r="S738" i="3" s="1"/>
  <c r="AC738" i="3"/>
  <c r="Z738" i="3"/>
  <c r="AD738" i="3"/>
  <c r="U737" i="3" l="1"/>
  <c r="Y736" i="3"/>
  <c r="T738" i="3"/>
  <c r="E738" i="3" l="1"/>
  <c r="H738" i="3" s="1"/>
  <c r="K738" i="3" s="1"/>
  <c r="AE738" i="3" s="1"/>
  <c r="D738" i="3"/>
  <c r="AG738" i="3"/>
  <c r="AH738" i="3"/>
  <c r="V738" i="3" l="1"/>
  <c r="A739" i="3"/>
  <c r="B739" i="3" s="1"/>
  <c r="F738" i="3"/>
  <c r="G738" i="3"/>
  <c r="I738" i="3" l="1"/>
  <c r="W738" i="3" s="1"/>
  <c r="J738" i="3"/>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AD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L745" i="3" s="1"/>
  <c r="Z746" i="3"/>
  <c r="AD746" i="3"/>
  <c r="P746" i="3"/>
  <c r="Q746" i="3" s="1"/>
  <c r="R746" i="3" s="1"/>
  <c r="S746" i="3" s="1"/>
  <c r="AA746" i="3"/>
  <c r="AC746" i="3"/>
  <c r="U745" i="3" l="1"/>
  <c r="Y744" i="3"/>
  <c r="T746" i="3"/>
  <c r="D746" i="3" l="1"/>
  <c r="G746" i="3" s="1"/>
  <c r="AG746" i="3"/>
  <c r="E746" i="3"/>
  <c r="H746" i="3" s="1"/>
  <c r="AH746" i="3"/>
  <c r="F746" i="3" l="1"/>
  <c r="I746" i="3"/>
  <c r="J746" i="3"/>
  <c r="M746" i="3"/>
  <c r="N746" i="3" s="1"/>
  <c r="K746" i="3"/>
  <c r="AE746" i="3" s="1"/>
  <c r="V746" i="3" l="1"/>
  <c r="W746" i="3" s="1"/>
  <c r="A747" i="3"/>
  <c r="B747" i="3" s="1"/>
  <c r="L746" i="3"/>
  <c r="U746" i="3" l="1"/>
  <c r="Y745" i="3"/>
  <c r="AA747" i="3"/>
  <c r="AD747" i="3"/>
  <c r="Z747" i="3"/>
  <c r="AC747" i="3"/>
  <c r="P747" i="3"/>
  <c r="Q747" i="3" s="1"/>
  <c r="R747" i="3" s="1"/>
  <c r="S747" i="3" s="1"/>
  <c r="T747" i="3" l="1"/>
  <c r="D747" i="3" s="1"/>
  <c r="AG747" i="3" l="1"/>
  <c r="E747" i="3"/>
  <c r="H747" i="3" s="1"/>
  <c r="K747" i="3" s="1"/>
  <c r="AE747" i="3" s="1"/>
  <c r="AH747" i="3"/>
  <c r="G747" i="3"/>
  <c r="F747" i="3" l="1"/>
  <c r="I747" i="3"/>
  <c r="J747" i="3"/>
  <c r="M747" i="3"/>
  <c r="N747" i="3" s="1"/>
  <c r="V747" i="3"/>
  <c r="A748" i="3"/>
  <c r="B748" i="3" s="1"/>
  <c r="W747" i="3" l="1"/>
  <c r="L747" i="3"/>
  <c r="AC748" i="3"/>
  <c r="P748" i="3"/>
  <c r="Q748" i="3" s="1"/>
  <c r="R748" i="3" s="1"/>
  <c r="S748" i="3" s="1"/>
  <c r="AD748" i="3"/>
  <c r="Z748" i="3"/>
  <c r="AA748" i="3"/>
  <c r="U747" i="3" l="1"/>
  <c r="Y746" i="3"/>
  <c r="T748" i="3"/>
  <c r="E748" i="3" l="1"/>
  <c r="H748" i="3" s="1"/>
  <c r="K748" i="3" s="1"/>
  <c r="AE748" i="3" s="1"/>
  <c r="D748" i="3"/>
  <c r="AH748" i="3"/>
  <c r="AG748" i="3"/>
  <c r="V748" i="3" l="1"/>
  <c r="A749" i="3"/>
  <c r="B749" i="3" s="1"/>
  <c r="F748" i="3"/>
  <c r="G748" i="3"/>
  <c r="I748" i="3" l="1"/>
  <c r="W748" i="3" s="1"/>
  <c r="J748" i="3"/>
  <c r="M748" i="3"/>
  <c r="N748" i="3" s="1"/>
  <c r="AA749" i="3"/>
  <c r="Z749" i="3"/>
  <c r="P749" i="3"/>
  <c r="Q749" i="3" s="1"/>
  <c r="R749" i="3" s="1"/>
  <c r="S749" i="3" s="1"/>
  <c r="AC749" i="3"/>
  <c r="AD749" i="3"/>
  <c r="T749" i="3" l="1"/>
  <c r="L748" i="3"/>
  <c r="U748" i="3" l="1"/>
  <c r="E749" i="3" s="1"/>
  <c r="H749" i="3" s="1"/>
  <c r="AG749" i="3"/>
  <c r="AH749" i="3"/>
  <c r="Y747" i="3"/>
  <c r="K749" i="3" l="1"/>
  <c r="AE749" i="3" s="1"/>
  <c r="D749" i="3"/>
  <c r="V749" i="3" l="1"/>
  <c r="A750" i="3"/>
  <c r="B750" i="3" s="1"/>
  <c r="F749" i="3"/>
  <c r="G749" i="3"/>
  <c r="I749" i="3" l="1"/>
  <c r="W749" i="3" s="1"/>
  <c r="J749" i="3"/>
  <c r="M749" i="3"/>
  <c r="N749" i="3" s="1"/>
  <c r="AA750" i="3"/>
  <c r="AC750" i="3"/>
  <c r="Z750" i="3"/>
  <c r="AD750" i="3"/>
  <c r="P750" i="3"/>
  <c r="Q750" i="3" s="1"/>
  <c r="R750" i="3" s="1"/>
  <c r="S750" i="3" s="1"/>
  <c r="T750" i="3" l="1"/>
  <c r="L749" i="3"/>
  <c r="AH750" i="3" l="1"/>
  <c r="AG750" i="3"/>
  <c r="U749" i="3"/>
  <c r="D750" i="3" s="1"/>
  <c r="Y748" i="3"/>
  <c r="G750" i="3" l="1"/>
  <c r="E750" i="3"/>
  <c r="H750" i="3" s="1"/>
  <c r="F750" i="3" l="1"/>
  <c r="I750" i="3"/>
  <c r="J750" i="3"/>
  <c r="M750" i="3"/>
  <c r="N750" i="3" s="1"/>
  <c r="K750" i="3"/>
  <c r="AE750" i="3" s="1"/>
  <c r="V750" i="3" l="1"/>
  <c r="W750" i="3" s="1"/>
  <c r="A751" i="3"/>
  <c r="B751" i="3" s="1"/>
  <c r="L750" i="3"/>
  <c r="U750" i="3" l="1"/>
  <c r="Y749" i="3"/>
  <c r="P751" i="3"/>
  <c r="Q751" i="3" s="1"/>
  <c r="R751" i="3" s="1"/>
  <c r="S751" i="3" s="1"/>
  <c r="Z751" i="3"/>
  <c r="AA751" i="3"/>
  <c r="AC751" i="3"/>
  <c r="AD751" i="3"/>
  <c r="T751" i="3" l="1"/>
  <c r="AH751" i="3" s="1"/>
  <c r="E751" i="3" l="1"/>
  <c r="H751" i="3" s="1"/>
  <c r="K751" i="3" s="1"/>
  <c r="AE751" i="3" s="1"/>
  <c r="AG751" i="3"/>
  <c r="D751" i="3"/>
  <c r="F751" i="3" l="1"/>
  <c r="G751" i="3"/>
  <c r="V751" i="3"/>
  <c r="A752" i="3"/>
  <c r="B752" i="3" s="1"/>
  <c r="AA752" i="3" l="1"/>
  <c r="AD752" i="3"/>
  <c r="Z752" i="3"/>
  <c r="AC752" i="3"/>
  <c r="P752" i="3"/>
  <c r="Q752" i="3" s="1"/>
  <c r="R752" i="3" s="1"/>
  <c r="S752" i="3" s="1"/>
  <c r="I751" i="3"/>
  <c r="W751" i="3" s="1"/>
  <c r="J751" i="3"/>
  <c r="M751" i="3"/>
  <c r="N751" i="3" s="1"/>
  <c r="L751" i="3" l="1"/>
  <c r="T752" i="3"/>
  <c r="U751" i="3" l="1"/>
  <c r="E752" i="3" s="1"/>
  <c r="H752" i="3" s="1"/>
  <c r="AG752" i="3"/>
  <c r="AH752" i="3"/>
  <c r="Y750" i="3"/>
  <c r="K752" i="3" l="1"/>
  <c r="AE752" i="3" s="1"/>
  <c r="D752" i="3"/>
  <c r="V752" i="3" l="1"/>
  <c r="A753" i="3"/>
  <c r="B753" i="3" s="1"/>
  <c r="F752" i="3"/>
  <c r="G752" i="3"/>
  <c r="I752" i="3" l="1"/>
  <c r="W752" i="3" s="1"/>
  <c r="J752" i="3"/>
  <c r="M752" i="3"/>
  <c r="N752" i="3" s="1"/>
  <c r="AD753" i="3"/>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D755"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AD756" i="3"/>
  <c r="I755" i="3"/>
  <c r="W755" i="3" s="1"/>
  <c r="J755" i="3"/>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L756" i="3" s="1"/>
  <c r="AD757" i="3"/>
  <c r="AC757" i="3"/>
  <c r="P757" i="3"/>
  <c r="Q757" i="3" s="1"/>
  <c r="R757" i="3" s="1"/>
  <c r="S757" i="3" s="1"/>
  <c r="Z757" i="3"/>
  <c r="AA757" i="3"/>
  <c r="T757" i="3" l="1"/>
  <c r="U756" i="3"/>
  <c r="Y755" i="3"/>
  <c r="E757" i="3" l="1"/>
  <c r="H757" i="3" s="1"/>
  <c r="K757" i="3" s="1"/>
  <c r="AE757" i="3" s="1"/>
  <c r="AH757" i="3"/>
  <c r="D757" i="3"/>
  <c r="AG757" i="3"/>
  <c r="V757" i="3" l="1"/>
  <c r="A758" i="3"/>
  <c r="B758" i="3" s="1"/>
  <c r="F757" i="3"/>
  <c r="G757" i="3"/>
  <c r="I757" i="3" l="1"/>
  <c r="W757" i="3" s="1"/>
  <c r="J757" i="3"/>
  <c r="M757" i="3"/>
  <c r="N757" i="3" s="1"/>
  <c r="AA758" i="3"/>
  <c r="Z758" i="3"/>
  <c r="AD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M758" i="3"/>
  <c r="N758" i="3" s="1"/>
  <c r="L758" i="3" l="1"/>
  <c r="W758" i="3"/>
  <c r="AD759" i="3"/>
  <c r="P759" i="3"/>
  <c r="Q759" i="3" s="1"/>
  <c r="R759" i="3" s="1"/>
  <c r="S759" i="3" s="1"/>
  <c r="Z759" i="3"/>
  <c r="AA759" i="3"/>
  <c r="AC759" i="3"/>
  <c r="U758" i="3" l="1"/>
  <c r="Y757" i="3"/>
  <c r="T759" i="3"/>
  <c r="D759" i="3" l="1"/>
  <c r="G759" i="3" s="1"/>
  <c r="AG759" i="3"/>
  <c r="E759" i="3"/>
  <c r="H759" i="3" s="1"/>
  <c r="AH759" i="3"/>
  <c r="F759" i="3" l="1"/>
  <c r="I759" i="3"/>
  <c r="J759" i="3"/>
  <c r="M759" i="3"/>
  <c r="N759" i="3" s="1"/>
  <c r="K759" i="3"/>
  <c r="AE759" i="3" s="1"/>
  <c r="V759" i="3" l="1"/>
  <c r="W759" i="3" s="1"/>
  <c r="A760" i="3"/>
  <c r="B760" i="3" s="1"/>
  <c r="L759" i="3"/>
  <c r="U759" i="3" l="1"/>
  <c r="Y758" i="3"/>
  <c r="AA760" i="3"/>
  <c r="AC760" i="3"/>
  <c r="Z760" i="3"/>
  <c r="P760" i="3"/>
  <c r="Q760" i="3" s="1"/>
  <c r="R760" i="3" s="1"/>
  <c r="S760" i="3" s="1"/>
  <c r="AD760" i="3"/>
  <c r="T760" i="3" l="1"/>
  <c r="E760" i="3" s="1"/>
  <c r="H760" i="3" s="1"/>
  <c r="AH760" i="3" l="1"/>
  <c r="AG760" i="3"/>
  <c r="D760" i="3"/>
  <c r="G760" i="3" s="1"/>
  <c r="K760" i="3"/>
  <c r="AE760" i="3" s="1"/>
  <c r="F760" i="3" l="1"/>
  <c r="I760" i="3"/>
  <c r="J760" i="3"/>
  <c r="M760" i="3"/>
  <c r="N760" i="3" s="1"/>
  <c r="V760" i="3"/>
  <c r="A761" i="3"/>
  <c r="B761" i="3" s="1"/>
  <c r="W760" i="3" l="1"/>
  <c r="L760" i="3"/>
  <c r="P761" i="3"/>
  <c r="Q761" i="3" s="1"/>
  <c r="R761" i="3" s="1"/>
  <c r="S761" i="3" s="1"/>
  <c r="Z761" i="3"/>
  <c r="AA761" i="3"/>
  <c r="AD761" i="3"/>
  <c r="AC761" i="3"/>
  <c r="T761" i="3" l="1"/>
  <c r="U760" i="3"/>
  <c r="Y759" i="3"/>
  <c r="D761" i="3" l="1"/>
  <c r="G761" i="3" s="1"/>
  <c r="AG761" i="3"/>
  <c r="AH761" i="3"/>
  <c r="E761" i="3"/>
  <c r="H761" i="3" s="1"/>
  <c r="F761" i="3" l="1"/>
  <c r="I761" i="3"/>
  <c r="J761" i="3"/>
  <c r="M761" i="3"/>
  <c r="N761" i="3" s="1"/>
  <c r="K761" i="3"/>
  <c r="AE761" i="3" s="1"/>
  <c r="V761" i="3" l="1"/>
  <c r="W761" i="3" s="1"/>
  <c r="A762" i="3"/>
  <c r="B762" i="3" s="1"/>
  <c r="L761" i="3"/>
  <c r="U761" i="3" l="1"/>
  <c r="Y760" i="3"/>
  <c r="AA762" i="3"/>
  <c r="Z762" i="3"/>
  <c r="AC762" i="3"/>
  <c r="P762" i="3"/>
  <c r="Q762" i="3" s="1"/>
  <c r="R762" i="3" s="1"/>
  <c r="S762" i="3" s="1"/>
  <c r="AD762" i="3"/>
  <c r="T762" i="3" l="1"/>
  <c r="D762" i="3" s="1"/>
  <c r="E762" i="3" l="1"/>
  <c r="H762" i="3" s="1"/>
  <c r="K762" i="3" s="1"/>
  <c r="AE762" i="3" s="1"/>
  <c r="AH762" i="3"/>
  <c r="AG762" i="3"/>
  <c r="G762" i="3"/>
  <c r="F762" i="3" l="1"/>
  <c r="I762" i="3"/>
  <c r="J762" i="3"/>
  <c r="M762" i="3"/>
  <c r="N762" i="3" s="1"/>
  <c r="V762" i="3"/>
  <c r="A763" i="3"/>
  <c r="B763" i="3" s="1"/>
  <c r="W762" i="3" l="1"/>
  <c r="L762" i="3"/>
  <c r="AC763" i="3"/>
  <c r="Z763" i="3"/>
  <c r="AA763" i="3"/>
  <c r="P763" i="3"/>
  <c r="Q763" i="3" s="1"/>
  <c r="R763" i="3" s="1"/>
  <c r="S763" i="3" s="1"/>
  <c r="AD763" i="3"/>
  <c r="U762" i="3" l="1"/>
  <c r="Y761" i="3"/>
  <c r="T763" i="3"/>
  <c r="D763" i="3" l="1"/>
  <c r="G763" i="3" s="1"/>
  <c r="AG763" i="3"/>
  <c r="AH763" i="3"/>
  <c r="E763" i="3"/>
  <c r="H763" i="3" s="1"/>
  <c r="K763" i="3" s="1"/>
  <c r="AE763" i="3" s="1"/>
  <c r="F763" i="3" l="1"/>
  <c r="I763" i="3"/>
  <c r="J763" i="3"/>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AD765" i="3"/>
  <c r="I764" i="3"/>
  <c r="W764" i="3" s="1"/>
  <c r="J764" i="3"/>
  <c r="AD764" i="3" s="1"/>
  <c r="M764" i="3"/>
  <c r="N764" i="3" s="1"/>
  <c r="T765" i="3" l="1"/>
  <c r="L764" i="3"/>
  <c r="AG765" i="3" l="1"/>
  <c r="AH765" i="3"/>
  <c r="U764" i="3"/>
  <c r="D765" i="3" s="1"/>
  <c r="Y763" i="3"/>
  <c r="E765" i="3" l="1"/>
  <c r="H765" i="3" s="1"/>
  <c r="K765" i="3" s="1"/>
  <c r="AE765" i="3" s="1"/>
  <c r="G765" i="3"/>
  <c r="F765" i="3" l="1"/>
  <c r="I765" i="3"/>
  <c r="J765" i="3"/>
  <c r="M765" i="3"/>
  <c r="N765" i="3" s="1"/>
  <c r="V765" i="3"/>
  <c r="A766" i="3"/>
  <c r="B766" i="3" s="1"/>
  <c r="W765" i="3" l="1"/>
  <c r="L765" i="3"/>
  <c r="AD766"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M766" i="3"/>
  <c r="N766" i="3" s="1"/>
  <c r="P767" i="3"/>
  <c r="Q767" i="3" s="1"/>
  <c r="R767" i="3" s="1"/>
  <c r="S767" i="3" s="1"/>
  <c r="AC767" i="3"/>
  <c r="AD767" i="3"/>
  <c r="AA767" i="3"/>
  <c r="Z767" i="3"/>
  <c r="T767" i="3" l="1"/>
  <c r="L766" i="3"/>
  <c r="AH767" i="3" l="1"/>
  <c r="AG767" i="3"/>
  <c r="U766" i="3"/>
  <c r="D767" i="3" s="1"/>
  <c r="Y765" i="3"/>
  <c r="E767" i="3" l="1"/>
  <c r="H767" i="3" s="1"/>
  <c r="K767" i="3" s="1"/>
  <c r="AE767" i="3" s="1"/>
  <c r="G767" i="3"/>
  <c r="F767" i="3" l="1"/>
  <c r="I767" i="3"/>
  <c r="J767" i="3"/>
  <c r="M767" i="3"/>
  <c r="N767" i="3" s="1"/>
  <c r="V767" i="3"/>
  <c r="A768" i="3"/>
  <c r="B768" i="3" s="1"/>
  <c r="W767" i="3" l="1"/>
  <c r="L767" i="3"/>
  <c r="AC768" i="3"/>
  <c r="AA768" i="3"/>
  <c r="AD768" i="3"/>
  <c r="P768" i="3"/>
  <c r="Q768" i="3" s="1"/>
  <c r="R768" i="3" s="1"/>
  <c r="S768" i="3" s="1"/>
  <c r="Z768" i="3"/>
  <c r="T768" i="3" l="1"/>
  <c r="AG768" i="3" s="1"/>
  <c r="U767" i="3"/>
  <c r="Y766" i="3"/>
  <c r="D768" i="3" l="1"/>
  <c r="G768" i="3" s="1"/>
  <c r="AH768" i="3"/>
  <c r="E768" i="3"/>
  <c r="H768" i="3" s="1"/>
  <c r="K768" i="3" l="1"/>
  <c r="AE768" i="3" s="1"/>
  <c r="I768" i="3"/>
  <c r="J768" i="3"/>
  <c r="M768" i="3"/>
  <c r="N768" i="3" s="1"/>
  <c r="F768" i="3"/>
  <c r="L768" i="3" l="1"/>
  <c r="V768" i="3"/>
  <c r="W768" i="3" s="1"/>
  <c r="A769" i="3"/>
  <c r="B769" i="3" s="1"/>
  <c r="AD769" i="3" l="1"/>
  <c r="AC769" i="3"/>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M769" i="3"/>
  <c r="N769" i="3" s="1"/>
  <c r="W769" i="3" l="1"/>
  <c r="L769" i="3"/>
  <c r="AC770" i="3"/>
  <c r="P770" i="3"/>
  <c r="Q770" i="3" s="1"/>
  <c r="R770" i="3" s="1"/>
  <c r="S770" i="3" s="1"/>
  <c r="AD770" i="3"/>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L770" i="3" s="1"/>
  <c r="AA771" i="3"/>
  <c r="AC771" i="3"/>
  <c r="P771" i="3"/>
  <c r="Q771" i="3" s="1"/>
  <c r="R771" i="3" s="1"/>
  <c r="S771" i="3" s="1"/>
  <c r="Z771" i="3"/>
  <c r="AD771" i="3"/>
  <c r="U770" i="3" l="1"/>
  <c r="Y769" i="3"/>
  <c r="T771" i="3"/>
  <c r="AH771" i="3" s="1"/>
  <c r="E771" i="3" l="1"/>
  <c r="H771" i="3" s="1"/>
  <c r="AG771" i="3"/>
  <c r="D771" i="3"/>
  <c r="K771" i="3" l="1"/>
  <c r="AE771" i="3" s="1"/>
  <c r="F771" i="3"/>
  <c r="G771" i="3"/>
  <c r="V771" i="3" l="1"/>
  <c r="A772" i="3"/>
  <c r="B772" i="3" s="1"/>
  <c r="I771" i="3"/>
  <c r="J771" i="3"/>
  <c r="M771" i="3"/>
  <c r="N771" i="3" s="1"/>
  <c r="L771" i="3" l="1"/>
  <c r="W771" i="3"/>
  <c r="AD772"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M772" i="3"/>
  <c r="N772" i="3" s="1"/>
  <c r="W772" i="3" l="1"/>
  <c r="L772" i="3"/>
  <c r="AA773" i="3"/>
  <c r="P773" i="3"/>
  <c r="Q773" i="3" s="1"/>
  <c r="R773" i="3" s="1"/>
  <c r="S773" i="3" s="1"/>
  <c r="Z773" i="3"/>
  <c r="AD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L773" i="3" s="1"/>
  <c r="AC774" i="3"/>
  <c r="P774" i="3"/>
  <c r="Q774" i="3" s="1"/>
  <c r="R774" i="3" s="1"/>
  <c r="S774" i="3" s="1"/>
  <c r="AA774" i="3"/>
  <c r="Z774" i="3"/>
  <c r="U773" i="3" l="1"/>
  <c r="Y772" i="3"/>
  <c r="T774" i="3"/>
  <c r="AG774" i="3" s="1"/>
  <c r="E774" i="3" l="1"/>
  <c r="H774" i="3" s="1"/>
  <c r="K774" i="3" s="1"/>
  <c r="AE774" i="3" s="1"/>
  <c r="AH774" i="3"/>
  <c r="D774" i="3"/>
  <c r="F774" i="3" l="1"/>
  <c r="G774" i="3"/>
  <c r="M774" i="3" s="1"/>
  <c r="N774" i="3" s="1"/>
  <c r="V774" i="3"/>
  <c r="A775" i="3"/>
  <c r="B775" i="3" s="1"/>
  <c r="I774" i="3" l="1"/>
  <c r="W774" i="3" s="1"/>
  <c r="J774" i="3"/>
  <c r="P775" i="3"/>
  <c r="Q775" i="3" s="1"/>
  <c r="R775" i="3" s="1"/>
  <c r="S775" i="3" s="1"/>
  <c r="Z775" i="3"/>
  <c r="AD775" i="3"/>
  <c r="AA775" i="3"/>
  <c r="AC775" i="3"/>
  <c r="L774" i="3" l="1"/>
  <c r="Y773"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D778" i="3"/>
  <c r="AA778" i="3"/>
  <c r="AC778" i="3"/>
  <c r="U777" i="3" l="1"/>
  <c r="Y776" i="3"/>
  <c r="T778" i="3"/>
  <c r="AH778" i="3" s="1"/>
  <c r="E778" i="3" l="1"/>
  <c r="H778" i="3" s="1"/>
  <c r="K778" i="3" s="1"/>
  <c r="AE778" i="3" s="1"/>
  <c r="AG778" i="3"/>
  <c r="D778" i="3"/>
  <c r="G778" i="3" s="1"/>
  <c r="F778" i="3" l="1"/>
  <c r="I778" i="3"/>
  <c r="J778" i="3"/>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AD785" i="3"/>
  <c r="P785" i="3"/>
  <c r="Q785" i="3" s="1"/>
  <c r="R785" i="3" s="1"/>
  <c r="S785" i="3" s="1"/>
  <c r="AC785" i="3"/>
  <c r="Z785" i="3"/>
  <c r="U784" i="3" l="1"/>
  <c r="Y783" i="3"/>
  <c r="T785" i="3"/>
  <c r="AH785" i="3" s="1"/>
  <c r="E785" i="3" l="1"/>
  <c r="H785" i="3" s="1"/>
  <c r="AG785" i="3"/>
  <c r="D785" i="3"/>
  <c r="K785" i="3" l="1"/>
  <c r="AE785" i="3" s="1"/>
  <c r="F785" i="3"/>
  <c r="G785" i="3"/>
  <c r="I785" i="3" l="1"/>
  <c r="J785" i="3"/>
  <c r="M785" i="3"/>
  <c r="N785" i="3" s="1"/>
  <c r="V785" i="3"/>
  <c r="A786" i="3"/>
  <c r="B786" i="3" s="1"/>
  <c r="W785" i="3" l="1"/>
  <c r="L785" i="3"/>
  <c r="Z786" i="3"/>
  <c r="AD786" i="3"/>
  <c r="AA786" i="3"/>
  <c r="P786" i="3"/>
  <c r="Q786" i="3" s="1"/>
  <c r="R786" i="3" s="1"/>
  <c r="S786" i="3" s="1"/>
  <c r="AC786" i="3"/>
  <c r="U785" i="3" l="1"/>
  <c r="Y784" i="3"/>
  <c r="T786" i="3"/>
  <c r="E786" i="3" l="1"/>
  <c r="H786" i="3" s="1"/>
  <c r="K786" i="3" s="1"/>
  <c r="AE786" i="3" s="1"/>
  <c r="AG786" i="3"/>
  <c r="D786" i="3"/>
  <c r="G786" i="3" s="1"/>
  <c r="AH786" i="3"/>
  <c r="F786" i="3" l="1"/>
  <c r="I786" i="3"/>
  <c r="J786" i="3"/>
  <c r="M786" i="3"/>
  <c r="N786" i="3" s="1"/>
  <c r="V786" i="3"/>
  <c r="A787" i="3"/>
  <c r="B787" i="3" s="1"/>
  <c r="L786" i="3" l="1"/>
  <c r="W786" i="3"/>
  <c r="AC787" i="3"/>
  <c r="P787" i="3"/>
  <c r="Q787" i="3" s="1"/>
  <c r="R787" i="3" s="1"/>
  <c r="S787" i="3" s="1"/>
  <c r="Z787" i="3"/>
  <c r="AD787" i="3"/>
  <c r="AA787" i="3"/>
  <c r="U786" i="3" l="1"/>
  <c r="Y785" i="3"/>
  <c r="T787" i="3"/>
  <c r="D787" i="3" l="1"/>
  <c r="G787" i="3" s="1"/>
  <c r="AH787" i="3"/>
  <c r="E787" i="3"/>
  <c r="H787" i="3" s="1"/>
  <c r="AG787" i="3"/>
  <c r="F787" i="3" l="1"/>
  <c r="I787" i="3"/>
  <c r="J787" i="3"/>
  <c r="M787" i="3"/>
  <c r="N787" i="3" s="1"/>
  <c r="K787" i="3"/>
  <c r="AE787" i="3" s="1"/>
  <c r="V787" i="3" l="1"/>
  <c r="W787" i="3" s="1"/>
  <c r="A788" i="3"/>
  <c r="B788" i="3" s="1"/>
  <c r="L787" i="3"/>
  <c r="U787" i="3" l="1"/>
  <c r="Y786" i="3"/>
  <c r="AC788" i="3"/>
  <c r="Z788" i="3"/>
  <c r="AD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L788" i="3" s="1"/>
  <c r="W788" i="3"/>
  <c r="P789" i="3"/>
  <c r="Q789" i="3" s="1"/>
  <c r="R789" i="3" s="1"/>
  <c r="S789" i="3" s="1"/>
  <c r="AC789" i="3"/>
  <c r="AD789" i="3"/>
  <c r="AA789" i="3"/>
  <c r="Z789" i="3"/>
  <c r="U788" i="3" l="1"/>
  <c r="Y787" i="3"/>
  <c r="T789" i="3"/>
  <c r="D789" i="3" l="1"/>
  <c r="G789" i="3" s="1"/>
  <c r="E789" i="3"/>
  <c r="H789" i="3" s="1"/>
  <c r="AH789" i="3"/>
  <c r="AG789" i="3"/>
  <c r="F789" i="3" l="1"/>
  <c r="I789" i="3"/>
  <c r="J789" i="3"/>
  <c r="M789" i="3"/>
  <c r="N789" i="3" s="1"/>
  <c r="K789" i="3"/>
  <c r="AE789" i="3" s="1"/>
  <c r="L789" i="3" l="1"/>
  <c r="V789" i="3"/>
  <c r="W789" i="3" s="1"/>
  <c r="A790" i="3"/>
  <c r="B790" i="3" s="1"/>
  <c r="AA790" i="3" l="1"/>
  <c r="AC790" i="3"/>
  <c r="Z790" i="3"/>
  <c r="AD790" i="3"/>
  <c r="P790" i="3"/>
  <c r="Q790" i="3" s="1"/>
  <c r="R790" i="3" s="1"/>
  <c r="S790" i="3" s="1"/>
  <c r="U789" i="3"/>
  <c r="Y788" i="3"/>
  <c r="T790" i="3" l="1"/>
  <c r="D790" i="3" s="1"/>
  <c r="AG790" i="3" l="1"/>
  <c r="G790" i="3"/>
  <c r="AH790" i="3"/>
  <c r="E790" i="3"/>
  <c r="H790" i="3" s="1"/>
  <c r="F790" i="3" l="1"/>
  <c r="I790" i="3"/>
  <c r="J790" i="3"/>
  <c r="M790" i="3"/>
  <c r="N790" i="3" s="1"/>
  <c r="K790" i="3"/>
  <c r="AE790" i="3" s="1"/>
  <c r="V790" i="3" l="1"/>
  <c r="W790" i="3" s="1"/>
  <c r="A791" i="3"/>
  <c r="B791" i="3" s="1"/>
  <c r="L790" i="3"/>
  <c r="U790" i="3" l="1"/>
  <c r="Y789" i="3"/>
  <c r="AD791" i="3"/>
  <c r="P791" i="3"/>
  <c r="Q791" i="3" s="1"/>
  <c r="R791" i="3" s="1"/>
  <c r="S791" i="3" s="1"/>
  <c r="AA791" i="3"/>
  <c r="AC791" i="3"/>
  <c r="Z791" i="3"/>
  <c r="T791" i="3" l="1"/>
  <c r="AG791" i="3" s="1"/>
  <c r="E791" i="3" l="1"/>
  <c r="H791" i="3" s="1"/>
  <c r="K791" i="3" s="1"/>
  <c r="AE791" i="3" s="1"/>
  <c r="D791" i="3"/>
  <c r="G791" i="3" s="1"/>
  <c r="AH791" i="3"/>
  <c r="F791" i="3" l="1"/>
  <c r="I791" i="3"/>
  <c r="J791" i="3"/>
  <c r="M791" i="3"/>
  <c r="N791" i="3" s="1"/>
  <c r="V791" i="3"/>
  <c r="A792" i="3"/>
  <c r="B792" i="3" s="1"/>
  <c r="W791" i="3" l="1"/>
  <c r="L791" i="3"/>
  <c r="P792" i="3"/>
  <c r="Q792" i="3" s="1"/>
  <c r="R792" i="3" s="1"/>
  <c r="S792" i="3" s="1"/>
  <c r="AC792" i="3"/>
  <c r="AD792" i="3"/>
  <c r="Z792" i="3"/>
  <c r="AA792" i="3"/>
  <c r="U791" i="3" l="1"/>
  <c r="Y790" i="3"/>
  <c r="T792" i="3"/>
  <c r="AG792" i="3" s="1"/>
  <c r="AH792" i="3" l="1"/>
  <c r="D792" i="3"/>
  <c r="E792" i="3"/>
  <c r="H792" i="3" s="1"/>
  <c r="F792" i="3" l="1"/>
  <c r="G792" i="3"/>
  <c r="K792" i="3"/>
  <c r="AE792" i="3" s="1"/>
  <c r="I792" i="3" l="1"/>
  <c r="J792" i="3"/>
  <c r="M792" i="3"/>
  <c r="N792" i="3" s="1"/>
  <c r="V792" i="3"/>
  <c r="A793" i="3"/>
  <c r="B793" i="3" s="1"/>
  <c r="L792" i="3" l="1"/>
  <c r="W792" i="3"/>
  <c r="AD793"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L793" i="3" s="1"/>
  <c r="Z794" i="3"/>
  <c r="AC794" i="3"/>
  <c r="P794" i="3"/>
  <c r="Q794" i="3" s="1"/>
  <c r="R794" i="3" s="1"/>
  <c r="S794" i="3" s="1"/>
  <c r="AA794" i="3"/>
  <c r="T794" i="3" l="1"/>
  <c r="AH794" i="3" s="1"/>
  <c r="U793" i="3"/>
  <c r="Y792" i="3"/>
  <c r="AG794" i="3" l="1"/>
  <c r="D794" i="3"/>
  <c r="E794" i="3"/>
  <c r="H794" i="3" s="1"/>
  <c r="F794" i="3" l="1"/>
  <c r="G794" i="3"/>
  <c r="K794" i="3"/>
  <c r="AE794" i="3" s="1"/>
  <c r="I794" i="3" l="1"/>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AD798" i="3"/>
  <c r="T798" i="3" l="1"/>
  <c r="U797" i="3"/>
  <c r="Y796" i="3"/>
  <c r="E798" i="3" l="1"/>
  <c r="H798" i="3" s="1"/>
  <c r="K798" i="3" s="1"/>
  <c r="AE798" i="3" s="1"/>
  <c r="D798" i="3"/>
  <c r="G798" i="3" s="1"/>
  <c r="AH798" i="3"/>
  <c r="AG798" i="3"/>
  <c r="F798" i="3" l="1"/>
  <c r="I798" i="3"/>
  <c r="J798" i="3"/>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D808" i="3"/>
  <c r="AC808" i="3"/>
  <c r="U807" i="3" l="1"/>
  <c r="Y806" i="3"/>
  <c r="T808" i="3"/>
  <c r="AH808" i="3" s="1"/>
  <c r="D808" i="3" l="1"/>
  <c r="G808" i="3" s="1"/>
  <c r="E808" i="3"/>
  <c r="H808" i="3" s="1"/>
  <c r="K808" i="3" s="1"/>
  <c r="AE808" i="3" s="1"/>
  <c r="AG808" i="3"/>
  <c r="F808" i="3" l="1"/>
  <c r="I808" i="3"/>
  <c r="J808" i="3"/>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AD818"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AD828" i="3"/>
  <c r="P828" i="3"/>
  <c r="Q828" i="3" s="1"/>
  <c r="R828" i="3" s="1"/>
  <c r="S828" i="3" s="1"/>
  <c r="AC828" i="3"/>
  <c r="AA828" i="3"/>
  <c r="Z828" i="3"/>
  <c r="U827" i="3" l="1"/>
  <c r="Y826" i="3"/>
  <c r="T828" i="3"/>
  <c r="D828" i="3" l="1"/>
  <c r="G828" i="3" s="1"/>
  <c r="AG828" i="3"/>
  <c r="AH828" i="3"/>
  <c r="E828" i="3"/>
  <c r="H828" i="3" s="1"/>
  <c r="F828" i="3" l="1"/>
  <c r="I828" i="3"/>
  <c r="J828" i="3"/>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AD838" i="3"/>
  <c r="U837" i="3" l="1"/>
  <c r="Y836" i="3"/>
  <c r="T838" i="3"/>
  <c r="AH838" i="3" s="1"/>
  <c r="E838" i="3" l="1"/>
  <c r="H838" i="3" s="1"/>
  <c r="D838" i="3"/>
  <c r="AG838" i="3"/>
  <c r="K838" i="3" l="1"/>
  <c r="AE838" i="3" s="1"/>
  <c r="F838" i="3"/>
  <c r="G838" i="3"/>
  <c r="V838" i="3" l="1"/>
  <c r="A839" i="3"/>
  <c r="B839" i="3" s="1"/>
  <c r="I838" i="3"/>
  <c r="J838" i="3"/>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AD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AD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AD868" i="3"/>
  <c r="Z868" i="3"/>
  <c r="AA868" i="3"/>
  <c r="AC868" i="3"/>
  <c r="P868" i="3"/>
  <c r="Q868" i="3" s="1"/>
  <c r="R868" i="3" s="1"/>
  <c r="S868" i="3" s="1"/>
  <c r="T868" i="3" l="1"/>
  <c r="U867" i="3"/>
  <c r="Y866" i="3"/>
  <c r="E868" i="3" l="1"/>
  <c r="H868" i="3" s="1"/>
  <c r="K868" i="3" s="1"/>
  <c r="AE868" i="3" s="1"/>
  <c r="AH868" i="3"/>
  <c r="D868" i="3"/>
  <c r="G868" i="3" s="1"/>
  <c r="AG868" i="3"/>
  <c r="F868" i="3" l="1"/>
  <c r="I868" i="3"/>
  <c r="J868" i="3"/>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D878" i="3"/>
  <c r="AC878" i="3"/>
  <c r="AA878" i="3"/>
  <c r="P878" i="3"/>
  <c r="Q878" i="3" s="1"/>
  <c r="R878" i="3" s="1"/>
  <c r="S878" i="3" s="1"/>
  <c r="T878" i="3" l="1"/>
  <c r="E878" i="3" s="1"/>
  <c r="H878" i="3" s="1"/>
  <c r="D878" i="3" l="1"/>
  <c r="G878" i="3" s="1"/>
  <c r="AG878" i="3"/>
  <c r="AH878" i="3"/>
  <c r="K878" i="3"/>
  <c r="AE878" i="3" s="1"/>
  <c r="F878" i="3" l="1"/>
  <c r="I878" i="3"/>
  <c r="J878" i="3"/>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D888" i="3"/>
  <c r="AA888" i="3"/>
  <c r="Z888" i="3"/>
  <c r="P888" i="3"/>
  <c r="Q888" i="3" s="1"/>
  <c r="R888" i="3" s="1"/>
  <c r="S888" i="3" s="1"/>
  <c r="T888" i="3" l="1"/>
  <c r="U887" i="3"/>
  <c r="Y886" i="3"/>
  <c r="E888" i="3" l="1"/>
  <c r="H888" i="3" s="1"/>
  <c r="K888" i="3" s="1"/>
  <c r="AE888" i="3" s="1"/>
  <c r="D888" i="3"/>
  <c r="G888" i="3" s="1"/>
  <c r="AG888" i="3"/>
  <c r="AH888" i="3"/>
  <c r="F888" i="3" l="1"/>
  <c r="I888" i="3"/>
  <c r="J888" i="3"/>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AD898" i="3"/>
  <c r="P898" i="3"/>
  <c r="Q898" i="3" s="1"/>
  <c r="R898" i="3" s="1"/>
  <c r="S898" i="3" s="1"/>
  <c r="Z898" i="3"/>
  <c r="AC898" i="3"/>
  <c r="U897" i="3"/>
  <c r="Y896" i="3"/>
  <c r="T898" i="3" l="1"/>
  <c r="D898" i="3" s="1"/>
  <c r="G898" i="3" l="1"/>
  <c r="AG898" i="3"/>
  <c r="E898" i="3"/>
  <c r="H898" i="3" s="1"/>
  <c r="AH898" i="3"/>
  <c r="F898" i="3" l="1"/>
  <c r="I898" i="3"/>
  <c r="J898" i="3"/>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D908" i="3"/>
  <c r="AC908" i="3"/>
  <c r="T908" i="3" l="1"/>
  <c r="L907" i="3"/>
  <c r="AG908" i="3" l="1"/>
  <c r="AH908" i="3"/>
  <c r="U907" i="3"/>
  <c r="E908" i="3" s="1"/>
  <c r="H908" i="3" s="1"/>
  <c r="Y906" i="3"/>
  <c r="D908" i="3" l="1"/>
  <c r="G908" i="3" s="1"/>
  <c r="K908" i="3"/>
  <c r="AE908" i="3" s="1"/>
  <c r="F908" i="3" l="1"/>
  <c r="I908" i="3"/>
  <c r="J908" i="3"/>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D918" i="3"/>
  <c r="AA918" i="3"/>
  <c r="Z918" i="3"/>
  <c r="P918" i="3"/>
  <c r="Q918" i="3" s="1"/>
  <c r="R918" i="3" s="1"/>
  <c r="S918" i="3" s="1"/>
  <c r="T918" i="3" l="1"/>
  <c r="U917" i="3"/>
  <c r="Y916" i="3"/>
  <c r="E918" i="3" l="1"/>
  <c r="H918" i="3" s="1"/>
  <c r="K918" i="3" s="1"/>
  <c r="AE918" i="3" s="1"/>
  <c r="AH918" i="3"/>
  <c r="D918" i="3"/>
  <c r="G918" i="3" s="1"/>
  <c r="AG918" i="3"/>
  <c r="F918" i="3" l="1"/>
  <c r="I918" i="3"/>
  <c r="J918" i="3"/>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D928" i="3"/>
  <c r="AA928" i="3"/>
  <c r="Z928" i="3"/>
  <c r="P928" i="3"/>
  <c r="Q928" i="3" s="1"/>
  <c r="R928" i="3" s="1"/>
  <c r="S928" i="3" s="1"/>
  <c r="T928" i="3" l="1"/>
  <c r="D928" i="3" s="1"/>
  <c r="AH928" i="3" l="1"/>
  <c r="E928" i="3"/>
  <c r="H928" i="3" s="1"/>
  <c r="K928" i="3" s="1"/>
  <c r="AE928" i="3" s="1"/>
  <c r="AG928" i="3"/>
  <c r="G928" i="3"/>
  <c r="F928" i="3" l="1"/>
  <c r="I928" i="3"/>
  <c r="J928" i="3"/>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AD938" i="3"/>
  <c r="T938" i="3" l="1"/>
  <c r="AG938" i="3" s="1"/>
  <c r="U937" i="3"/>
  <c r="Y936" i="3"/>
  <c r="D938" i="3" l="1"/>
  <c r="AH938" i="3"/>
  <c r="E938" i="3"/>
  <c r="H938" i="3" s="1"/>
  <c r="F938" i="3" l="1"/>
  <c r="G938" i="3"/>
  <c r="J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AD948" i="3"/>
  <c r="Z948" i="3"/>
  <c r="AC948" i="3"/>
  <c r="U947" i="3" l="1"/>
  <c r="Y946" i="3"/>
  <c r="T948" i="3"/>
  <c r="AH948" i="3" s="1"/>
  <c r="AG948" i="3" l="1"/>
  <c r="E948" i="3"/>
  <c r="H948" i="3" s="1"/>
  <c r="D948" i="3"/>
  <c r="K948" i="3" l="1"/>
  <c r="AE948" i="3" s="1"/>
  <c r="F948" i="3"/>
  <c r="G948" i="3"/>
  <c r="I948" i="3" l="1"/>
  <c r="J948" i="3"/>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D955" i="3"/>
  <c r="AC955" i="3"/>
  <c r="Z955" i="3"/>
  <c r="U954" i="3" l="1"/>
  <c r="Y953" i="3"/>
  <c r="T955" i="3"/>
  <c r="AG955" i="3" s="1"/>
  <c r="AH955" i="3" l="1"/>
  <c r="D955" i="3"/>
  <c r="E955" i="3"/>
  <c r="H955" i="3" s="1"/>
  <c r="F955" i="3" l="1"/>
  <c r="G955" i="3"/>
  <c r="K955" i="3"/>
  <c r="AE955" i="3" s="1"/>
  <c r="I955" i="3" l="1"/>
  <c r="J955" i="3"/>
  <c r="M955" i="3"/>
  <c r="N955" i="3" s="1"/>
  <c r="V955" i="3"/>
  <c r="A956" i="3"/>
  <c r="B956" i="3" s="1"/>
  <c r="W955" i="3" l="1"/>
  <c r="L955" i="3"/>
  <c r="AA956" i="3"/>
  <c r="P956" i="3"/>
  <c r="Q956" i="3" s="1"/>
  <c r="R956" i="3" s="1"/>
  <c r="S956" i="3" s="1"/>
  <c r="Z956" i="3"/>
  <c r="AD956" i="3"/>
  <c r="AC956" i="3"/>
  <c r="U955" i="3" l="1"/>
  <c r="Y954" i="3"/>
  <c r="T956" i="3"/>
  <c r="AH956" i="3" s="1"/>
  <c r="AG956" i="3" l="1"/>
  <c r="E956" i="3"/>
  <c r="H956" i="3" s="1"/>
  <c r="K956" i="3" s="1"/>
  <c r="AE956" i="3" s="1"/>
  <c r="D956" i="3"/>
  <c r="V956" i="3" l="1"/>
  <c r="A957" i="3"/>
  <c r="B957" i="3" s="1"/>
  <c r="F956" i="3"/>
  <c r="G956" i="3"/>
  <c r="I956" i="3" l="1"/>
  <c r="W956" i="3" s="1"/>
  <c r="J956" i="3"/>
  <c r="M956" i="3"/>
  <c r="N956" i="3" s="1"/>
  <c r="AA957" i="3"/>
  <c r="AD957" i="3"/>
  <c r="Z957" i="3"/>
  <c r="P957" i="3"/>
  <c r="Q957" i="3" s="1"/>
  <c r="R957" i="3" s="1"/>
  <c r="S957" i="3" s="1"/>
  <c r="AC957" i="3"/>
  <c r="T957" i="3" l="1"/>
  <c r="L956" i="3"/>
  <c r="AG957" i="3" l="1"/>
  <c r="U956" i="3"/>
  <c r="E957" i="3" s="1"/>
  <c r="H957" i="3" s="1"/>
  <c r="AH957" i="3"/>
  <c r="Y955" i="3"/>
  <c r="D957" i="3" l="1"/>
  <c r="G957" i="3" s="1"/>
  <c r="K957" i="3"/>
  <c r="AE957" i="3" s="1"/>
  <c r="F957" i="3" l="1"/>
  <c r="I957" i="3"/>
  <c r="J957" i="3"/>
  <c r="M957" i="3"/>
  <c r="N957" i="3" s="1"/>
  <c r="V957" i="3"/>
  <c r="A958" i="3"/>
  <c r="B958" i="3" s="1"/>
  <c r="W957" i="3" l="1"/>
  <c r="L957" i="3"/>
  <c r="AC958" i="3"/>
  <c r="AA958" i="3"/>
  <c r="P958" i="3"/>
  <c r="Q958" i="3" s="1"/>
  <c r="R958" i="3" s="1"/>
  <c r="S958" i="3" s="1"/>
  <c r="Z958" i="3"/>
  <c r="AD958" i="3"/>
  <c r="T958" i="3" l="1"/>
  <c r="AH958" i="3" s="1"/>
  <c r="U957" i="3"/>
  <c r="Y956" i="3"/>
  <c r="AG958" i="3" l="1"/>
  <c r="D958" i="3"/>
  <c r="E958" i="3"/>
  <c r="H958" i="3" s="1"/>
  <c r="K958" i="3" l="1"/>
  <c r="AE958" i="3" s="1"/>
  <c r="F958" i="3"/>
  <c r="G958" i="3"/>
  <c r="V958" i="3" l="1"/>
  <c r="A959" i="3"/>
  <c r="B959" i="3" s="1"/>
  <c r="I958" i="3"/>
  <c r="J958" i="3"/>
  <c r="M958" i="3"/>
  <c r="N958" i="3" s="1"/>
  <c r="W958" i="3" l="1"/>
  <c r="L958" i="3"/>
  <c r="Z959" i="3"/>
  <c r="AC959" i="3"/>
  <c r="P959" i="3"/>
  <c r="Q959" i="3" s="1"/>
  <c r="R959" i="3" s="1"/>
  <c r="S959" i="3" s="1"/>
  <c r="AA959" i="3"/>
  <c r="AD959" i="3"/>
  <c r="T959" i="3" l="1"/>
  <c r="AH959" i="3" s="1"/>
  <c r="U958" i="3"/>
  <c r="Y957" i="3"/>
  <c r="AG959" i="3" l="1"/>
  <c r="E959" i="3"/>
  <c r="H959" i="3" s="1"/>
  <c r="K959" i="3" s="1"/>
  <c r="AE959" i="3" s="1"/>
  <c r="D959" i="3"/>
  <c r="F959" i="3" l="1"/>
  <c r="G959" i="3"/>
  <c r="V959" i="3"/>
  <c r="A960" i="3"/>
  <c r="B960" i="3" s="1"/>
  <c r="AD960" i="3" l="1"/>
  <c r="Z960" i="3"/>
  <c r="AA960" i="3"/>
  <c r="P960" i="3"/>
  <c r="Q960" i="3" s="1"/>
  <c r="R960" i="3" s="1"/>
  <c r="S960" i="3" s="1"/>
  <c r="AC960" i="3"/>
  <c r="I959" i="3"/>
  <c r="W959" i="3" s="1"/>
  <c r="J959" i="3"/>
  <c r="M959" i="3"/>
  <c r="N959" i="3" s="1"/>
  <c r="T960" i="3" l="1"/>
  <c r="L959" i="3"/>
  <c r="U959" i="3" l="1"/>
  <c r="E960" i="3" s="1"/>
  <c r="H960" i="3" s="1"/>
  <c r="AG960" i="3"/>
  <c r="AH960" i="3"/>
  <c r="Y958" i="3"/>
  <c r="D960" i="3" l="1"/>
  <c r="G960" i="3" s="1"/>
  <c r="K960" i="3"/>
  <c r="AE960" i="3" s="1"/>
  <c r="F960" i="3" l="1"/>
  <c r="I960" i="3"/>
  <c r="J960" i="3"/>
  <c r="M960" i="3"/>
  <c r="N960" i="3" s="1"/>
  <c r="V960" i="3"/>
  <c r="A961" i="3"/>
  <c r="B961" i="3" s="1"/>
  <c r="W960" i="3" l="1"/>
  <c r="P961" i="3"/>
  <c r="Q961" i="3" s="1"/>
  <c r="R961" i="3" s="1"/>
  <c r="S961" i="3" s="1"/>
  <c r="AD961" i="3"/>
  <c r="AC961" i="3"/>
  <c r="Z961" i="3"/>
  <c r="AA961" i="3"/>
  <c r="L960" i="3"/>
  <c r="U960" i="3" l="1"/>
  <c r="Y959" i="3"/>
  <c r="T961" i="3"/>
  <c r="D961" i="3" l="1"/>
  <c r="G961" i="3" s="1"/>
  <c r="AH961" i="3"/>
  <c r="AG961" i="3"/>
  <c r="E961" i="3"/>
  <c r="H961" i="3" s="1"/>
  <c r="K961" i="3" l="1"/>
  <c r="AE961" i="3" s="1"/>
  <c r="I961" i="3"/>
  <c r="J961" i="3"/>
  <c r="M961" i="3"/>
  <c r="N961" i="3" s="1"/>
  <c r="F961" i="3"/>
  <c r="L961" i="3" l="1"/>
  <c r="V961" i="3"/>
  <c r="W961" i="3" s="1"/>
  <c r="A962" i="3"/>
  <c r="B962" i="3" s="1"/>
  <c r="Z962" i="3" l="1"/>
  <c r="AA962" i="3"/>
  <c r="P962" i="3"/>
  <c r="Q962" i="3" s="1"/>
  <c r="R962" i="3" s="1"/>
  <c r="S962" i="3" s="1"/>
  <c r="AC962" i="3"/>
  <c r="AD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AD963" i="3"/>
  <c r="I962" i="3"/>
  <c r="W962" i="3" s="1"/>
  <c r="J962" i="3"/>
  <c r="M962" i="3"/>
  <c r="N962" i="3" s="1"/>
  <c r="T963" i="3" l="1"/>
  <c r="L962" i="3"/>
  <c r="U962" i="3" l="1"/>
  <c r="E963" i="3" s="1"/>
  <c r="H963" i="3" s="1"/>
  <c r="AG963" i="3"/>
  <c r="AH963" i="3"/>
  <c r="Y961" i="3"/>
  <c r="D963" i="3" l="1"/>
  <c r="G963" i="3" s="1"/>
  <c r="K963" i="3"/>
  <c r="AE963" i="3" s="1"/>
  <c r="F963" i="3" l="1"/>
  <c r="I963" i="3"/>
  <c r="J963" i="3"/>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AD968" i="3"/>
  <c r="L967" i="3" l="1"/>
  <c r="T968" i="3"/>
  <c r="AH968" i="3" l="1"/>
  <c r="AG968" i="3"/>
  <c r="U967" i="3"/>
  <c r="E968" i="3" s="1"/>
  <c r="H968" i="3" s="1"/>
  <c r="Y966" i="3"/>
  <c r="K968" i="3" l="1"/>
  <c r="AE968" i="3" s="1"/>
  <c r="D968" i="3"/>
  <c r="V968" i="3" l="1"/>
  <c r="A969" i="3"/>
  <c r="B969" i="3" s="1"/>
  <c r="F968" i="3"/>
  <c r="G968" i="3"/>
  <c r="I968" i="3" l="1"/>
  <c r="W968" i="3" s="1"/>
  <c r="J968" i="3"/>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AD978" i="3"/>
  <c r="Z978" i="3"/>
  <c r="AA978" i="3"/>
  <c r="P978" i="3"/>
  <c r="Q978" i="3" s="1"/>
  <c r="R978" i="3" s="1"/>
  <c r="S978" i="3" s="1"/>
  <c r="T978" i="3" l="1"/>
  <c r="U977" i="3"/>
  <c r="Y976" i="3"/>
  <c r="D978" i="3" l="1"/>
  <c r="G978" i="3" s="1"/>
  <c r="E978" i="3"/>
  <c r="H978" i="3" s="1"/>
  <c r="K978" i="3" s="1"/>
  <c r="AE978" i="3" s="1"/>
  <c r="AH978" i="3"/>
  <c r="AG978" i="3"/>
  <c r="F978" i="3" l="1"/>
  <c r="I978" i="3"/>
  <c r="J978" i="3"/>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D988" i="3"/>
  <c r="AA988" i="3"/>
  <c r="P988" i="3"/>
  <c r="Q988" i="3" s="1"/>
  <c r="R988" i="3" s="1"/>
  <c r="S988" i="3" s="1"/>
  <c r="L987" i="3" l="1"/>
  <c r="T988" i="3"/>
  <c r="AH988" i="3" l="1"/>
  <c r="U987" i="3"/>
  <c r="E988" i="3" s="1"/>
  <c r="H988" i="3" s="1"/>
  <c r="AG988" i="3"/>
  <c r="Y986" i="3"/>
  <c r="D988" i="3" l="1"/>
  <c r="G988" i="3" s="1"/>
  <c r="K988" i="3"/>
  <c r="AE988" i="3" s="1"/>
  <c r="F988" i="3" l="1"/>
  <c r="I988" i="3"/>
  <c r="J988" i="3"/>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D998" i="3"/>
  <c r="AC998" i="3"/>
  <c r="AA998" i="3"/>
  <c r="T998" i="3" l="1"/>
  <c r="AG998" i="3" s="1"/>
  <c r="U997" i="3"/>
  <c r="Y996" i="3"/>
  <c r="E998" i="3" l="1"/>
  <c r="H998" i="3" s="1"/>
  <c r="K998" i="3" s="1"/>
  <c r="AE998" i="3" s="1"/>
  <c r="AH998" i="3"/>
  <c r="D998" i="3"/>
  <c r="V998" i="3" l="1"/>
  <c r="A999" i="3"/>
  <c r="B999" i="3" s="1"/>
  <c r="F998" i="3"/>
  <c r="G998" i="3"/>
  <c r="I998" i="3" l="1"/>
  <c r="W998" i="3" s="1"/>
  <c r="J998" i="3"/>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s="1"/>
  <c r="H115" i="7" l="1"/>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<sst xmlns="http://schemas.openxmlformats.org/spreadsheetml/2006/main" count="1732" uniqueCount="573">
  <si>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</si>
  <si>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</si>
  <si>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</si>
  <si>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</si>
  <si>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</si>
  <si>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</si>
  <si>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</si>
  <si>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</si>
  <si>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</si>
  <si>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</si>
  <si>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</si>
  <si>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</si>
  <si>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</si>
  <si>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</si>
  <si>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</si>
  <si>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</si>
  <si>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</si>
  <si>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</si>
  <si>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</si>
  <si>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</si>
  <si>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</si>
  <si>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</si>
  <si>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</si>
  <si>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</si>
  <si>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</si>
  <si>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</si>
  <si>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</si>
  <si>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</si>
  <si>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</si>
  <si>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</si>
  <si>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</si>
  <si>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</si>
  <si>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</si>
  <si>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</si>
  <si>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</si>
  <si>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</si>
  <si>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</si>
  <si>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</si>
  <si>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</si>
  <si>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</si>
  <si>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</si>
  <si>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</si>
  <si>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</si>
  <si>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</si>
  <si>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</si>
  <si>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</si>
  <si>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</si>
  <si>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</si>
  <si>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</si>
  <si>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</si>
  <si>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</si>
  <si>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</si>
  <si>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</si>
  <si>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</si>
  <si>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</si>
  <si>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</si>
  <si>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</si>
  <si>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</si>
  <si>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</si>
  <si>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</si>
  <si>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</si>
  <si>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</si>
  <si>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</si>
  <si>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</si>
  <si>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</si>
  <si>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</si>
  <si>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</si>
  <si>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</si>
  <si>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</si>
  <si>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</si>
  <si>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</si>
  <si>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</si>
  <si>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</si>
  <si>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</si>
  <si>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</si>
  <si>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</si>
  <si>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</si>
  <si>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</si>
  <si>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</si>
  <si>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</si>
  <si>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</si>
  <si>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</si>
  <si>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</si>
  <si>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</si>
  <si>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</si>
  <si>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</si>
  <si>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</si>
  <si>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</si>
  <si>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</si>
  <si>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</si>
  <si>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</si>
  <si>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</si>
  <si>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</si>
  <si>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</si>
  <si>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</si>
  <si>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</si>
  <si>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</si>
  <si>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</si>
  <si>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</si>
  <si>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</si>
  <si>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</si>
  <si>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</si>
  <si>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</si>
  <si>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</si>
  <si>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</si>
  <si>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</si>
  <si>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</si>
  <si>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</si>
  <si>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</si>
  <si>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</si>
  <si>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</si>
  <si>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</si>
  <si>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</si>
  <si>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</si>
  <si>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</si>
  <si>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</si>
  <si>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</si>
  <si>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</si>
  <si>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</si>
  <si>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</si>
  <si>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</si>
  <si>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</si>
  <si>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</si>
  <si>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</si>
  <si>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</si>
  <si>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</si>
  <si>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</si>
  <si>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</si>
  <si>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</si>
  <si>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</si>
  <si>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</si>
  <si>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</si>
  <si>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</si>
  <si>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</si>
  <si>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</si>
  <si>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</si>
  <si>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</si>
  <si>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</si>
  <si>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</si>
  <si>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</si>
  <si>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</si>
  <si>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</si>
  <si>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</si>
  <si>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</si>
  <si>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</si>
  <si>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</si>
  <si>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</si>
  <si>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</si>
  <si>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</si>
  <si>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</si>
  <si>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</si>
  <si>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</si>
  <si>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</si>
  <si>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</si>
  <si>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</si>
  <si>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</si>
  <si>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</si>
  <si>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</si>
  <si>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</si>
  <si>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</si>
  <si>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</si>
  <si>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</si>
  <si>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</si>
  <si>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</si>
  <si>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</si>
  <si>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</si>
  <si>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</si>
  <si>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</si>
  <si>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</si>
  <si>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</si>
  <si>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</si>
  <si>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</si>
  <si>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</si>
  <si>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</si>
  <si>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</si>
  <si>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</si>
  <si>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</si>
  <si>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</si>
  <si>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</si>
  <si>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</si>
  <si>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</si>
  <si>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</si>
  <si>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</si>
  <si>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</si>
  <si>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</si>
  <si>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</si>
  <si>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</si>
  <si>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</si>
  <si>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</si>
  <si>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</si>
  <si>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</si>
  <si>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</si>
  <si>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</si>
  <si>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</si>
  <si>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</si>
  <si>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</si>
  <si>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</si>
  <si>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</si>
  <si>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</si>
  <si>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</si>
  <si>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</si>
  <si>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</si>
  <si>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</si>
  <si>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</si>
  <si>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</si>
  <si>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</si>
  <si>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</si>
  <si>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</si>
  <si>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</si>
  <si>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</si>
  <si>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</si>
  <si>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</si>
  <si>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</si>
  <si>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</si>
  <si>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</si>
  <si>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</si>
  <si>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</si>
  <si>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</si>
  <si>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</si>
  <si>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</si>
  <si>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</si>
  <si>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</si>
  <si>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</si>
  <si>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</si>
  <si>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</si>
  <si>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</si>
  <si>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</si>
  <si>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</si>
  <si>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</si>
  <si>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</si>
  <si>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</si>
  <si>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</si>
  <si>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</si>
  <si>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</si>
  <si>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</si>
  <si>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</si>
  <si>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</si>
  <si>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</si>
  <si>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</si>
  <si>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</si>
  <si>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</si>
  <si>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</si>
  <si>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</si>
  <si>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</si>
  <si>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</si>
  <si>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</si>
  <si>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</si>
  <si>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</si>
  <si>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</si>
  <si>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</si>
  <si>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</si>
  <si>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</si>
  <si>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</si>
  <si>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</si>
  <si>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</si>
  <si>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</si>
  <si>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</si>
  <si>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</si>
  <si>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</si>
  <si>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</si>
  <si>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</si>
  <si>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</si>
  <si>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</si>
  <si>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</si>
  <si>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</si>
  <si>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</si>
  <si>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</si>
  <si>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</si>
  <si>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</si>
  <si>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</si>
  <si>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</si>
  <si>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</si>
  <si>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</si>
  <si>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</si>
  <si>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</si>
  <si>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</si>
  <si>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</si>
  <si>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</si>
  <si>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</si>
  <si>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</si>
  <si>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</si>
  <si>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</si>
  <si>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</si>
  <si>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</si>
  <si>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</si>
  <si>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</si>
  <si>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</si>
  <si>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</si>
  <si>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</si>
  <si>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</si>
  <si>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</si>
  <si>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</si>
  <si>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</si>
  <si>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</si>
  <si>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</si>
  <si>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</si>
  <si>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</si>
  <si>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</si>
  <si>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</si>
  <si>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</si>
  <si>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</si>
  <si>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</si>
  <si>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</si>
  <si>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</si>
  <si>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</si>
  <si>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</si>
  <si>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</si>
  <si>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</si>
  <si>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</si>
  <si>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</si>
  <si>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</si>
  <si>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</si>
  <si>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</si>
  <si>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</si>
  <si>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</si>
  <si>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</si>
  <si>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</si>
  <si>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</si>
  <si>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</si>
  <si>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</si>
  <si>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</si>
  <si>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</si>
  <si>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</si>
  <si>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</si>
  <si>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</si>
  <si>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</si>
  <si>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</si>
  <si>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</si>
  <si>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</si>
  <si>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</si>
  <si>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</si>
  <si>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</si>
  <si>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</si>
  <si>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</si>
  <si>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</si>
  <si>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</si>
  <si>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</si>
  <si>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</si>
  <si>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</si>
  <si>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</si>
  <si>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</si>
  <si>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</si>
  <si>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</si>
  <si>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</si>
  <si>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</si>
  <si>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</si>
  <si>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</si>
  <si>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</si>
  <si>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</si>
  <si>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</si>
  <si>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</si>
  <si>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</si>
  <si>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</si>
  <si>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</si>
  <si>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</si>
  <si>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</si>
  <si>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</si>
  <si>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</si>
  <si>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</si>
  <si>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</si>
  <si>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</si>
  <si>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</si>
  <si>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</si>
  <si>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</si>
  <si>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</si>
  <si>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</si>
  <si>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</si>
  <si>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</si>
  <si>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</si>
  <si>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</si>
  <si>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</si>
  <si>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</si>
  <si>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</si>
  <si>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</si>
  <si>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</si>
  <si>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</si>
  <si>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</si>
  <si>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</si>
  <si>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</si>
  <si>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</si>
  <si>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</si>
  <si>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</si>
  <si>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</si>
  <si>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</si>
  <si>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</si>
  <si>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</si>
  <si>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</si>
  <si>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</si>
  <si>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</si>
  <si>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</si>
  <si>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</si>
  <si>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</si>
  <si>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</si>
  <si>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</si>
  <si>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</si>
  <si>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</si>
  <si>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</si>
  <si>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</si>
  <si>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</si>
  <si>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</si>
  <si>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</si>
  <si>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</si>
  <si>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</si>
  <si>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</si>
  <si>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</si>
  <si>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</si>
  <si>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</si>
  <si>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</si>
  <si>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</si>
  <si>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</si>
  <si>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</si>
  <si>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</si>
  <si>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</si>
  <si>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</si>
  <si>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</si>
  <si>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</si>
  <si>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</si>
  <si>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</si>
  <si>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</si>
  <si>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</si>
  <si>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</si>
  <si>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</si>
  <si>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</si>
  <si>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</si>
  <si>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</si>
  <si>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</si>
  <si>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</si>
  <si>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</si>
  <si>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</si>
  <si>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</si>
  <si>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</si>
  <si>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</si>
  <si>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</si>
  <si>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</si>
  <si>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</si>
  <si>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</si>
  <si>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</si>
  <si>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</si>
  <si>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</si>
  <si>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</si>
  <si>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</si>
  <si>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</si>
  <si>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</si>
  <si>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</si>
  <si>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</si>
  <si>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</si>
  <si>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</si>
  <si>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</si>
  <si>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</si>
  <si>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</si>
  <si>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</si>
  <si>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</si>
  <si>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</si>
  <si>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</si>
  <si>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</si>
  <si>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</si>
  <si>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</si>
  <si>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</si>
  <si>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</si>
  <si>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</si>
  <si>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</si>
  <si>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</si>
  <si>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</si>
  <si>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</si>
  <si>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</si>
  <si>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</si>
  <si>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</si>
  <si>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</si>
  <si>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</si>
  <si>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</si>
  <si>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</si>
  <si>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</si>
  <si>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</si>
  <si>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</si>
  <si>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</si>
  <si>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</si>
  <si>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</si>
  <si>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</si>
  <si>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</si>
  <si>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</si>
  <si>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</si>
  <si>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</si>
  <si>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</si>
  <si>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</si>
  <si>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</si>
  <si>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</si>
  <si>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</si>
  <si>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</si>
  <si>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</si>
  <si>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</si>
  <si>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</si>
  <si>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</si>
  <si>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</si>
  <si>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</si>
  <si>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</si>
  <si>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</si>
  <si>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</si>
  <si>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</si>
  <si>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</si>
  <si>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</si>
  <si>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</si>
  <si>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</si>
  <si>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</si>
  <si>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</si>
  <si>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</si>
  <si>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</si>
  <si>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</si>
  <si>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</si>
  <si>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</si>
  <si>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</si>
  <si>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</si>
  <si>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</si>
  <si>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</si>
  <si>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</si>
  <si>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</si>
  <si>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</si>
  <si>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</si>
  <si>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</si>
  <si>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</si>
  <si>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</si>
  <si>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</si>
  <si>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</si>
  <si>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</si>
  <si>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</si>
  <si>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</si>
  <si>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</si>
  <si>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</si>
  <si>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</si>
  <si>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</si>
  <si>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</si>
  <si>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</si>
  <si>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</si>
  <si>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</si>
  <si>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</si>
  <si>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</si>
  <si>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</si>
  <si>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</si>
  <si>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</si>
  <si>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</si>
  <si>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</si>
  <si>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</si>
  <si>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</si>
  <si>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</si>
  <si>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</si>
  <si>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</si>
  <si>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Fusée mono-diamètre,</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</si>
  <si>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</si>
  <si>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</si>
  <si>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</si>
  <si>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</si>
  <si>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</si>
  <si>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</si>
  <si>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</si>
  <si>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</si>
  <si>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</si>
  <si>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</si>
  <si>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</si>
  <si>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</si>
  <si>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</si>
  <si>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</si>
  <si>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</si>
  <si>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</si>
  <si>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</si>
  <si>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</si>
  <si>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</si>
  <si>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</si>
  <si>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</si>
  <si>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avec propu plein</t>
  </si>
  <si>
    <t>Conique (droite)</t>
  </si>
  <si>
    <t>Calculateur: https://fruitychutes.com/help_for_parachutes/parachute-descent-rate-calculator?term=CFC-30-S&amp;weight=3.3</t>
  </si>
  <si>
    <t>noir</t>
  </si>
  <si>
    <t>rouge</t>
  </si>
  <si>
    <t>S&amp;T Sorbonne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</si>
</sst>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75</c:v>
                </c:pt>
                <c:pt idx="2">
                  <c:v>75</c:v>
                </c:pt>
                <c:pt idx="3">
                  <c:v>75</c:v>
                </c:pt>
                <c:pt idx="4">
                  <c:v>75</c:v>
                </c:pt>
                <c:pt idx="5">
                  <c:v>75</c:v>
                </c:pt>
                <c:pt idx="6">
                  <c:v>75</c:v>
                </c:pt>
                <c:pt idx="7">
                  <c:v>0</c:v>
                </c:pt>
              </c:numCache>
            </c:numRef>
          </c:xVal>
          <c:yVal>
            <c:numRef>
              <c:f>Stabilito!$C$124:$C$131</c:f>
              <c:numCache>
                <c:formatCode>0</c:formatCode>
                <c:ptCount val="8"/>
                <c:pt idx="0">
                  <c:v>-700</c:v>
                </c:pt>
                <c:pt idx="1">
                  <c:v>-700</c:v>
                </c:pt>
                <c:pt idx="2">
                  <c:v>-700</c:v>
                </c:pt>
                <c:pt idx="3">
                  <c:v>-700</c:v>
                </c:pt>
                <c:pt idx="4">
                  <c:v>-700</c:v>
                </c:pt>
                <c:pt idx="5">
                  <c:v>-700</c:v>
                </c:pt>
                <c:pt idx="6">
                  <c:v>-2000</c:v>
                </c:pt>
                <c:pt idx="7">
                  <c:v>-2000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75</c:v>
                </c:pt>
                <c:pt idx="1">
                  <c:v>225</c:v>
                </c:pt>
                <c:pt idx="2">
                  <c:v>225</c:v>
                </c:pt>
                <c:pt idx="3">
                  <c:v>75</c:v>
                </c:pt>
                <c:pt idx="4">
                  <c:v>75</c:v>
                </c:pt>
              </c:numCache>
            </c:numRef>
          </c:xVal>
          <c:yVal>
            <c:numRef>
              <c:f>Stabilito!$C$132:$C$136</c:f>
              <c:numCache>
                <c:formatCode>0</c:formatCode>
                <c:ptCount val="5"/>
                <c:pt idx="0">
                  <c:v>-1799.65</c:v>
                </c:pt>
                <c:pt idx="1">
                  <c:v>-1969.65</c:v>
                </c:pt>
                <c:pt idx="2">
                  <c:v>-1999.65</c:v>
                </c:pt>
                <c:pt idx="3">
                  <c:v>-1969.65</c:v>
                </c:pt>
                <c:pt idx="4">
                  <c:v>-1799.65</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-75</c:v>
                </c:pt>
                <c:pt idx="2">
                  <c:v>-75</c:v>
                </c:pt>
                <c:pt idx="3">
                  <c:v>-75</c:v>
                </c:pt>
                <c:pt idx="4">
                  <c:v>-75</c:v>
                </c:pt>
                <c:pt idx="5">
                  <c:v>-75</c:v>
                </c:pt>
                <c:pt idx="6">
                  <c:v>-75</c:v>
                </c:pt>
                <c:pt idx="7">
                  <c:v>0</c:v>
                </c:pt>
              </c:numCache>
            </c:numRef>
          </c:xVal>
          <c:yVal>
            <c:numRef>
              <c:f>Stabilito!$C$124:$C$131</c:f>
              <c:numCache>
                <c:formatCode>0</c:formatCode>
                <c:ptCount val="8"/>
                <c:pt idx="0">
                  <c:v>-700</c:v>
                </c:pt>
                <c:pt idx="1">
                  <c:v>-700</c:v>
                </c:pt>
                <c:pt idx="2">
                  <c:v>-700</c:v>
                </c:pt>
                <c:pt idx="3">
                  <c:v>-700</c:v>
                </c:pt>
                <c:pt idx="4">
                  <c:v>-700</c:v>
                </c:pt>
                <c:pt idx="5">
                  <c:v>-700</c:v>
                </c:pt>
                <c:pt idx="6">
                  <c:v>-2000</c:v>
                </c:pt>
                <c:pt idx="7">
                  <c:v>-2000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-75</c:v>
                </c:pt>
                <c:pt idx="1">
                  <c:v>-225</c:v>
                </c:pt>
                <c:pt idx="2">
                  <c:v>-225</c:v>
                </c:pt>
                <c:pt idx="3">
                  <c:v>-75</c:v>
                </c:pt>
                <c:pt idx="4">
                  <c:v>-75</c:v>
                </c:pt>
              </c:numCache>
            </c:numRef>
          </c:xVal>
          <c:yVal>
            <c:numRef>
              <c:f>Stabilito!$C$132:$C$136</c:f>
              <c:numCache>
                <c:formatCode>0</c:formatCode>
                <c:ptCount val="5"/>
                <c:pt idx="0">
                  <c:v>-1799.65</c:v>
                </c:pt>
                <c:pt idx="1">
                  <c:v>-1969.65</c:v>
                </c:pt>
                <c:pt idx="2">
                  <c:v>-1999.65</c:v>
                </c:pt>
                <c:pt idx="3">
                  <c:v>-1969.65</c:v>
                </c:pt>
                <c:pt idx="4">
                  <c:v>-1799.65</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-1200</c:v>
                </c:pt>
                <c:pt idx="1">
                  <c:v>-978.18149964961469</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89.681415404887304</c:v>
                </c:pt>
                <c:pt idx="2">
                  <c:v>89.681415404887304</c:v>
                </c:pt>
                <c:pt idx="3">
                  <c:v>0</c:v>
                </c:pt>
              </c:numCache>
            </c:numRef>
          </c:xVal>
          <c:yVal>
            <c:numRef>
              <c:f>Stabilito!$C$151:$C$154</c:f>
              <c:numCache>
                <c:formatCode>0</c:formatCode>
                <c:ptCount val="4"/>
                <c:pt idx="0">
                  <c:v>-1575.6103461425625</c:v>
                </c:pt>
                <c:pt idx="1">
                  <c:v>-1575.6103461425625</c:v>
                </c:pt>
                <c:pt idx="2">
                  <c:v>-1575.6103461425625</c:v>
                </c:pt>
                <c:pt idx="3">
                  <c:v>-1575.6103461425625</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666.66666666666663</c:v>
                </c:pt>
                <c:pt idx="1">
                  <c:v>-666.66666666666663</c:v>
                </c:pt>
              </c:numCache>
            </c:numRef>
          </c:xVal>
          <c:yVal>
            <c:numRef>
              <c:f>Stabilito!$C$168:$C$169</c:f>
              <c:numCache>
                <c:formatCode>0</c:formatCode>
                <c:ptCount val="2"/>
                <c:pt idx="0">
                  <c:v>-2020</c:v>
                </c:pt>
                <c:pt idx="1">
                  <c:v>-2020</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-49</c:v>
                </c:pt>
                <c:pt idx="1">
                  <c:v>49</c:v>
                </c:pt>
                <c:pt idx="2">
                  <c:v>49</c:v>
                </c:pt>
                <c:pt idx="3">
                  <c:v>-49</c:v>
                </c:pt>
                <c:pt idx="4">
                  <c:v>-49</c:v>
                </c:pt>
              </c:numCache>
            </c:numRef>
          </c:xVal>
          <c:yVal>
            <c:numRef>
              <c:f>Stabilito!$C$170:$C$174</c:f>
              <c:numCache>
                <c:formatCode>0</c:formatCode>
                <c:ptCount val="5"/>
                <c:pt idx="0">
                  <c:v>-990</c:v>
                </c:pt>
                <c:pt idx="1">
                  <c:v>-990</c:v>
                </c:pt>
                <c:pt idx="2">
                  <c:v>-2000</c:v>
                </c:pt>
                <c:pt idx="3">
                  <c:v>-2000</c:v>
                </c:pt>
                <c:pt idx="4">
                  <c:v>-990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7.5</c:v>
                </c:pt>
                <c:pt idx="2">
                  <c:v>18.75</c:v>
                </c:pt>
                <c:pt idx="3">
                  <c:v>37.5</c:v>
                </c:pt>
                <c:pt idx="4">
                  <c:v>56.25</c:v>
                </c:pt>
                <c:pt idx="5">
                  <c:v>75</c:v>
                </c:pt>
              </c:numCache>
            </c:numRef>
          </c:xVal>
          <c:yVal>
            <c:numRef>
              <c:f>Stabilito!$C$175:$C$180</c:f>
              <c:numCache>
                <c:formatCode>0</c:formatCode>
                <c:ptCount val="6"/>
                <c:pt idx="0">
                  <c:v>0</c:v>
                </c:pt>
                <c:pt idx="1">
                  <c:v>-70</c:v>
                </c:pt>
                <c:pt idx="2">
                  <c:v>-175</c:v>
                </c:pt>
                <c:pt idx="3">
                  <c:v>-350</c:v>
                </c:pt>
                <c:pt idx="4">
                  <c:v>-525</c:v>
                </c:pt>
                <c:pt idx="5">
                  <c:v>-700</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-7.5</c:v>
                </c:pt>
                <c:pt idx="2">
                  <c:v>-18.75</c:v>
                </c:pt>
                <c:pt idx="3">
                  <c:v>-37.5</c:v>
                </c:pt>
                <c:pt idx="4">
                  <c:v>-56.25</c:v>
                </c:pt>
                <c:pt idx="5">
                  <c:v>-75</c:v>
                </c:pt>
              </c:numCache>
            </c:numRef>
          </c:xVal>
          <c:yVal>
            <c:numRef>
              <c:f>Stabilito!$C$175:$C$180</c:f>
              <c:numCache>
                <c:formatCode>0</c:formatCode>
                <c:ptCount val="6"/>
                <c:pt idx="0">
                  <c:v>0</c:v>
                </c:pt>
                <c:pt idx="1">
                  <c:v>-70</c:v>
                </c:pt>
                <c:pt idx="2">
                  <c:v>-175</c:v>
                </c:pt>
                <c:pt idx="3">
                  <c:v>-350</c:v>
                </c:pt>
                <c:pt idx="4">
                  <c:v>-525</c:v>
                </c:pt>
                <c:pt idx="5">
                  <c:v>-700</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-225</c:v>
                </c:pt>
                <c:pt idx="1">
                  <c:v>-150</c:v>
                </c:pt>
                <c:pt idx="2">
                  <c:v>-75</c:v>
                </c:pt>
              </c:numCache>
            </c:numRef>
          </c:xVal>
          <c:yVal>
            <c:numRef>
              <c:f>Stabilito!$C$137:$C$139</c:f>
              <c:numCache>
                <c:formatCode>0</c:formatCode>
                <c:ptCount val="3"/>
                <c:pt idx="0">
                  <c:v>-2066.3166666666666</c:v>
                </c:pt>
                <c:pt idx="1">
                  <c:v>-2066.3166666666666</c:v>
                </c:pt>
                <c:pt idx="2">
                  <c:v>-2066.3166666666666</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-291.66666666666669</c:v>
                </c:pt>
                <c:pt idx="1">
                  <c:v>-291.66666666666669</c:v>
                </c:pt>
                <c:pt idx="2">
                  <c:v>-291.66666666666669</c:v>
                </c:pt>
              </c:numCache>
            </c:numRef>
          </c:xVal>
          <c:yVal>
            <c:numRef>
              <c:f>Stabilito!$C$143:$C$145</c:f>
              <c:numCache>
                <c:formatCode>0</c:formatCode>
                <c:ptCount val="3"/>
                <c:pt idx="0">
                  <c:v>-1799.65</c:v>
                </c:pt>
                <c:pt idx="1">
                  <c:v>-1884.65</c:v>
                </c:pt>
                <c:pt idx="2">
                  <c:v>-1969.65</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-325</c:v>
                </c:pt>
                <c:pt idx="1">
                  <c:v>-325</c:v>
                </c:pt>
                <c:pt idx="2">
                  <c:v>-325</c:v>
                </c:pt>
              </c:numCache>
            </c:numRef>
          </c:xVal>
          <c:yVal>
            <c:numRef>
              <c:f>Stabilito!$C$146:$C$148</c:f>
              <c:numCache>
                <c:formatCode>0</c:formatCode>
                <c:ptCount val="3"/>
                <c:pt idx="0">
                  <c:v>-1969.65</c:v>
                </c:pt>
                <c:pt idx="1">
                  <c:v>-1984.65</c:v>
                </c:pt>
                <c:pt idx="2">
                  <c:v>-1999.65</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325</c:v>
                </c:pt>
                <c:pt idx="1">
                  <c:v>325</c:v>
                </c:pt>
                <c:pt idx="2">
                  <c:v>325</c:v>
                </c:pt>
              </c:numCache>
            </c:numRef>
          </c:xVal>
          <c:yVal>
            <c:numRef>
              <c:f>Stabilito!$C$140:$C$142</c:f>
              <c:numCache>
                <c:formatCode>0</c:formatCode>
                <c:ptCount val="3"/>
                <c:pt idx="0">
                  <c:v>-1799.65</c:v>
                </c:pt>
                <c:pt idx="1">
                  <c:v>-1884.65</c:v>
                </c:pt>
                <c:pt idx="2">
                  <c:v>-1969.65</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-325</c:v>
                </c:pt>
                <c:pt idx="1">
                  <c:v>-325</c:v>
                </c:pt>
                <c:pt idx="2">
                  <c:v>-325</c:v>
                </c:pt>
              </c:numCache>
            </c:numRef>
          </c:xVal>
          <c:yVal>
            <c:numRef>
              <c:f>Stabilito!$C$155:$C$157</c:f>
              <c:numCache>
                <c:formatCode>0</c:formatCode>
                <c:ptCount val="3"/>
                <c:pt idx="0">
                  <c:v>-1089.0907498248073</c:v>
                </c:pt>
                <c:pt idx="1">
                  <c:v>-1332.3505479836849</c:v>
                </c:pt>
                <c:pt idx="2">
                  <c:v>-1575.6103461425625</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2.5040689742837503</c:v>
                </c:pt>
                <c:pt idx="1">
                  <c:v>2.5040689742837503</c:v>
                </c:pt>
                <c:pt idx="2">
                  <c:v>3.9828589766196525</c:v>
                </c:pt>
                <c:pt idx="3">
                  <c:v>3.9828589766196525</c:v>
                </c:pt>
              </c:numCache>
            </c:numRef>
          </c:xVal>
          <c:yVal>
            <c:numRef>
              <c:f>Stabilito!$C$190:$C$193</c:f>
              <c:numCache>
                <c:formatCode>0.00</c:formatCode>
                <c:ptCount val="4"/>
                <c:pt idx="0">
                  <c:v>8.9681415404887304</c:v>
                </c:pt>
                <c:pt idx="1">
                  <c:v>8.9681415404887304</c:v>
                </c:pt>
                <c:pt idx="2">
                  <c:v>8.9681415404887304</c:v>
                </c:pt>
                <c:pt idx="3">
                  <c:v>8.9681415404887304</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3.9828589766196525</c:v>
                </c:pt>
                <c:pt idx="1">
                  <c:v>2.5040689742837503</c:v>
                </c:pt>
              </c:numCache>
            </c:numRef>
          </c:xVal>
          <c:yVal>
            <c:numRef>
              <c:f>Stabilito!$C$193:$C$194</c:f>
              <c:numCache>
                <c:formatCode>0.00</c:formatCode>
                <c:ptCount val="2"/>
                <c:pt idx="0">
                  <c:v>8.9681415404887304</c:v>
                </c:pt>
                <c:pt idx="1">
                  <c:v>8.9681415404887304</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#N/A</c:v>
                </c:pt>
              </c:numCache>
            </c:numRef>
          </c:xVal>
          <c:yVal>
            <c:numRef>
              <c:f>Trajecto!$C$121</c:f>
              <c:numCache>
                <c:formatCode>0</c:formatCode>
                <c:ptCount val="1"/>
                <c:pt idx="0">
                  <c:v>#N/A</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10.609762541825125</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49.074812573921029</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120.03891872636227</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225.34952540488649</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362.92770451983478</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526.75847398153337</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706.76782792561278</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870.45707521672864</c:v>
                </c:pt>
                <c:pt idx="801">
                  <c:v>#N/A</c:v>
                </c:pt>
                <c:pt idx="802">
                  <c:v>#N/A</c:v>
                </c:pt>
                <c:pt idx="803">
                  <c:v>#N/A</c:v>
                </c:pt>
                <c:pt idx="804">
                  <c:v>#N/A</c:v>
                </c:pt>
                <c:pt idx="805">
                  <c:v>#N/A</c:v>
                </c:pt>
                <c:pt idx="806">
                  <c:v>#N/A</c:v>
                </c:pt>
                <c:pt idx="807">
                  <c:v>#N/A</c:v>
                </c:pt>
                <c:pt idx="808">
                  <c:v>#N/A</c:v>
                </c:pt>
                <c:pt idx="809">
                  <c:v>#N/A</c:v>
                </c:pt>
                <c:pt idx="810">
                  <c:v>1005.3340241457321</c:v>
                </c:pt>
                <c:pt idx="811">
                  <c:v>#N/A</c:v>
                </c:pt>
                <c:pt idx="812">
                  <c:v>#N/A</c:v>
                </c:pt>
                <c:pt idx="813">
                  <c:v>#N/A</c:v>
                </c:pt>
                <c:pt idx="814">
                  <c:v>#N/A</c:v>
                </c:pt>
                <c:pt idx="815">
                  <c:v>#N/A</c:v>
                </c:pt>
                <c:pt idx="816">
                  <c:v>#N/A</c:v>
                </c:pt>
                <c:pt idx="817">
                  <c:v>#N/A</c:v>
                </c:pt>
                <c:pt idx="818">
                  <c:v>#N/A</c:v>
                </c:pt>
                <c:pt idx="819">
                  <c:v>#N/A</c:v>
                </c:pt>
                <c:pt idx="820">
                  <c:v>1120.7559036504517</c:v>
                </c:pt>
                <c:pt idx="821">
                  <c:v>#N/A</c:v>
                </c:pt>
                <c:pt idx="822">
                  <c:v>#N/A</c:v>
                </c:pt>
                <c:pt idx="823">
                  <c:v>#N/A</c:v>
                </c:pt>
                <c:pt idx="824">
                  <c:v>#N/A</c:v>
                </c:pt>
                <c:pt idx="825">
                  <c:v>#N/A</c:v>
                </c:pt>
                <c:pt idx="826">
                  <c:v>#N/A</c:v>
                </c:pt>
                <c:pt idx="827">
                  <c:v>#N/A</c:v>
                </c:pt>
                <c:pt idx="828">
                  <c:v>#N/A</c:v>
                </c:pt>
                <c:pt idx="829">
                  <c:v>#N/A</c:v>
                </c:pt>
                <c:pt idx="830">
                  <c:v>1222.4066845051693</c:v>
                </c:pt>
                <c:pt idx="831">
                  <c:v>#N/A</c:v>
                </c:pt>
                <c:pt idx="832">
                  <c:v>#N/A</c:v>
                </c:pt>
                <c:pt idx="833">
                  <c:v>#N/A</c:v>
                </c:pt>
                <c:pt idx="834">
                  <c:v>#N/A</c:v>
                </c:pt>
                <c:pt idx="835">
                  <c:v>#N/A</c:v>
                </c:pt>
                <c:pt idx="836">
                  <c:v>#N/A</c:v>
                </c:pt>
                <c:pt idx="837">
                  <c:v>#N/A</c:v>
                </c:pt>
                <c:pt idx="838">
                  <c:v>#N/A</c:v>
                </c:pt>
                <c:pt idx="839">
                  <c:v>#N/A</c:v>
                </c:pt>
                <c:pt idx="840">
                  <c:v>1313.8097204408439</c:v>
                </c:pt>
                <c:pt idx="841">
                  <c:v>#N/A</c:v>
                </c:pt>
                <c:pt idx="842">
                  <c:v>#N/A</c:v>
                </c:pt>
                <c:pt idx="843">
                  <c:v>#N/A</c:v>
                </c:pt>
                <c:pt idx="844">
                  <c:v>#N/A</c:v>
                </c:pt>
                <c:pt idx="845">
                  <c:v>#N/A</c:v>
                </c:pt>
                <c:pt idx="846">
                  <c:v>#N/A</c:v>
                </c:pt>
                <c:pt idx="847">
                  <c:v>#N/A</c:v>
                </c:pt>
                <c:pt idx="848">
                  <c:v>#N/A</c:v>
                </c:pt>
                <c:pt idx="849">
                  <c:v>#N/A</c:v>
                </c:pt>
                <c:pt idx="850">
                  <c:v>1397.3108149062584</c:v>
                </c:pt>
                <c:pt idx="851">
                  <c:v>#N/A</c:v>
                </c:pt>
                <c:pt idx="852">
                  <c:v>#N/A</c:v>
                </c:pt>
                <c:pt idx="853">
                  <c:v>#N/A</c:v>
                </c:pt>
                <c:pt idx="854">
                  <c:v>#N/A</c:v>
                </c:pt>
                <c:pt idx="855">
                  <c:v>#N/A</c:v>
                </c:pt>
                <c:pt idx="856">
                  <c:v>#N/A</c:v>
                </c:pt>
                <c:pt idx="857">
                  <c:v>#N/A</c:v>
                </c:pt>
                <c:pt idx="858">
                  <c:v>#N/A</c:v>
                </c:pt>
                <c:pt idx="859">
                  <c:v>#N/A</c:v>
                </c:pt>
                <c:pt idx="860">
                  <c:v>1474.5566215078588</c:v>
                </c:pt>
                <c:pt idx="861">
                  <c:v>#N/A</c:v>
                </c:pt>
                <c:pt idx="862">
                  <c:v>#N/A</c:v>
                </c:pt>
                <c:pt idx="863">
                  <c:v>#N/A</c:v>
                </c:pt>
                <c:pt idx="864">
                  <c:v>#N/A</c:v>
                </c:pt>
                <c:pt idx="865">
                  <c:v>#N/A</c:v>
                </c:pt>
                <c:pt idx="866">
                  <c:v>#N/A</c:v>
                </c:pt>
                <c:pt idx="867">
                  <c:v>#N/A</c:v>
                </c:pt>
                <c:pt idx="868">
                  <c:v>#N/A</c:v>
                </c:pt>
                <c:pt idx="869">
                  <c:v>#N/A</c:v>
                </c:pt>
                <c:pt idx="870">
                  <c:v>1546.7512747661801</c:v>
                </c:pt>
                <c:pt idx="871">
                  <c:v>#N/A</c:v>
                </c:pt>
                <c:pt idx="872">
                  <c:v>#N/A</c:v>
                </c:pt>
                <c:pt idx="873">
                  <c:v>#N/A</c:v>
                </c:pt>
                <c:pt idx="874">
                  <c:v>#N/A</c:v>
                </c:pt>
                <c:pt idx="875">
                  <c:v>#N/A</c:v>
                </c:pt>
                <c:pt idx="876">
                  <c:v>#N/A</c:v>
                </c:pt>
                <c:pt idx="877">
                  <c:v>#N/A</c:v>
                </c:pt>
                <c:pt idx="878">
                  <c:v>#N/A</c:v>
                </c:pt>
                <c:pt idx="879">
                  <c:v>#N/A</c:v>
                </c:pt>
                <c:pt idx="880">
                  <c:v>1614.8044681699605</c:v>
                </c:pt>
                <c:pt idx="881">
                  <c:v>#N/A</c:v>
                </c:pt>
                <c:pt idx="882">
                  <c:v>#N/A</c:v>
                </c:pt>
                <c:pt idx="883">
                  <c:v>#N/A</c:v>
                </c:pt>
                <c:pt idx="884">
                  <c:v>#N/A</c:v>
                </c:pt>
                <c:pt idx="885">
                  <c:v>#N/A</c:v>
                </c:pt>
                <c:pt idx="886">
                  <c:v>#N/A</c:v>
                </c:pt>
                <c:pt idx="887">
                  <c:v>#N/A</c:v>
                </c:pt>
                <c:pt idx="888">
                  <c:v>#N/A</c:v>
                </c:pt>
                <c:pt idx="889">
                  <c:v>#N/A</c:v>
                </c:pt>
                <c:pt idx="890">
                  <c:v>1679.4218368679299</c:v>
                </c:pt>
                <c:pt idx="891">
                  <c:v>#N/A</c:v>
                </c:pt>
                <c:pt idx="892">
                  <c:v>#N/A</c:v>
                </c:pt>
                <c:pt idx="893">
                  <c:v>#N/A</c:v>
                </c:pt>
                <c:pt idx="894">
                  <c:v>#N/A</c:v>
                </c:pt>
                <c:pt idx="895">
                  <c:v>#N/A</c:v>
                </c:pt>
                <c:pt idx="896">
                  <c:v>#N/A</c:v>
                </c:pt>
                <c:pt idx="897">
                  <c:v>#N/A</c:v>
                </c:pt>
                <c:pt idx="898">
                  <c:v>#N/A</c:v>
                </c:pt>
                <c:pt idx="899">
                  <c:v>#N/A</c:v>
                </c:pt>
                <c:pt idx="900">
                  <c:v>1741.1625785810038</c:v>
                </c:pt>
                <c:pt idx="901">
                  <c:v>#N/A</c:v>
                </c:pt>
                <c:pt idx="902">
                  <c:v>#N/A</c:v>
                </c:pt>
                <c:pt idx="903">
                  <c:v>#N/A</c:v>
                </c:pt>
                <c:pt idx="904">
                  <c:v>#N/A</c:v>
                </c:pt>
                <c:pt idx="905">
                  <c:v>#N/A</c:v>
                </c:pt>
                <c:pt idx="906">
                  <c:v>#N/A</c:v>
                </c:pt>
                <c:pt idx="907">
                  <c:v>#N/A</c:v>
                </c:pt>
                <c:pt idx="908">
                  <c:v>#N/A</c:v>
                </c:pt>
                <c:pt idx="909">
                  <c:v>#N/A</c:v>
                </c:pt>
                <c:pt idx="910">
                  <c:v>1800.4773921370925</c:v>
                </c:pt>
                <c:pt idx="911">
                  <c:v>#N/A</c:v>
                </c:pt>
                <c:pt idx="912">
                  <c:v>#N/A</c:v>
                </c:pt>
                <c:pt idx="913">
                  <c:v>#N/A</c:v>
                </c:pt>
                <c:pt idx="914">
                  <c:v>#N/A</c:v>
                </c:pt>
                <c:pt idx="915">
                  <c:v>#N/A</c:v>
                </c:pt>
                <c:pt idx="916">
                  <c:v>#N/A</c:v>
                </c:pt>
                <c:pt idx="917">
                  <c:v>#N/A</c:v>
                </c:pt>
                <c:pt idx="918">
                  <c:v>#N/A</c:v>
                </c:pt>
                <c:pt idx="919">
                  <c:v>#N/A</c:v>
                </c:pt>
                <c:pt idx="920">
                  <c:v>1857.7339564041488</c:v>
                </c:pt>
                <c:pt idx="921">
                  <c:v>#N/A</c:v>
                </c:pt>
                <c:pt idx="922">
                  <c:v>#N/A</c:v>
                </c:pt>
                <c:pt idx="923">
                  <c:v>#N/A</c:v>
                </c:pt>
                <c:pt idx="924">
                  <c:v>#N/A</c:v>
                </c:pt>
                <c:pt idx="925">
                  <c:v>#N/A</c:v>
                </c:pt>
                <c:pt idx="926">
                  <c:v>#N/A</c:v>
                </c:pt>
                <c:pt idx="927">
                  <c:v>#N/A</c:v>
                </c:pt>
                <c:pt idx="928">
                  <c:v>#N/A</c:v>
                </c:pt>
                <c:pt idx="929">
                  <c:v>#N/A</c:v>
                </c:pt>
                <c:pt idx="930">
                  <c:v>1913.2340834678362</c:v>
                </c:pt>
                <c:pt idx="931">
                  <c:v>#N/A</c:v>
                </c:pt>
                <c:pt idx="932">
                  <c:v>#N/A</c:v>
                </c:pt>
                <c:pt idx="933">
                  <c:v>#N/A</c:v>
                </c:pt>
                <c:pt idx="934">
                  <c:v>#N/A</c:v>
                </c:pt>
                <c:pt idx="935">
                  <c:v>#N/A</c:v>
                </c:pt>
                <c:pt idx="936">
                  <c:v>#N/A</c:v>
                </c:pt>
                <c:pt idx="937">
                  <c:v>#N/A</c:v>
                </c:pt>
                <c:pt idx="938">
                  <c:v>#N/A</c:v>
                </c:pt>
                <c:pt idx="939">
                  <c:v>#N/A</c:v>
                </c:pt>
                <c:pt idx="940">
                  <c:v>1967.2249650240287</c:v>
                </c:pt>
                <c:pt idx="941">
                  <c:v>#N/A</c:v>
                </c:pt>
                <c:pt idx="942">
                  <c:v>#N/A</c:v>
                </c:pt>
                <c:pt idx="943">
                  <c:v>#N/A</c:v>
                </c:pt>
                <c:pt idx="944">
                  <c:v>#N/A</c:v>
                </c:pt>
                <c:pt idx="945">
                  <c:v>#N/A</c:v>
                </c:pt>
                <c:pt idx="946">
                  <c:v>#N/A</c:v>
                </c:pt>
                <c:pt idx="947">
                  <c:v>#N/A</c:v>
                </c:pt>
                <c:pt idx="948">
                  <c:v>#N/A</c:v>
                </c:pt>
                <c:pt idx="949">
                  <c:v>#N/A</c:v>
                </c:pt>
                <c:pt idx="950">
                  <c:v>2019.9059762349191</c:v>
                </c:pt>
                <c:pt idx="951">
                  <c:v>#N/A</c:v>
                </c:pt>
                <c:pt idx="952">
                  <c:v>#N/A</c:v>
                </c:pt>
                <c:pt idx="953">
                  <c:v>#N/A</c:v>
                </c:pt>
                <c:pt idx="954">
                  <c:v>#N/A</c:v>
                </c:pt>
                <c:pt idx="955">
                  <c:v>#N/A</c:v>
                </c:pt>
                <c:pt idx="956">
                  <c:v>#N/A</c:v>
                </c:pt>
                <c:pt idx="957">
                  <c:v>#N/A</c:v>
                </c:pt>
                <c:pt idx="958">
                  <c:v>#N/A</c:v>
                </c:pt>
                <c:pt idx="959">
                  <c:v>#N/A</c:v>
                </c:pt>
                <c:pt idx="960">
                  <c:v>2071.4320788695268</c:v>
                </c:pt>
                <c:pt idx="961">
                  <c:v>#N/A</c:v>
                </c:pt>
                <c:pt idx="962">
                  <c:v>#N/A</c:v>
                </c:pt>
                <c:pt idx="963">
                  <c:v>#N/A</c:v>
                </c:pt>
                <c:pt idx="964">
                  <c:v>#N/A</c:v>
                </c:pt>
                <c:pt idx="965">
                  <c:v>#N/A</c:v>
                </c:pt>
                <c:pt idx="966">
                  <c:v>#N/A</c:v>
                </c:pt>
                <c:pt idx="967">
                  <c:v>#N/A</c:v>
                </c:pt>
                <c:pt idx="968">
                  <c:v>#N/A</c:v>
                </c:pt>
                <c:pt idx="969">
                  <c:v>#N/A</c:v>
                </c:pt>
                <c:pt idx="970">
                  <c:v>2121.914947203747</c:v>
                </c:pt>
                <c:pt idx="971">
                  <c:v>#N/A</c:v>
                </c:pt>
                <c:pt idx="972">
                  <c:v>#N/A</c:v>
                </c:pt>
                <c:pt idx="973">
                  <c:v>#N/A</c:v>
                </c:pt>
                <c:pt idx="974">
                  <c:v>#N/A</c:v>
                </c:pt>
                <c:pt idx="975">
                  <c:v>#N/A</c:v>
                </c:pt>
                <c:pt idx="976">
                  <c:v>#N/A</c:v>
                </c:pt>
                <c:pt idx="977">
                  <c:v>#N/A</c:v>
                </c:pt>
                <c:pt idx="978">
                  <c:v>#N/A</c:v>
                </c:pt>
                <c:pt idx="979">
                  <c:v>#N/A</c:v>
                </c:pt>
                <c:pt idx="980">
                  <c:v>2171.4234491824632</c:v>
                </c:pt>
                <c:pt idx="981">
                  <c:v>#N/A</c:v>
                </c:pt>
                <c:pt idx="982">
                  <c:v>#N/A</c:v>
                </c:pt>
                <c:pt idx="983">
                  <c:v>#N/A</c:v>
                </c:pt>
                <c:pt idx="984">
                  <c:v>#N/A</c:v>
                </c:pt>
                <c:pt idx="985">
                  <c:v>#N/A</c:v>
                </c:pt>
                <c:pt idx="986">
                  <c:v>#N/A</c:v>
                </c:pt>
                <c:pt idx="987">
                  <c:v>#N/A</c:v>
                </c:pt>
                <c:pt idx="988">
                  <c:v>#N/A</c:v>
                </c:pt>
                <c:pt idx="989">
                  <c:v>#N/A</c:v>
                </c:pt>
                <c:pt idx="990">
                  <c:v>2219.9855379678647</c:v>
                </c:pt>
                <c:pt idx="991">
                  <c:v>#N/A</c:v>
                </c:pt>
                <c:pt idx="992">
                  <c:v>#N/A</c:v>
                </c:pt>
                <c:pt idx="993">
                  <c:v>#N/A</c:v>
                </c:pt>
                <c:pt idx="994">
                  <c:v>#N/A</c:v>
                </c:pt>
                <c:pt idx="995">
                  <c:v>#N/A</c:v>
                </c:pt>
                <c:pt idx="996">
                  <c:v>#N/A</c:v>
                </c:pt>
                <c:pt idx="997">
                  <c:v>#N/A</c:v>
                </c:pt>
                <c:pt idx="998">
                  <c:v>#N/A</c:v>
                </c:pt>
                <c:pt idx="999">
                  <c:v>#N/A</c:v>
                </c:pt>
                <c:pt idx="1000">
                  <c:v>2267.5930555474893</c:v>
                </c:pt>
              </c:numCache>
            </c:numRef>
          </c:xVal>
          <c:yVal>
            <c:numRef>
              <c:f>Calculs!$K$4:$K$1004</c:f>
              <c:numCache>
                <c:formatCode>0.00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4378.7963790361628</c:v>
                </c:pt>
                <c:pt idx="942">
                  <c:v>4381.900945338798</c:v>
                </c:pt>
                <c:pt idx="943">
                  <c:v>4384.8999771612835</c:v>
                </c:pt>
                <c:pt idx="944">
                  <c:v>4387.7938037868644</c:v>
                </c:pt>
                <c:pt idx="945">
                  <c:v>4390.5827465213097</c:v>
                </c:pt>
                <c:pt idx="946">
                  <c:v>4393.267118915478</c:v>
                </c:pt>
                <c:pt idx="947">
                  <c:v>4395.8472269875965</c:v>
                </c:pt>
                <c:pt idx="948">
                  <c:v>4398.3233694454912</c:v>
                </c:pt>
                <c:pt idx="949">
                  <c:v>4400.695837908982</c:v>
                </c:pt>
                <c:pt idx="950">
                  <c:v>4402.9649171326419</c:v>
                </c:pt>
                <c:pt idx="951">
                  <c:v>4405.1308852291195</c:v>
                </c:pt>
                <c:pt idx="952">
                  <c:v>4407.1940138931905</c:v>
                </c:pt>
                <c:pt idx="953">
                  <c:v>4409.1545686266982</c:v>
                </c:pt>
                <c:pt idx="954">
                  <c:v>4411.012808964525</c:v>
                </c:pt>
                <c:pt idx="955">
                  <c:v>4412.7689887017086</c:v>
                </c:pt>
                <c:pt idx="956">
                  <c:v>4414.4233561218034</c:v>
                </c:pt>
                <c:pt idx="957">
                  <c:v>4415.9761542265605</c:v>
                </c:pt>
                <c:pt idx="958">
                  <c:v>4417.4276209669806</c:v>
                </c:pt>
                <c:pt idx="959">
                  <c:v>4418.7779894757587</c:v>
                </c:pt>
                <c:pt idx="960">
                  <c:v>4420.0274883011261</c:v>
                </c:pt>
                <c:pt idx="961">
                  <c:v>4421.1763416420581</c:v>
                </c:pt>
                <c:pt idx="962">
                  <c:v>4422.22476958479</c:v>
                </c:pt>
                <c:pt idx="963">
                  <c:v>4423.1729883405569</c:v>
                </c:pt>
                <c:pt idx="964">
                  <c:v>4424.0212104844441</c:v>
                </c:pt>
                <c:pt idx="965">
                  <c:v>4424.7696451952006</c:v>
                </c:pt>
                <c:pt idx="966">
                  <c:v>4425.4184984958483</c:v>
                </c:pt>
                <c:pt idx="967">
                  <c:v>4425.9679734948777</c:v>
                </c:pt>
                <c:pt idx="968">
                  <c:v>4426.4182706278125</c:v>
                </c:pt>
                <c:pt idx="969">
                  <c:v>4426.7695878988798</c:v>
                </c:pt>
                <c:pt idx="970">
                  <c:v>4427.0221211225125</c:v>
                </c:pt>
                <c:pt idx="971">
                  <c:v>4427.1760641643823</c:v>
                </c:pt>
                <c:pt idx="972">
                  <c:v>4427.2316091816419</c:v>
                </c:pt>
                <c:pt idx="973">
                  <c:v>4427.1889468620366</c:v>
                </c:pt>
                <c:pt idx="974">
                  <c:v>4427.0482666615399</c:v>
                </c:pt>
                <c:pt idx="975">
                  <c:v>4426.8097570401396</c:v>
                </c:pt>
                <c:pt idx="976">
                  <c:v>4426.4736056954134</c:v>
                </c:pt>
                <c:pt idx="977">
                  <c:v>4426.039999793511</c:v>
                </c:pt>
                <c:pt idx="978">
                  <c:v>4425.5091261971666</c:v>
                </c:pt>
                <c:pt idx="979">
                  <c:v>4424.881171690372</c:v>
                </c:pt>
                <c:pt idx="980">
                  <c:v>4424.1563231993368</c:v>
                </c:pt>
                <c:pt idx="981">
                  <c:v>4423.334768009383</c:v>
                </c:pt>
                <c:pt idx="982">
                  <c:v>4422.4166939774168</c:v>
                </c:pt>
                <c:pt idx="983">
                  <c:v>4421.4022897396617</c:v>
                </c:pt>
                <c:pt idx="984">
                  <c:v>4420.2917449143279</c:v>
                </c:pt>
                <c:pt idx="985">
                  <c:v>4419.085250298931</c:v>
                </c:pt>
                <c:pt idx="986">
                  <c:v>4417.7829980619881</c:v>
                </c:pt>
                <c:pt idx="987">
                  <c:v>4416.3851819288539</c:v>
                </c:pt>
                <c:pt idx="988">
                  <c:v>4414.891997361462</c:v>
                </c:pt>
                <c:pt idx="989">
                  <c:v>4413.3036417317971</c:v>
                </c:pt>
                <c:pt idx="990">
                  <c:v>4411.6203144889132</c:v>
                </c:pt>
                <c:pt idx="991">
                  <c:v>4409.8422173193758</c:v>
                </c:pt>
                <c:pt idx="992">
                  <c:v>4407.9695543010057</c:v>
                </c:pt>
                <c:pt idx="993">
                  <c:v>4406.0025320498489</c:v>
                </c:pt>
                <c:pt idx="994">
                  <c:v>4403.9413598603051</c:v>
                </c:pt>
                <c:pt idx="995">
                  <c:v>4401.7862498383874</c:v>
                </c:pt>
                <c:pt idx="996">
                  <c:v>4399.5374170281102</c:v>
                </c:pt>
                <c:pt idx="997">
                  <c:v>4397.1950795310067</c:v>
                </c:pt>
                <c:pt idx="998">
                  <c:v>4394.7594586188234</c:v>
                </c:pt>
                <c:pt idx="999">
                  <c:v>4392.2307788394382</c:v>
                </c:pt>
                <c:pt idx="1000">
                  <c:v>4389.6092681160853</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2.1286965640371534E-4</c:v>
                </c:pt>
                <c:pt idx="3">
                  <c:v>1.0752869482800148E-3</c:v>
                </c:pt>
                <c:pt idx="4">
                  <c:v>3.0350654723228713E-3</c:v>
                </c:pt>
                <c:pt idx="5">
                  <c:v>6.4541364070142843E-3</c:v>
                </c:pt>
                <c:pt idx="6">
                  <c:v>1.1522147617290123E-2</c:v>
                </c:pt>
                <c:pt idx="7">
                  <c:v>1.8342610026685718E-2</c:v>
                </c:pt>
                <c:pt idx="8">
                  <c:v>2.7019171657832148E-2</c:v>
                </c:pt>
                <c:pt idx="9">
                  <c:v>3.7632122054170887E-2</c:v>
                </c:pt>
                <c:pt idx="10">
                  <c:v>5.0214846408702343E-2</c:v>
                </c:pt>
                <c:pt idx="11">
                  <c:v>6.4777256166770963E-2</c:v>
                </c:pt>
                <c:pt idx="12">
                  <c:v>8.132926678256977E-2</c:v>
                </c:pt>
                <c:pt idx="13">
                  <c:v>9.9880797628077084E-2</c:v>
                </c:pt>
                <c:pt idx="14">
                  <c:v>0.1204417719010293</c:v>
                </c:pt>
                <c:pt idx="15">
                  <c:v>0.14302211653192831</c:v>
                </c:pt>
                <c:pt idx="16">
                  <c:v>0.1676317620900824</c:v>
                </c:pt>
                <c:pt idx="17">
                  <c:v>0.19428064268867923</c:v>
                </c:pt>
                <c:pt idx="18">
                  <c:v>0.22297869588888994</c:v>
                </c:pt>
                <c:pt idx="19">
                  <c:v>0.25373586260300307</c:v>
                </c:pt>
                <c:pt idx="20">
                  <c:v>0.28656208699658731</c:v>
                </c:pt>
                <c:pt idx="21">
                  <c:v>0.32146566948239463</c:v>
                </c:pt>
                <c:pt idx="22">
                  <c:v>0.35845079239139011</c:v>
                </c:pt>
                <c:pt idx="23">
                  <c:v>0.39751916048181207</c:v>
                </c:pt>
                <c:pt idx="24">
                  <c:v>0.43867246879931882</c:v>
                </c:pt>
                <c:pt idx="25">
                  <c:v>0.4819124026351711</c:v>
                </c:pt>
                <c:pt idx="26">
                  <c:v>0.5272406374845745</c:v>
                </c:pt>
                <c:pt idx="27">
                  <c:v>0.57465883900518289</c:v>
                </c:pt>
                <c:pt idx="28">
                  <c:v>0.62416866297576645</c:v>
                </c:pt>
                <c:pt idx="29">
                  <c:v>0.67577175525504551</c:v>
                </c:pt>
                <c:pt idx="30">
                  <c:v>0.72946975174069251</c:v>
                </c:pt>
                <c:pt idx="31">
                  <c:v>0.78526427832850532</c:v>
                </c:pt>
                <c:pt idx="32">
                  <c:v>0.84315695087175302</c:v>
                </c:pt>
                <c:pt idx="33">
                  <c:v>0.90314937514069649</c:v>
                </c:pt>
                <c:pt idx="34">
                  <c:v>0.96524314678228706</c:v>
                </c:pt>
                <c:pt idx="35">
                  <c:v>1.0294398512800442</c:v>
                </c:pt>
                <c:pt idx="36">
                  <c:v>1.0957410639141156</c:v>
                </c:pt>
                <c:pt idx="37">
                  <c:v>1.1642710419184992</c:v>
                </c:pt>
                <c:pt idx="38">
                  <c:v>1.2351581134853029</c:v>
                </c:pt>
                <c:pt idx="39">
                  <c:v>1.3084119547852284</c:v>
                </c:pt>
                <c:pt idx="40">
                  <c:v>1.3840421026231302</c:v>
                </c:pt>
                <c:pt idx="41">
                  <c:v>1.462057891991557</c:v>
                </c:pt>
                <c:pt idx="42">
                  <c:v>1.5424684658561456</c:v>
                </c:pt>
                <c:pt idx="43">
                  <c:v>1.6252827841866793</c:v>
                </c:pt>
                <c:pt idx="44">
                  <c:v>1.7105096323094051</c:v>
                </c:pt>
                <c:pt idx="45">
                  <c:v>1.7981576286469281</c:v>
                </c:pt>
                <c:pt idx="46">
                  <c:v>1.8882356088726509</c:v>
                </c:pt>
                <c:pt idx="47">
                  <c:v>1.9807527297404641</c:v>
                </c:pt>
                <c:pt idx="48">
                  <c:v>2.0757181014809589</c:v>
                </c:pt>
                <c:pt idx="49">
                  <c:v>2.1731406994978113</c:v>
                </c:pt>
                <c:pt idx="50">
                  <c:v>2.2730293695936625</c:v>
                </c:pt>
                <c:pt idx="51">
                  <c:v>2.3753928328622029</c:v>
                </c:pt>
                <c:pt idx="52">
                  <c:v>2.4802396902740318</c:v>
                </c:pt>
                <c:pt idx="53">
                  <c:v>2.5875784269810702</c:v>
                </c:pt>
                <c:pt idx="54">
                  <c:v>2.6974174163618412</c:v>
                </c:pt>
                <c:pt idx="55">
                  <c:v>2.8097649238277591</c:v>
                </c:pt>
                <c:pt idx="56">
                  <c:v>2.924629110408643</c:v>
                </c:pt>
                <c:pt idx="57">
                  <c:v>3.0420180361339675</c:v>
                </c:pt>
                <c:pt idx="58">
                  <c:v>3.1619396632248375</c:v>
                </c:pt>
                <c:pt idx="59">
                  <c:v>3.2844018591103334</c:v>
                </c:pt>
                <c:pt idx="60">
                  <c:v>3.4094123992806504</c:v>
                </c:pt>
                <c:pt idx="61">
                  <c:v>3.5369789699883842</c:v>
                </c:pt>
                <c:pt idx="62">
                  <c:v>3.6671091708083385</c:v>
                </c:pt>
                <c:pt idx="63">
                  <c:v>3.7998105170653598</c:v>
                </c:pt>
                <c:pt idx="64">
                  <c:v>3.9350904421389203</c:v>
                </c:pt>
                <c:pt idx="65">
                  <c:v>4.0729562996524562</c:v>
                </c:pt>
                <c:pt idx="66">
                  <c:v>4.2134153655548356</c:v>
                </c:pt>
                <c:pt idx="67">
                  <c:v>4.3564748401007414</c:v>
                </c:pt>
                <c:pt idx="68">
                  <c:v>4.5021418497362378</c:v>
                </c:pt>
                <c:pt idx="69">
                  <c:v>4.650429621026289</c:v>
                </c:pt>
                <c:pt idx="70">
                  <c:v>4.8013601636080381</c:v>
                </c:pt>
                <c:pt idx="71">
                  <c:v>4.954958141609298</c:v>
                </c:pt>
                <c:pt idx="72">
                  <c:v>5.1112482350418906</c:v>
                </c:pt>
                <c:pt idx="73">
                  <c:v>5.2702551396419839</c:v>
                </c:pt>
                <c:pt idx="74">
                  <c:v>5.4320035667093007</c:v>
                </c:pt>
                <c:pt idx="75">
                  <c:v>5.5965182429450628</c:v>
                </c:pt>
                <c:pt idx="76">
                  <c:v>5.7638239102885542</c:v>
                </c:pt>
                <c:pt idx="77">
                  <c:v>5.9339337782406547</c:v>
                </c:pt>
                <c:pt idx="78">
                  <c:v>6.106844512428637</c:v>
                </c:pt>
                <c:pt idx="79">
                  <c:v>6.2825477094822197</c:v>
                </c:pt>
                <c:pt idx="80">
                  <c:v>6.4610348371420434</c:v>
                </c:pt>
                <c:pt idx="81">
                  <c:v>6.6422972369863622</c:v>
                </c:pt>
                <c:pt idx="82">
                  <c:v>6.8263261270482394</c:v>
                </c:pt>
                <c:pt idx="83">
                  <c:v>7.0131126043299465</c:v>
                </c:pt>
                <c:pt idx="84">
                  <c:v>7.2026476472207586</c:v>
                </c:pt>
                <c:pt idx="85">
                  <c:v>7.3949221178238824</c:v>
                </c:pt>
                <c:pt idx="86">
                  <c:v>7.5899283535672906</c:v>
                </c:pt>
                <c:pt idx="87">
                  <c:v>7.7876665455950747</c:v>
                </c:pt>
                <c:pt idx="88">
                  <c:v>7.988143182677538</c:v>
                </c:pt>
                <c:pt idx="89">
                  <c:v>8.1913647075470202</c:v>
                </c:pt>
                <c:pt idx="90">
                  <c:v>8.3973375175802971</c:v>
                </c:pt>
                <c:pt idx="91">
                  <c:v>8.6060679654556385</c:v>
                </c:pt>
                <c:pt idx="92">
                  <c:v>8.817562359785649</c:v>
                </c:pt>
                <c:pt idx="93">
                  <c:v>9.0318269657269781</c:v>
                </c:pt>
                <c:pt idx="94">
                  <c:v>9.2488680055679104</c:v>
                </c:pt>
                <c:pt idx="95">
                  <c:v>9.4686916592947963</c:v>
                </c:pt>
                <c:pt idx="96">
                  <c:v>9.6913040651382314</c:v>
                </c:pt>
                <c:pt idx="97">
                  <c:v>9.9167113200998571</c:v>
                </c:pt>
                <c:pt idx="98">
                  <c:v>10.144919480460596</c:v>
                </c:pt>
                <c:pt idx="99">
                  <c:v>10.375934562271096</c:v>
                </c:pt>
                <c:pt idx="100">
                  <c:v>10.609762541825125</c:v>
                </c:pt>
                <c:pt idx="101">
                  <c:v>10.84640935611661</c:v>
                </c:pt>
                <c:pt idx="102">
                  <c:v>11.085880903281002</c:v>
                </c:pt>
                <c:pt idx="103">
                  <c:v>11.328183043021577</c:v>
                </c:pt>
                <c:pt idx="104">
                  <c:v>11.573321597021298</c:v>
                </c:pt>
                <c:pt idx="105">
                  <c:v>11.821302349340794</c:v>
                </c:pt>
                <c:pt idx="106">
                  <c:v>12.07213104680301</c:v>
                </c:pt>
                <c:pt idx="107">
                  <c:v>12.32581339936505</c:v>
                </c:pt>
                <c:pt idx="108">
                  <c:v>12.582355080477701</c:v>
                </c:pt>
                <c:pt idx="109">
                  <c:v>12.841761727433127</c:v>
                </c:pt>
                <c:pt idx="110">
                  <c:v>13.104038941701162</c:v>
                </c:pt>
                <c:pt idx="111">
                  <c:v>13.36919228925465</c:v>
                </c:pt>
                <c:pt idx="112">
                  <c:v>13.637227300884238</c:v>
                </c:pt>
                <c:pt idx="113">
                  <c:v>13.908149472503014</c:v>
                </c:pt>
                <c:pt idx="114">
                  <c:v>14.181964265441374</c:v>
                </c:pt>
                <c:pt idx="115">
                  <c:v>14.458677106732464</c:v>
                </c:pt>
                <c:pt idx="116">
                  <c:v>14.73829338938855</c:v>
                </c:pt>
                <c:pt idx="117">
                  <c:v>15.020818472668644</c:v>
                </c:pt>
                <c:pt idx="118">
                  <c:v>15.3062576823377</c:v>
                </c:pt>
                <c:pt idx="119">
                  <c:v>15.594616310917683</c:v>
                </c:pt>
                <c:pt idx="120">
                  <c:v>15.885899617930805</c:v>
                </c:pt>
                <c:pt idx="121">
                  <c:v>16.18011283013519</c:v>
                </c:pt>
                <c:pt idx="122">
                  <c:v>16.477261141753253</c:v>
                </c:pt>
                <c:pt idx="123">
                  <c:v>16.777349714693035</c:v>
                </c:pt>
                <c:pt idx="124">
                  <c:v>17.080383678762747</c:v>
                </c:pt>
                <c:pt idx="125">
                  <c:v>17.386368131878751</c:v>
                </c:pt>
                <c:pt idx="126">
                  <c:v>17.695308140267215</c:v>
                </c:pt>
                <c:pt idx="127">
                  <c:v>18.007208738659646</c:v>
                </c:pt>
                <c:pt idx="128">
                  <c:v>18.322074930482511</c:v>
                </c:pt>
                <c:pt idx="129">
                  <c:v>18.63991168804116</c:v>
                </c:pt>
                <c:pt idx="130">
                  <c:v>18.960723952698231</c:v>
                </c:pt>
                <c:pt idx="131">
                  <c:v>19.284516635046725</c:v>
                </c:pt>
                <c:pt idx="132">
                  <c:v>19.611294615077934</c:v>
                </c:pt>
                <c:pt idx="133">
                  <c:v>19.941062742344386</c:v>
                </c:pt>
                <c:pt idx="134">
                  <c:v>20.273825836117982</c:v>
                </c:pt>
                <c:pt idx="135">
                  <c:v>20.609588685543482</c:v>
                </c:pt>
                <c:pt idx="136">
                  <c:v>20.948356049787478</c:v>
                </c:pt>
                <c:pt idx="137">
                  <c:v>21.29013265818303</c:v>
                </c:pt>
                <c:pt idx="138">
                  <c:v>21.634923210370093</c:v>
                </c:pt>
                <c:pt idx="139">
                  <c:v>21.982732376431859</c:v>
                </c:pt>
                <c:pt idx="140">
                  <c:v>22.333564797027179</c:v>
                </c:pt>
                <c:pt idx="141">
                  <c:v>22.687425083519162</c:v>
                </c:pt>
                <c:pt idx="142">
                  <c:v>23.044317818100094</c:v>
                </c:pt>
                <c:pt idx="143">
                  <c:v>23.404247553912789</c:v>
                </c:pt>
                <c:pt idx="144">
                  <c:v>23.767218815168494</c:v>
                </c:pt>
                <c:pt idx="145">
                  <c:v>24.133236097261445</c:v>
                </c:pt>
                <c:pt idx="146">
                  <c:v>24.502303866880201</c:v>
                </c:pt>
                <c:pt idx="147">
                  <c:v>24.87442656211584</c:v>
                </c:pt>
                <c:pt idx="148">
                  <c:v>25.249608592567142</c:v>
                </c:pt>
                <c:pt idx="149">
                  <c:v>25.62785433944283</c:v>
                </c:pt>
                <c:pt idx="150">
                  <c:v>26.009168155660991</c:v>
                </c:pt>
                <c:pt idx="151">
                  <c:v>26.393554365945729</c:v>
                </c:pt>
                <c:pt idx="152">
                  <c:v>26.781017266921186</c:v>
                </c:pt>
                <c:pt idx="153">
                  <c:v>27.171561127202992</c:v>
                </c:pt>
                <c:pt idx="154">
                  <c:v>27.565190187487204</c:v>
                </c:pt>
                <c:pt idx="155">
                  <c:v>27.961908660636862</c:v>
                </c:pt>
                <c:pt idx="156">
                  <c:v>28.361720731766216</c:v>
                </c:pt>
                <c:pt idx="157">
                  <c:v>28.764630558322672</c:v>
                </c:pt>
                <c:pt idx="158">
                  <c:v>29.170642270166596</c:v>
                </c:pt>
                <c:pt idx="159">
                  <c:v>29.579759969648968</c:v>
                </c:pt>
                <c:pt idx="160">
                  <c:v>29.991987731687029</c:v>
                </c:pt>
                <c:pt idx="161">
                  <c:v>30.407329603837926</c:v>
                </c:pt>
                <c:pt idx="162">
                  <c:v>30.825789606370456</c:v>
                </c:pt>
                <c:pt idx="163">
                  <c:v>31.247371732334972</c:v>
                </c:pt>
                <c:pt idx="164">
                  <c:v>31.672079947631481</c:v>
                </c:pt>
                <c:pt idx="165">
                  <c:v>32.099918191076029</c:v>
                </c:pt>
                <c:pt idx="166">
                  <c:v>32.530890374465407</c:v>
                </c:pt>
                <c:pt idx="167">
                  <c:v>32.965000382640248</c:v>
                </c:pt>
                <c:pt idx="168">
                  <c:v>33.402252073546556</c:v>
                </c:pt>
                <c:pt idx="169">
                  <c:v>33.842649278295724</c:v>
                </c:pt>
                <c:pt idx="170">
                  <c:v>34.286195801223101</c:v>
                </c:pt>
                <c:pt idx="171">
                  <c:v>34.732895419945145</c:v>
                </c:pt>
                <c:pt idx="172">
                  <c:v>35.182751885415229</c:v>
                </c:pt>
                <c:pt idx="173">
                  <c:v>35.635768921978098</c:v>
                </c:pt>
                <c:pt idx="174">
                  <c:v>36.091950227423105</c:v>
                </c:pt>
                <c:pt idx="175">
                  <c:v>36.551299473036188</c:v>
                </c:pt>
                <c:pt idx="176">
                  <c:v>37.013820303650675</c:v>
                </c:pt>
                <c:pt idx="177">
                  <c:v>37.47951633769695</c:v>
                </c:pt>
                <c:pt idx="178">
                  <c:v>37.948391167251046</c:v>
                </c:pt>
                <c:pt idx="179">
                  <c:v>38.420448358082133</c:v>
                </c:pt>
                <c:pt idx="180">
                  <c:v>38.895691449699015</c:v>
                </c:pt>
                <c:pt idx="181">
                  <c:v>39.374123955395653</c:v>
                </c:pt>
                <c:pt idx="182">
                  <c:v>39.855749362295718</c:v>
                </c:pt>
                <c:pt idx="183">
                  <c:v>40.340571131396246</c:v>
                </c:pt>
                <c:pt idx="184">
                  <c:v>40.828592697610418</c:v>
                </c:pt>
                <c:pt idx="185">
                  <c:v>41.319817469809507</c:v>
                </c:pt>
                <c:pt idx="186">
                  <c:v>41.814248830864003</c:v>
                </c:pt>
                <c:pt idx="187">
                  <c:v>42.311890137683967</c:v>
                </c:pt>
                <c:pt idx="188">
                  <c:v>42.812744721258639</c:v>
                </c:pt>
                <c:pt idx="189">
                  <c:v>43.316815886695331</c:v>
                </c:pt>
                <c:pt idx="190">
                  <c:v>43.824106913257637</c:v>
                </c:pt>
                <c:pt idx="191">
                  <c:v>44.334621054403009</c:v>
                </c:pt>
                <c:pt idx="192">
                  <c:v>44.848361537819656</c:v>
                </c:pt>
                <c:pt idx="193">
                  <c:v>45.365331565462881</c:v>
                </c:pt>
                <c:pt idx="194">
                  <c:v>45.885534313590853</c:v>
                </c:pt>
                <c:pt idx="195">
                  <c:v>46.408972932799784</c:v>
                </c:pt>
                <c:pt idx="196">
                  <c:v>46.935650548058653</c:v>
                </c:pt>
                <c:pt idx="197">
                  <c:v>47.465570258743384</c:v>
                </c:pt>
                <c:pt idx="198">
                  <c:v>47.998735138670547</c:v>
                </c:pt>
                <c:pt idx="199">
                  <c:v>48.535148236130659</c:v>
                </c:pt>
                <c:pt idx="200">
                  <c:v>49.074812573921029</c:v>
                </c:pt>
                <c:pt idx="201">
                  <c:v>49.617731149378194</c:v>
                </c:pt>
                <c:pt idx="202">
                  <c:v>50.163906934409987</c:v>
                </c:pt>
                <c:pt idx="203">
                  <c:v>50.713342875527253</c:v>
                </c:pt>
                <c:pt idx="204">
                  <c:v>51.266041893875226</c:v>
                </c:pt>
                <c:pt idx="205">
                  <c:v>51.822006885264578</c:v>
                </c:pt>
                <c:pt idx="206">
                  <c:v>52.381240720202172</c:v>
                </c:pt>
                <c:pt idx="207">
                  <c:v>52.943746243921559</c:v>
                </c:pt>
                <c:pt idx="208">
                  <c:v>53.50952627641319</c:v>
                </c:pt>
                <c:pt idx="209">
                  <c:v>54.078583612454423</c:v>
                </c:pt>
                <c:pt idx="210">
                  <c:v>54.650921021639263</c:v>
                </c:pt>
                <c:pt idx="211">
                  <c:v>55.226541248407955</c:v>
                </c:pt>
                <c:pt idx="212">
                  <c:v>55.805447012076343</c:v>
                </c:pt>
                <c:pt idx="213">
                  <c:v>56.387641006865081</c:v>
                </c:pt>
                <c:pt idx="214">
                  <c:v>56.973125901928711</c:v>
                </c:pt>
                <c:pt idx="215">
                  <c:v>57.561904341384569</c:v>
                </c:pt>
                <c:pt idx="216">
                  <c:v>58.153978944341596</c:v>
                </c:pt>
                <c:pt idx="217">
                  <c:v>58.749352304929047</c:v>
                </c:pt>
                <c:pt idx="218">
                  <c:v>59.34802699232511</c:v>
                </c:pt>
                <c:pt idx="219">
                  <c:v>59.95000555078542</c:v>
                </c:pt>
                <c:pt idx="220">
                  <c:v>60.555290499671564</c:v>
                </c:pt>
                <c:pt idx="221">
                  <c:v>61.163884333479515</c:v>
                </c:pt>
                <c:pt idx="222">
                  <c:v>61.775789521868035</c:v>
                </c:pt>
                <c:pt idx="223">
                  <c:v>62.391008509687062</c:v>
                </c:pt>
                <c:pt idx="224">
                  <c:v>63.009543717006096</c:v>
                </c:pt>
                <c:pt idx="225">
                  <c:v>63.63139753914259</c:v>
                </c:pt>
                <c:pt idx="226">
                  <c:v>64.256572346690376</c:v>
                </c:pt>
                <c:pt idx="227">
                  <c:v>64.885070485548098</c:v>
                </c:pt>
                <c:pt idx="228">
                  <c:v>65.51689427694771</c:v>
                </c:pt>
                <c:pt idx="229">
                  <c:v>66.152046017483045</c:v>
                </c:pt>
                <c:pt idx="230">
                  <c:v>66.790527979138417</c:v>
                </c:pt>
                <c:pt idx="231">
                  <c:v>67.432342409317329</c:v>
                </c:pt>
                <c:pt idx="232">
                  <c:v>68.077491530871271</c:v>
                </c:pt>
                <c:pt idx="233">
                  <c:v>68.725977542128632</c:v>
                </c:pt>
                <c:pt idx="234">
                  <c:v>69.37780261692366</c:v>
                </c:pt>
                <c:pt idx="235">
                  <c:v>70.032968904625662</c:v>
                </c:pt>
                <c:pt idx="236">
                  <c:v>70.691478530168197</c:v>
                </c:pt>
                <c:pt idx="237">
                  <c:v>71.353333594078563</c:v>
                </c:pt>
                <c:pt idx="238">
                  <c:v>72.018536172507297</c:v>
                </c:pt>
                <c:pt idx="239">
                  <c:v>72.687088317257917</c:v>
                </c:pt>
                <c:pt idx="240">
                  <c:v>73.358992055816827</c:v>
                </c:pt>
                <c:pt idx="241">
                  <c:v>74.034249391383398</c:v>
                </c:pt>
                <c:pt idx="242">
                  <c:v>74.71286230290022</c:v>
                </c:pt>
                <c:pt idx="243">
                  <c:v>75.394832745083548</c:v>
                </c:pt>
                <c:pt idx="244">
                  <c:v>76.080170213554823</c:v>
                </c:pt>
                <c:pt idx="245">
                  <c:v>76.768891754716208</c:v>
                </c:pt>
                <c:pt idx="246">
                  <c:v>77.461014410392096</c:v>
                </c:pt>
                <c:pt idx="247">
                  <c:v>78.156555217592967</c:v>
                </c:pt>
                <c:pt idx="248">
                  <c:v>78.855531208278393</c:v>
                </c:pt>
                <c:pt idx="249">
                  <c:v>79.557959409119135</c:v>
                </c:pt>
                <c:pt idx="250">
                  <c:v>80.263856841258473</c:v>
                </c:pt>
                <c:pt idx="251">
                  <c:v>80.973240520072665</c:v>
                </c:pt>
                <c:pt idx="252">
                  <c:v>81.686127454930542</c:v>
                </c:pt>
                <c:pt idx="253">
                  <c:v>82.402530440595655</c:v>
                </c:pt>
                <c:pt idx="254">
                  <c:v>83.1224538382003</c:v>
                </c:pt>
                <c:pt idx="255">
                  <c:v>83.845897772632611</c:v>
                </c:pt>
                <c:pt idx="256">
                  <c:v>84.57286234051314</c:v>
                </c:pt>
                <c:pt idx="257">
                  <c:v>85.303347610277086</c:v>
                </c:pt>
                <c:pt idx="258">
                  <c:v>86.037353622256731</c:v>
                </c:pt>
                <c:pt idx="259">
                  <c:v>86.77488038876416</c:v>
                </c:pt>
                <c:pt idx="260">
                  <c:v>87.515927894174226</c:v>
                </c:pt>
                <c:pt idx="261">
                  <c:v>88.260496095007781</c:v>
                </c:pt>
                <c:pt idx="262">
                  <c:v>89.008584920015167</c:v>
                </c:pt>
                <c:pt idx="263">
                  <c:v>89.760194270259973</c:v>
                </c:pt>
                <c:pt idx="264">
                  <c:v>90.515324019203121</c:v>
                </c:pt>
                <c:pt idx="265">
                  <c:v>91.273974012787221</c:v>
                </c:pt>
                <c:pt idx="266">
                  <c:v>92.036144069521185</c:v>
                </c:pt>
                <c:pt idx="267">
                  <c:v>92.801833980565192</c:v>
                </c:pt>
                <c:pt idx="268">
                  <c:v>93.571043509815951</c:v>
                </c:pt>
                <c:pt idx="269">
                  <c:v>94.343772393992282</c:v>
                </c:pt>
                <c:pt idx="270">
                  <c:v>95.120020342720949</c:v>
                </c:pt>
                <c:pt idx="271">
                  <c:v>95.899787038622918</c:v>
                </c:pt>
                <c:pt idx="272">
                  <c:v>96.68307213739989</c:v>
                </c:pt>
                <c:pt idx="273">
                  <c:v>97.46987526792114</c:v>
                </c:pt>
                <c:pt idx="274">
                  <c:v>98.260196032310745</c:v>
                </c:pt>
                <c:pt idx="275">
                  <c:v>99.054034006035124</c:v>
                </c:pt>
                <c:pt idx="276">
                  <c:v>99.851388737990888</c:v>
                </c:pt>
                <c:pt idx="277">
                  <c:v>100.65225954266246</c:v>
                </c:pt>
                <c:pt idx="278">
                  <c:v>101.45664518773938</c:v>
                </c:pt>
                <c:pt idx="279">
                  <c:v>102.26454410161674</c:v>
                </c:pt>
                <c:pt idx="280">
                  <c:v>103.07595468545098</c:v>
                </c:pt>
                <c:pt idx="281">
                  <c:v>103.89087531327883</c:v>
                </c:pt>
                <c:pt idx="282">
                  <c:v>104.70930433213628</c:v>
                </c:pt>
                <c:pt idx="283">
                  <c:v>105.53124006217813</c:v>
                </c:pt>
                <c:pt idx="284">
                  <c:v>106.35668079679756</c:v>
                </c:pt>
                <c:pt idx="285">
                  <c:v>107.18562480274622</c:v>
                </c:pt>
                <c:pt idx="286">
                  <c:v>108.01807032025449</c:v>
                </c:pt>
                <c:pt idx="287">
                  <c:v>108.85401556315209</c:v>
                </c:pt>
                <c:pt idx="288">
                  <c:v>109.69345871898894</c:v>
                </c:pt>
                <c:pt idx="289">
                  <c:v>110.53639794915637</c:v>
                </c:pt>
                <c:pt idx="290">
                  <c:v>111.38283138900866</c:v>
                </c:pt>
                <c:pt idx="291">
                  <c:v>112.23275714798476</c:v>
                </c:pt>
                <c:pt idx="292">
                  <c:v>113.08617330973044</c:v>
                </c:pt>
                <c:pt idx="293">
                  <c:v>113.9430779322207</c:v>
                </c:pt>
                <c:pt idx="294">
                  <c:v>114.80346904788243</c:v>
                </c:pt>
                <c:pt idx="295">
                  <c:v>115.66734466371746</c:v>
                </c:pt>
                <c:pt idx="296">
                  <c:v>116.53470276142582</c:v>
                </c:pt>
                <c:pt idx="297">
                  <c:v>117.4055412975294</c:v>
                </c:pt>
                <c:pt idx="298">
                  <c:v>118.27985820349585</c:v>
                </c:pt>
                <c:pt idx="299">
                  <c:v>119.15765138586278</c:v>
                </c:pt>
                <c:pt idx="300">
                  <c:v>120.03891872636227</c:v>
                </c:pt>
                <c:pt idx="301">
                  <c:v>120.9236580820457</c:v>
                </c:pt>
                <c:pt idx="302">
                  <c:v>121.81186728540887</c:v>
                </c:pt>
                <c:pt idx="303">
                  <c:v>122.70354414451734</c:v>
                </c:pt>
                <c:pt idx="304">
                  <c:v>123.59868644313221</c:v>
                </c:pt>
                <c:pt idx="305">
                  <c:v>124.49729194083609</c:v>
                </c:pt>
                <c:pt idx="306">
                  <c:v>125.39935837315939</c:v>
                </c:pt>
                <c:pt idx="307">
                  <c:v>126.30488345170684</c:v>
                </c:pt>
                <c:pt idx="308">
                  <c:v>127.21386486428447</c:v>
                </c:pt>
                <c:pt idx="309">
                  <c:v>128.12630027502667</c:v>
                </c:pt>
                <c:pt idx="310">
                  <c:v>129.04218732452367</c:v>
                </c:pt>
                <c:pt idx="311">
                  <c:v>129.96152362994926</c:v>
                </c:pt>
                <c:pt idx="312">
                  <c:v>130.88430678518878</c:v>
                </c:pt>
                <c:pt idx="313">
                  <c:v>131.81053436096744</c:v>
                </c:pt>
                <c:pt idx="314">
                  <c:v>132.74020390497881</c:v>
                </c:pt>
                <c:pt idx="315">
                  <c:v>133.67331294201369</c:v>
                </c:pt>
                <c:pt idx="316">
                  <c:v>134.60985897408924</c:v>
                </c:pt>
                <c:pt idx="317">
                  <c:v>135.5498394805783</c:v>
                </c:pt>
                <c:pt idx="318">
                  <c:v>136.49325191833904</c:v>
                </c:pt>
                <c:pt idx="319">
                  <c:v>137.44009372184487</c:v>
                </c:pt>
                <c:pt idx="320">
                  <c:v>138.39036230331459</c:v>
                </c:pt>
                <c:pt idx="321">
                  <c:v>139.34405505284275</c:v>
                </c:pt>
                <c:pt idx="322">
                  <c:v>140.30116933853043</c:v>
                </c:pt>
                <c:pt idx="323">
                  <c:v>141.26170250661607</c:v>
                </c:pt>
                <c:pt idx="324">
                  <c:v>142.22565188160664</c:v>
                </c:pt>
                <c:pt idx="325">
                  <c:v>143.19301476640905</c:v>
                </c:pt>
                <c:pt idx="326">
                  <c:v>144.16378844246179</c:v>
                </c:pt>
                <c:pt idx="327">
                  <c:v>145.13797016986686</c:v>
                </c:pt>
                <c:pt idx="328">
                  <c:v>146.11555718752183</c:v>
                </c:pt>
                <c:pt idx="329">
                  <c:v>147.09654671325217</c:v>
                </c:pt>
                <c:pt idx="330">
                  <c:v>148.08093594394387</c:v>
                </c:pt>
                <c:pt idx="331">
                  <c:v>149.06872205567618</c:v>
                </c:pt>
                <c:pt idx="332">
                  <c:v>150.05990220385465</c:v>
                </c:pt>
                <c:pt idx="333">
                  <c:v>151.05447352334434</c:v>
                </c:pt>
                <c:pt idx="334">
                  <c:v>152.05243312860324</c:v>
                </c:pt>
                <c:pt idx="335">
                  <c:v>153.05377811381589</c:v>
                </c:pt>
                <c:pt idx="336">
                  <c:v>154.05850555302726</c:v>
                </c:pt>
                <c:pt idx="337">
                  <c:v>155.06661250027673</c:v>
                </c:pt>
                <c:pt idx="338">
                  <c:v>156.07809598973239</c:v>
                </c:pt>
                <c:pt idx="339">
                  <c:v>157.09295303582533</c:v>
                </c:pt>
                <c:pt idx="340">
                  <c:v>158.11118063338441</c:v>
                </c:pt>
                <c:pt idx="341">
                  <c:v>159.13277575777084</c:v>
                </c:pt>
                <c:pt idx="342">
                  <c:v>160.15773536501334</c:v>
                </c:pt>
                <c:pt idx="343">
                  <c:v>161.18605639194305</c:v>
                </c:pt>
                <c:pt idx="344">
                  <c:v>162.21773593833291</c:v>
                </c:pt>
                <c:pt idx="345">
                  <c:v>163.25277290698949</c:v>
                </c:pt>
                <c:pt idx="346">
                  <c:v>164.29116782244193</c:v>
                </c:pt>
                <c:pt idx="347">
                  <c:v>165.33292119163514</c:v>
                </c:pt>
                <c:pt idx="348">
                  <c:v>166.37803350397974</c:v>
                </c:pt>
                <c:pt idx="349">
                  <c:v>167.42650523140244</c:v>
                </c:pt>
                <c:pt idx="350">
                  <c:v>168.47833682839681</c:v>
                </c:pt>
                <c:pt idx="351">
                  <c:v>169.53352873207436</c:v>
                </c:pt>
                <c:pt idx="352">
                  <c:v>170.59208136221633</c:v>
                </c:pt>
                <c:pt idx="353">
                  <c:v>171.65399512132552</c:v>
                </c:pt>
                <c:pt idx="354">
                  <c:v>172.7192703946788</c:v>
                </c:pt>
                <c:pt idx="355">
                  <c:v>173.78790755037988</c:v>
                </c:pt>
                <c:pt idx="356">
                  <c:v>174.85990693941261</c:v>
                </c:pt>
                <c:pt idx="357">
                  <c:v>175.93526889569452</c:v>
                </c:pt>
                <c:pt idx="358">
                  <c:v>177.01399373613097</c:v>
                </c:pt>
                <c:pt idx="359">
                  <c:v>178.09608176066945</c:v>
                </c:pt>
                <c:pt idx="360">
                  <c:v>179.18153325235457</c:v>
                </c:pt>
                <c:pt idx="361">
                  <c:v>180.27034847738321</c:v>
                </c:pt>
                <c:pt idx="362">
                  <c:v>181.36252768516019</c:v>
                </c:pt>
                <c:pt idx="363">
                  <c:v>182.45807110835429</c:v>
                </c:pt>
                <c:pt idx="364">
                  <c:v>183.55697896295464</c:v>
                </c:pt>
                <c:pt idx="365">
                  <c:v>184.65925144832767</c:v>
                </c:pt>
                <c:pt idx="366">
                  <c:v>185.76488874727414</c:v>
                </c:pt>
                <c:pt idx="367">
                  <c:v>186.87389102608688</c:v>
                </c:pt>
                <c:pt idx="368">
                  <c:v>187.98625843460871</c:v>
                </c:pt>
                <c:pt idx="369">
                  <c:v>189.10199110629088</c:v>
                </c:pt>
                <c:pt idx="370">
                  <c:v>190.22108915825169</c:v>
                </c:pt>
                <c:pt idx="371">
                  <c:v>191.34355269133579</c:v>
                </c:pt>
                <c:pt idx="372">
                  <c:v>192.46938179017357</c:v>
                </c:pt>
                <c:pt idx="373">
                  <c:v>193.59857531268571</c:v>
                </c:pt>
                <c:pt idx="374">
                  <c:v>194.73113089003752</c:v>
                </c:pt>
                <c:pt idx="375">
                  <c:v>195.86704613717623</c:v>
                </c:pt>
                <c:pt idx="376">
                  <c:v>197.00631865294613</c:v>
                </c:pt>
                <c:pt idx="377">
                  <c:v>198.14894602020391</c:v>
                </c:pt>
                <c:pt idx="378">
                  <c:v>199.29492580593416</c:v>
                </c:pt>
                <c:pt idx="379">
                  <c:v>200.444255561365</c:v>
                </c:pt>
                <c:pt idx="380">
                  <c:v>201.59693282208403</c:v>
                </c:pt>
                <c:pt idx="381">
                  <c:v>202.75295510815423</c:v>
                </c:pt>
                <c:pt idx="382">
                  <c:v>203.91231992423013</c:v>
                </c:pt>
                <c:pt idx="383">
                  <c:v>205.07502475967422</c:v>
                </c:pt>
                <c:pt idx="384">
                  <c:v>206.24106708867333</c:v>
                </c:pt>
                <c:pt idx="385">
                  <c:v>207.41044437035529</c:v>
                </c:pt>
                <c:pt idx="386">
                  <c:v>208.58315404890564</c:v>
                </c:pt>
                <c:pt idx="387">
                  <c:v>209.75919355368453</c:v>
                </c:pt>
                <c:pt idx="388">
                  <c:v>210.93856029934378</c:v>
                </c:pt>
                <c:pt idx="389">
                  <c:v>212.12125168594397</c:v>
                </c:pt>
                <c:pt idx="390">
                  <c:v>213.30726509907177</c:v>
                </c:pt>
                <c:pt idx="391">
                  <c:v>214.49659790995727</c:v>
                </c:pt>
                <c:pt idx="392">
                  <c:v>215.68924747559149</c:v>
                </c:pt>
                <c:pt idx="393">
                  <c:v>216.88521113884397</c:v>
                </c:pt>
                <c:pt idx="394">
                  <c:v>218.08448622858054</c:v>
                </c:pt>
                <c:pt idx="395">
                  <c:v>219.28707005978109</c:v>
                </c:pt>
                <c:pt idx="396">
                  <c:v>220.49295993365743</c:v>
                </c:pt>
                <c:pt idx="397">
                  <c:v>221.7021531377714</c:v>
                </c:pt>
                <c:pt idx="398">
                  <c:v>222.91464694615283</c:v>
                </c:pt>
                <c:pt idx="399">
                  <c:v>224.1304386194177</c:v>
                </c:pt>
                <c:pt idx="400">
                  <c:v>225.34952540488649</c:v>
                </c:pt>
                <c:pt idx="401">
                  <c:v>226.57190453670236</c:v>
                </c:pt>
                <c:pt idx="402">
                  <c:v>227.79757323594959</c:v>
                </c:pt>
                <c:pt idx="403">
                  <c:v>229.02652871077194</c:v>
                </c:pt>
                <c:pt idx="404">
                  <c:v>230.25876815649127</c:v>
                </c:pt>
                <c:pt idx="405">
                  <c:v>231.49428875572593</c:v>
                </c:pt>
                <c:pt idx="406">
                  <c:v>232.73308767850943</c:v>
                </c:pt>
                <c:pt idx="407">
                  <c:v>233.97516208240907</c:v>
                </c:pt>
                <c:pt idx="408">
                  <c:v>235.22050911264461</c:v>
                </c:pt>
                <c:pt idx="409">
                  <c:v>236.4691245086307</c:v>
                </c:pt>
                <c:pt idx="410">
                  <c:v>237.72100225562485</c:v>
                </c:pt>
                <c:pt idx="411">
                  <c:v>238.97613597887371</c:v>
                </c:pt>
                <c:pt idx="412">
                  <c:v>240.2345192926955</c:v>
                </c:pt>
                <c:pt idx="413">
                  <c:v>241.49614580068109</c:v>
                </c:pt>
                <c:pt idx="414">
                  <c:v>242.76100909589476</c:v>
                </c:pt>
                <c:pt idx="415">
                  <c:v>244.0291027610744</c:v>
                </c:pt>
                <c:pt idx="416">
                  <c:v>245.30042036883111</c:v>
                </c:pt>
                <c:pt idx="417">
                  <c:v>246.57495548184841</c:v>
                </c:pt>
                <c:pt idx="418">
                  <c:v>247.85270165308086</c:v>
                </c:pt>
                <c:pt idx="419">
                  <c:v>249.13365242595208</c:v>
                </c:pt>
                <c:pt idx="420">
                  <c:v>250.41780133455239</c:v>
                </c:pt>
                <c:pt idx="421">
                  <c:v>251.70514190383571</c:v>
                </c:pt>
                <c:pt idx="422">
                  <c:v>252.99566764981597</c:v>
                </c:pt>
                <c:pt idx="423">
                  <c:v>254.28937207976304</c:v>
                </c:pt>
                <c:pt idx="424">
                  <c:v>255.58624869239796</c:v>
                </c:pt>
                <c:pt idx="425">
                  <c:v>256.88629097808763</c:v>
                </c:pt>
                <c:pt idx="426">
                  <c:v>258.18949241903903</c:v>
                </c:pt>
                <c:pt idx="427">
                  <c:v>259.49584648949252</c:v>
                </c:pt>
                <c:pt idx="428">
                  <c:v>260.805346655915</c:v>
                </c:pt>
                <c:pt idx="429">
                  <c:v>262.11798637719198</c:v>
                </c:pt>
                <c:pt idx="430">
                  <c:v>263.43375910481944</c:v>
                </c:pt>
                <c:pt idx="431">
                  <c:v>264.75265828309483</c:v>
                </c:pt>
                <c:pt idx="432">
                  <c:v>266.07467734930742</c:v>
                </c:pt>
                <c:pt idx="433">
                  <c:v>267.39980973392824</c:v>
                </c:pt>
                <c:pt idx="434">
                  <c:v>268.72804886079916</c:v>
                </c:pt>
                <c:pt idx="435">
                  <c:v>270.05938814732133</c:v>
                </c:pt>
                <c:pt idx="436">
                  <c:v>271.39382100464303</c:v>
                </c:pt>
                <c:pt idx="437">
                  <c:v>272.73134083784703</c:v>
                </c:pt>
                <c:pt idx="438">
                  <c:v>274.07194104613683</c:v>
                </c:pt>
                <c:pt idx="439">
                  <c:v>275.41561502302272</c:v>
                </c:pt>
                <c:pt idx="440">
                  <c:v>276.76235615650683</c:v>
                </c:pt>
                <c:pt idx="441">
                  <c:v>278.11215782926752</c:v>
                </c:pt>
                <c:pt idx="442">
                  <c:v>279.46501341884334</c:v>
                </c:pt>
                <c:pt idx="443">
                  <c:v>280.82091629781593</c:v>
                </c:pt>
                <c:pt idx="444">
                  <c:v>282.17985983399251</c:v>
                </c:pt>
                <c:pt idx="445">
                  <c:v>283.54183739058743</c:v>
                </c:pt>
                <c:pt idx="446">
                  <c:v>284.90684232640319</c:v>
                </c:pt>
                <c:pt idx="447">
                  <c:v>286.27486799601058</c:v>
                </c:pt>
                <c:pt idx="448">
                  <c:v>287.64590774992826</c:v>
                </c:pt>
                <c:pt idx="449">
                  <c:v>289.01995493480143</c:v>
                </c:pt>
                <c:pt idx="450">
                  <c:v>290.3970028935799</c:v>
                </c:pt>
                <c:pt idx="451">
                  <c:v>291.77704496569538</c:v>
                </c:pt>
                <c:pt idx="452">
                  <c:v>293.16007448723786</c:v>
                </c:pt>
                <c:pt idx="453">
                  <c:v>294.54608479113159</c:v>
                </c:pt>
                <c:pt idx="454">
                  <c:v>295.93506920730994</c:v>
                </c:pt>
                <c:pt idx="455">
                  <c:v>297.32702106288968</c:v>
                </c:pt>
                <c:pt idx="456">
                  <c:v>298.72193368234451</c:v>
                </c:pt>
                <c:pt idx="457">
                  <c:v>300.11980038767763</c:v>
                </c:pt>
                <c:pt idx="458">
                  <c:v>301.52061449859377</c:v>
                </c:pt>
                <c:pt idx="459">
                  <c:v>302.92436933267032</c:v>
                </c:pt>
                <c:pt idx="460">
                  <c:v>304.33105820552771</c:v>
                </c:pt>
                <c:pt idx="461">
                  <c:v>305.74067443099881</c:v>
                </c:pt>
                <c:pt idx="462">
                  <c:v>307.15321132129787</c:v>
                </c:pt>
                <c:pt idx="463">
                  <c:v>308.56866218718835</c:v>
                </c:pt>
                <c:pt idx="464">
                  <c:v>309.98702033815022</c:v>
                </c:pt>
                <c:pt idx="465">
                  <c:v>311.40827908254619</c:v>
                </c:pt>
                <c:pt idx="466">
                  <c:v>312.8324317277872</c:v>
                </c:pt>
                <c:pt idx="467">
                  <c:v>314.25947158049729</c:v>
                </c:pt>
                <c:pt idx="468">
                  <c:v>315.68939194667735</c:v>
                </c:pt>
                <c:pt idx="469">
                  <c:v>317.12218613186826</c:v>
                </c:pt>
                <c:pt idx="470">
                  <c:v>318.55784744131307</c:v>
                </c:pt>
                <c:pt idx="471">
                  <c:v>319.99636918011845</c:v>
                </c:pt>
                <c:pt idx="472">
                  <c:v>321.43774465341522</c:v>
                </c:pt>
                <c:pt idx="473">
                  <c:v>322.88196716651817</c:v>
                </c:pt>
                <c:pt idx="474">
                  <c:v>324.32903002508476</c:v>
                </c:pt>
                <c:pt idx="475">
                  <c:v>325.77892653527334</c:v>
                </c:pt>
                <c:pt idx="476">
                  <c:v>327.2316500039002</c:v>
                </c:pt>
                <c:pt idx="477">
                  <c:v>328.68719373859602</c:v>
                </c:pt>
                <c:pt idx="478">
                  <c:v>330.14555104796125</c:v>
                </c:pt>
                <c:pt idx="479">
                  <c:v>331.60671524172074</c:v>
                </c:pt>
                <c:pt idx="480">
                  <c:v>333.07067963087758</c:v>
                </c:pt>
                <c:pt idx="481">
                  <c:v>334.53743752786585</c:v>
                </c:pt>
                <c:pt idx="482">
                  <c:v>336.00698224670276</c:v>
                </c:pt>
                <c:pt idx="483">
                  <c:v>337.47930710313972</c:v>
                </c:pt>
                <c:pt idx="484">
                  <c:v>338.95440541481258</c:v>
                </c:pt>
                <c:pt idx="485">
                  <c:v>340.4322705013912</c:v>
                </c:pt>
                <c:pt idx="486">
                  <c:v>341.9128956847278</c:v>
                </c:pt>
                <c:pt idx="487">
                  <c:v>343.39627428900468</c:v>
                </c:pt>
                <c:pt idx="488">
                  <c:v>344.88239964088092</c:v>
                </c:pt>
                <c:pt idx="489">
                  <c:v>346.3712650696383</c:v>
                </c:pt>
                <c:pt idx="490">
                  <c:v>347.86286390732619</c:v>
                </c:pt>
                <c:pt idx="491">
                  <c:v>349.35718948890582</c:v>
                </c:pt>
                <c:pt idx="492">
                  <c:v>350.85423515239324</c:v>
                </c:pt>
                <c:pt idx="493">
                  <c:v>352.35399423900191</c:v>
                </c:pt>
                <c:pt idx="494">
                  <c:v>353.85646009328383</c:v>
                </c:pt>
                <c:pt idx="495">
                  <c:v>355.36162606327019</c:v>
                </c:pt>
                <c:pt idx="496">
                  <c:v>356.86948550061101</c:v>
                </c:pt>
                <c:pt idx="497">
                  <c:v>358.38003129305855</c:v>
                </c:pt>
                <c:pt idx="498">
                  <c:v>359.89325539691146</c:v>
                </c:pt>
                <c:pt idx="499">
                  <c:v>361.40914930585126</c:v>
                </c:pt>
                <c:pt idx="500">
                  <c:v>362.92770451983478</c:v>
                </c:pt>
                <c:pt idx="501">
                  <c:v>364.44891254526425</c:v>
                </c:pt>
                <c:pt idx="502">
                  <c:v>365.97276489515627</c:v>
                </c:pt>
                <c:pt idx="503">
                  <c:v>367.49925308930932</c:v>
                </c:pt>
                <c:pt idx="504">
                  <c:v>369.02836865446989</c:v>
                </c:pt>
                <c:pt idx="505">
                  <c:v>370.56010312449746</c:v>
                </c:pt>
                <c:pt idx="506">
                  <c:v>372.09444804052799</c:v>
                </c:pt>
                <c:pt idx="507">
                  <c:v>373.63139495113626</c:v>
                </c:pt>
                <c:pt idx="508">
                  <c:v>375.17093541249665</c:v>
                </c:pt>
                <c:pt idx="509">
                  <c:v>376.71306098854279</c:v>
                </c:pt>
                <c:pt idx="510">
                  <c:v>378.25776325112582</c:v>
                </c:pt>
                <c:pt idx="511">
                  <c:v>379.80503378017124</c:v>
                </c:pt>
                <c:pt idx="512">
                  <c:v>381.35486416383452</c:v>
                </c:pt>
                <c:pt idx="513">
                  <c:v>382.90724599865541</c:v>
                </c:pt>
                <c:pt idx="514">
                  <c:v>384.46217088971076</c:v>
                </c:pt>
                <c:pt idx="515">
                  <c:v>386.01963045076621</c:v>
                </c:pt>
                <c:pt idx="516">
                  <c:v>387.57961630442651</c:v>
                </c:pt>
                <c:pt idx="517">
                  <c:v>389.14212008228429</c:v>
                </c:pt>
                <c:pt idx="518">
                  <c:v>390.70713342506787</c:v>
                </c:pt>
                <c:pt idx="519">
                  <c:v>392.27464798278743</c:v>
                </c:pt>
                <c:pt idx="520">
                  <c:v>393.84465541488009</c:v>
                </c:pt>
                <c:pt idx="521">
                  <c:v>395.41714739035342</c:v>
                </c:pt>
                <c:pt idx="522">
                  <c:v>396.99211558792786</c:v>
                </c:pt>
                <c:pt idx="523">
                  <c:v>398.56955169617765</c:v>
                </c:pt>
                <c:pt idx="524">
                  <c:v>400.1494474136706</c:v>
                </c:pt>
                <c:pt idx="525">
                  <c:v>401.73179444910636</c:v>
                </c:pt>
                <c:pt idx="526">
                  <c:v>403.31658452145359</c:v>
                </c:pt>
                <c:pt idx="527">
                  <c:v>404.90380936008552</c:v>
                </c:pt>
                <c:pt idx="528">
                  <c:v>406.49346070491447</c:v>
                </c:pt>
                <c:pt idx="529">
                  <c:v>408.08553030652496</c:v>
                </c:pt>
                <c:pt idx="530">
                  <c:v>409.68000992630544</c:v>
                </c:pt>
                <c:pt idx="531">
                  <c:v>411.27689133657879</c:v>
                </c:pt>
                <c:pt idx="532">
                  <c:v>412.8761663207315</c:v>
                </c:pt>
                <c:pt idx="533">
                  <c:v>414.47782667334161</c:v>
                </c:pt>
                <c:pt idx="534">
                  <c:v>416.08186420030512</c:v>
                </c:pt>
                <c:pt idx="535">
                  <c:v>417.68827071896135</c:v>
                </c:pt>
                <c:pt idx="536">
                  <c:v>419.29703805821691</c:v>
                </c:pt>
                <c:pt idx="537">
                  <c:v>420.90815805866839</c:v>
                </c:pt>
                <c:pt idx="538">
                  <c:v>422.52162257272369</c:v>
                </c:pt>
                <c:pt idx="539">
                  <c:v>424.13742346472208</c:v>
                </c:pt>
                <c:pt idx="540">
                  <c:v>425.75555261105308</c:v>
                </c:pt>
                <c:pt idx="541">
                  <c:v>427.37600190027393</c:v>
                </c:pt>
                <c:pt idx="542">
                  <c:v>428.99876323322582</c:v>
                </c:pt>
                <c:pt idx="543">
                  <c:v>430.6238285231488</c:v>
                </c:pt>
                <c:pt idx="544">
                  <c:v>432.25118969579557</c:v>
                </c:pt>
                <c:pt idx="545">
                  <c:v>433.88083868954379</c:v>
                </c:pt>
                <c:pt idx="546">
                  <c:v>435.51276745550717</c:v>
                </c:pt>
                <c:pt idx="547">
                  <c:v>437.14696795764542</c:v>
                </c:pt>
                <c:pt idx="548">
                  <c:v>438.78343217287284</c:v>
                </c:pt>
                <c:pt idx="549">
                  <c:v>440.42215209116557</c:v>
                </c:pt>
                <c:pt idx="550">
                  <c:v>442.06311939141835</c:v>
                </c:pt>
                <c:pt idx="551">
                  <c:v>443.70632468458797</c:v>
                </c:pt>
                <c:pt idx="552">
                  <c:v>445.35175783978781</c:v>
                </c:pt>
                <c:pt idx="553">
                  <c:v>446.9994087431092</c:v>
                </c:pt>
                <c:pt idx="554">
                  <c:v>448.64926729775482</c:v>
                </c:pt>
                <c:pt idx="555">
                  <c:v>450.30132342417005</c:v>
                </c:pt>
                <c:pt idx="556">
                  <c:v>451.95556706017265</c:v>
                </c:pt>
                <c:pt idx="557">
                  <c:v>453.61198816108072</c:v>
                </c:pt>
                <c:pt idx="558">
                  <c:v>455.27057669983884</c:v>
                </c:pt>
                <c:pt idx="559">
                  <c:v>456.93132266714235</c:v>
                </c:pt>
                <c:pt idx="560">
                  <c:v>458.59421607156003</c:v>
                </c:pt>
                <c:pt idx="561">
                  <c:v>460.25924693965493</c:v>
                </c:pt>
                <c:pt idx="562">
                  <c:v>461.92640531610351</c:v>
                </c:pt>
                <c:pt idx="563">
                  <c:v>463.59568126381293</c:v>
                </c:pt>
                <c:pt idx="564">
                  <c:v>465.2670648640368</c:v>
                </c:pt>
                <c:pt idx="565">
                  <c:v>466.94054621648883</c:v>
                </c:pt>
                <c:pt idx="566">
                  <c:v>468.61611543945526</c:v>
                </c:pt>
                <c:pt idx="567">
                  <c:v>470.29376266990516</c:v>
                </c:pt>
                <c:pt idx="568">
                  <c:v>471.97347806359932</c:v>
                </c:pt>
                <c:pt idx="569">
                  <c:v>473.65525179519716</c:v>
                </c:pt>
                <c:pt idx="570">
                  <c:v>475.3390740583622</c:v>
                </c:pt>
                <c:pt idx="571">
                  <c:v>477.02493506586569</c:v>
                </c:pt>
                <c:pt idx="572">
                  <c:v>478.7128250496886</c:v>
                </c:pt>
                <c:pt idx="573">
                  <c:v>480.40273426112191</c:v>
                </c:pt>
                <c:pt idx="574">
                  <c:v>482.09465297086535</c:v>
                </c:pt>
                <c:pt idx="575">
                  <c:v>483.78857146912446</c:v>
                </c:pt>
                <c:pt idx="576">
                  <c:v>485.48448006570572</c:v>
                </c:pt>
                <c:pt idx="577">
                  <c:v>487.18236909011046</c:v>
                </c:pt>
                <c:pt idx="578">
                  <c:v>488.88222889162694</c:v>
                </c:pt>
                <c:pt idx="579">
                  <c:v>490.58404983942074</c:v>
                </c:pt>
                <c:pt idx="580">
                  <c:v>492.28782232262364</c:v>
                </c:pt>
                <c:pt idx="581">
                  <c:v>493.99353675042084</c:v>
                </c:pt>
                <c:pt idx="582">
                  <c:v>495.70118355213668</c:v>
                </c:pt>
                <c:pt idx="583">
                  <c:v>497.4107531773185</c:v>
                </c:pt>
                <c:pt idx="584">
                  <c:v>499.12223609581923</c:v>
                </c:pt>
                <c:pt idx="585">
                  <c:v>500.83562279787833</c:v>
                </c:pt>
                <c:pt idx="586">
                  <c:v>502.55090379420102</c:v>
                </c:pt>
                <c:pt idx="587">
                  <c:v>504.26806961603597</c:v>
                </c:pt>
                <c:pt idx="588">
                  <c:v>505.98711081525164</c:v>
                </c:pt>
                <c:pt idx="589">
                  <c:v>507.70801796441089</c:v>
                </c:pt>
                <c:pt idx="590">
                  <c:v>509.43078165684409</c:v>
                </c:pt>
                <c:pt idx="591">
                  <c:v>511.15539250672072</c:v>
                </c:pt>
                <c:pt idx="592">
                  <c:v>512.88184114911951</c:v>
                </c:pt>
                <c:pt idx="593">
                  <c:v>514.61011824009711</c:v>
                </c:pt>
                <c:pt idx="594">
                  <c:v>516.34021445675478</c:v>
                </c:pt>
                <c:pt idx="595">
                  <c:v>518.07212049730435</c:v>
                </c:pt>
                <c:pt idx="596">
                  <c:v>519.80582708113241</c:v>
                </c:pt>
                <c:pt idx="597">
                  <c:v>521.54132494886244</c:v>
                </c:pt>
                <c:pt idx="598">
                  <c:v>523.2786048624165</c:v>
                </c:pt>
                <c:pt idx="599">
                  <c:v>525.01765760507465</c:v>
                </c:pt>
                <c:pt idx="600">
                  <c:v>526.75847398153337</c:v>
                </c:pt>
                <c:pt idx="601">
                  <c:v>528.50104481796234</c:v>
                </c:pt>
                <c:pt idx="602">
                  <c:v>530.24536096205964</c:v>
                </c:pt>
                <c:pt idx="603">
                  <c:v>531.99141328310611</c:v>
                </c:pt>
                <c:pt idx="604">
                  <c:v>533.73919267201757</c:v>
                </c:pt>
                <c:pt idx="605">
                  <c:v>535.48869004139624</c:v>
                </c:pt>
                <c:pt idx="606">
                  <c:v>537.23989632558039</c:v>
                </c:pt>
                <c:pt idx="607">
                  <c:v>538.99280248069272</c:v>
                </c:pt>
                <c:pt idx="608">
                  <c:v>540.74739948468755</c:v>
                </c:pt>
                <c:pt idx="609">
                  <c:v>542.50367833739608</c:v>
                </c:pt>
                <c:pt idx="610">
                  <c:v>544.26163006057106</c:v>
                </c:pt>
                <c:pt idx="611">
                  <c:v>546.02124569792977</c:v>
                </c:pt>
                <c:pt idx="612">
                  <c:v>547.78251335086259</c:v>
                </c:pt>
                <c:pt idx="613">
                  <c:v>549.54541818487655</c:v>
                </c:pt>
                <c:pt idx="614">
                  <c:v>551.3099454004024</c:v>
                </c:pt>
                <c:pt idx="615">
                  <c:v>553.07608023289697</c:v>
                </c:pt>
                <c:pt idx="616">
                  <c:v>554.84380795294226</c:v>
                </c:pt>
                <c:pt idx="617">
                  <c:v>556.61311386634168</c:v>
                </c:pt>
                <c:pt idx="618">
                  <c:v>558.3839833142132</c:v>
                </c:pt>
                <c:pt idx="619">
                  <c:v>560.15640167307902</c:v>
                </c:pt>
                <c:pt idx="620">
                  <c:v>561.93035435495256</c:v>
                </c:pt>
                <c:pt idx="621">
                  <c:v>563.7058268074228</c:v>
                </c:pt>
                <c:pt idx="622">
                  <c:v>565.48280451373478</c:v>
                </c:pt>
                <c:pt idx="623">
                  <c:v>567.26127299286782</c:v>
                </c:pt>
                <c:pt idx="624">
                  <c:v>569.04121779961031</c:v>
                </c:pt>
                <c:pt idx="625">
                  <c:v>570.82262452463237</c:v>
                </c:pt>
                <c:pt idx="626">
                  <c:v>572.60547879455453</c:v>
                </c:pt>
                <c:pt idx="627">
                  <c:v>574.38976627201441</c:v>
                </c:pt>
                <c:pt idx="628">
                  <c:v>576.17547265573023</c:v>
                </c:pt>
                <c:pt idx="629">
                  <c:v>577.96258368056147</c:v>
                </c:pt>
                <c:pt idx="630">
                  <c:v>579.75108511756662</c:v>
                </c:pt>
                <c:pt idx="631">
                  <c:v>581.54096277405847</c:v>
                </c:pt>
                <c:pt idx="632">
                  <c:v>583.33220249365661</c:v>
                </c:pt>
                <c:pt idx="633">
                  <c:v>585.12479015633664</c:v>
                </c:pt>
                <c:pt idx="634">
                  <c:v>586.91871167847762</c:v>
                </c:pt>
                <c:pt idx="635">
                  <c:v>588.71395301290579</c:v>
                </c:pt>
                <c:pt idx="636">
                  <c:v>590.51050014893656</c:v>
                </c:pt>
                <c:pt idx="637">
                  <c:v>592.30833911241336</c:v>
                </c:pt>
                <c:pt idx="638">
                  <c:v>594.10745596574384</c:v>
                </c:pt>
                <c:pt idx="639">
                  <c:v>595.90783680793356</c:v>
                </c:pt>
                <c:pt idx="640">
                  <c:v>597.70946777461756</c:v>
                </c:pt>
                <c:pt idx="641">
                  <c:v>599.51233503808839</c:v>
                </c:pt>
                <c:pt idx="642">
                  <c:v>601.31642480732273</c:v>
                </c:pt>
                <c:pt idx="643">
                  <c:v>603.12172332800469</c:v>
                </c:pt>
                <c:pt idx="644">
                  <c:v>604.92821688254708</c:v>
                </c:pt>
                <c:pt idx="645">
                  <c:v>606.73589179011014</c:v>
                </c:pt>
                <c:pt idx="646">
                  <c:v>608.54472606643515</c:v>
                </c:pt>
                <c:pt idx="647">
                  <c:v>610.35468851721339</c:v>
                </c:pt>
                <c:pt idx="648">
                  <c:v>612.16574710185455</c:v>
                </c:pt>
                <c:pt idx="649">
                  <c:v>613.97786986386541</c:v>
                </c:pt>
                <c:pt idx="650">
                  <c:v>615.7910249311509</c:v>
                </c:pt>
                <c:pt idx="651">
                  <c:v>617.60518051630345</c:v>
                </c:pt>
                <c:pt idx="652">
                  <c:v>619.42030491687979</c:v>
                </c:pt>
                <c:pt idx="653">
                  <c:v>621.23636651566562</c:v>
                </c:pt>
                <c:pt idx="654">
                  <c:v>623.05333378092826</c:v>
                </c:pt>
                <c:pt idx="655">
                  <c:v>624.87117526665736</c:v>
                </c:pt>
                <c:pt idx="656">
                  <c:v>626.68985961279429</c:v>
                </c:pt>
                <c:pt idx="657">
                  <c:v>628.50935554544901</c:v>
                </c:pt>
                <c:pt idx="658">
                  <c:v>630.32963187710641</c:v>
                </c:pt>
                <c:pt idx="659">
                  <c:v>632.15065750682015</c:v>
                </c:pt>
                <c:pt idx="660">
                  <c:v>633.97240142039584</c:v>
                </c:pt>
                <c:pt idx="661">
                  <c:v>635.794832690563</c:v>
                </c:pt>
                <c:pt idx="662">
                  <c:v>637.61792047713539</c:v>
                </c:pt>
                <c:pt idx="663">
                  <c:v>639.44163402716106</c:v>
                </c:pt>
                <c:pt idx="664">
                  <c:v>641.26594267506073</c:v>
                </c:pt>
                <c:pt idx="665">
                  <c:v>643.090815842756</c:v>
                </c:pt>
                <c:pt idx="666">
                  <c:v>644.91620522393623</c:v>
                </c:pt>
                <c:pt idx="667">
                  <c:v>646.74204037774746</c:v>
                </c:pt>
                <c:pt idx="668">
                  <c:v>648.5682466106457</c:v>
                </c:pt>
                <c:pt idx="669">
                  <c:v>650.39474944966287</c:v>
                </c:pt>
                <c:pt idx="670">
                  <c:v>652.22147464416742</c:v>
                </c:pt>
                <c:pt idx="671">
                  <c:v>654.04834816755988</c:v>
                </c:pt>
                <c:pt idx="672">
                  <c:v>655.87529621890326</c:v>
                </c:pt>
                <c:pt idx="673">
                  <c:v>657.70224522448837</c:v>
                </c:pt>
                <c:pt idx="674">
                  <c:v>659.52912183933529</c:v>
                </c:pt>
                <c:pt idx="675">
                  <c:v>661.35585294863176</c:v>
                </c:pt>
                <c:pt idx="676">
                  <c:v>663.18236566910787</c:v>
                </c:pt>
                <c:pt idx="677">
                  <c:v>665.00858735034944</c:v>
                </c:pt>
                <c:pt idx="678">
                  <c:v>666.83444557604878</c:v>
                </c:pt>
                <c:pt idx="679">
                  <c:v>668.65986816519523</c:v>
                </c:pt>
                <c:pt idx="680">
                  <c:v>670.48478317320451</c:v>
                </c:pt>
                <c:pt idx="681">
                  <c:v>672.30911889298875</c:v>
                </c:pt>
                <c:pt idx="682">
                  <c:v>674.13280385596704</c:v>
                </c:pt>
                <c:pt idx="683">
                  <c:v>675.95576683301783</c:v>
                </c:pt>
                <c:pt idx="684">
                  <c:v>677.77793683537277</c:v>
                </c:pt>
                <c:pt idx="685">
                  <c:v>679.59924311545399</c:v>
                </c:pt>
                <c:pt idx="686">
                  <c:v>681.41961516765446</c:v>
                </c:pt>
                <c:pt idx="687">
                  <c:v>683.23898272906251</c:v>
                </c:pt>
                <c:pt idx="688">
                  <c:v>685.05727578013114</c:v>
                </c:pt>
                <c:pt idx="689">
                  <c:v>686.87442454529264</c:v>
                </c:pt>
                <c:pt idx="690">
                  <c:v>688.69035949351962</c:v>
                </c:pt>
                <c:pt idx="691">
                  <c:v>690.50501133883256</c:v>
                </c:pt>
                <c:pt idx="692">
                  <c:v>692.31831104075479</c:v>
                </c:pt>
                <c:pt idx="693">
                  <c:v>694.13018980471622</c:v>
                </c:pt>
                <c:pt idx="694">
                  <c:v>695.94057908240507</c:v>
                </c:pt>
                <c:pt idx="695">
                  <c:v>697.74941057206991</c:v>
                </c:pt>
                <c:pt idx="696">
                  <c:v>699.55661621877164</c:v>
                </c:pt>
                <c:pt idx="697">
                  <c:v>701.36212821458628</c:v>
                </c:pt>
                <c:pt idx="698">
                  <c:v>703.16587899875992</c:v>
                </c:pt>
                <c:pt idx="699">
                  <c:v>704.96780125781549</c:v>
                </c:pt>
                <c:pt idx="700">
                  <c:v>706.76782792561278</c:v>
                </c:pt>
                <c:pt idx="701">
                  <c:v>708.56589218336228</c:v>
                </c:pt>
                <c:pt idx="702">
                  <c:v>710.3619274595934</c:v>
                </c:pt>
                <c:pt idx="703">
                  <c:v>712.15586743007805</c:v>
                </c:pt>
                <c:pt idx="704">
                  <c:v>713.94764601770953</c:v>
                </c:pt>
                <c:pt idx="705">
                  <c:v>715.73719739233843</c:v>
                </c:pt>
                <c:pt idx="706">
                  <c:v>717.52445597056578</c:v>
                </c:pt>
                <c:pt idx="707">
                  <c:v>719.30935641549388</c:v>
                </c:pt>
                <c:pt idx="708">
                  <c:v>721.09183314663142</c:v>
                </c:pt>
                <c:pt idx="709">
                  <c:v>722.87181593135233</c:v>
                </c:pt>
                <c:pt idx="710">
                  <c:v>724.64923039576536</c:v>
                </c:pt>
                <c:pt idx="711">
                  <c:v>726.42400245407782</c:v>
                </c:pt>
                <c:pt idx="712">
                  <c:v>728.19605830839316</c:v>
                </c:pt>
                <c:pt idx="713">
                  <c:v>729.96532444845423</c:v>
                </c:pt>
                <c:pt idx="714">
                  <c:v>731.7317276513337</c:v>
                </c:pt>
                <c:pt idx="715">
                  <c:v>733.49519498107213</c:v>
                </c:pt>
                <c:pt idx="716">
                  <c:v>735.25565378826468</c:v>
                </c:pt>
                <c:pt idx="717">
                  <c:v>737.01303170959739</c:v>
                </c:pt>
                <c:pt idx="718">
                  <c:v>738.76725666733375</c:v>
                </c:pt>
                <c:pt idx="719">
                  <c:v>740.51825686875316</c:v>
                </c:pt>
                <c:pt idx="720">
                  <c:v>742.26596080554054</c:v>
                </c:pt>
                <c:pt idx="721">
                  <c:v>744.01029725313003</c:v>
                </c:pt>
                <c:pt idx="722">
                  <c:v>745.75119527000197</c:v>
                </c:pt>
                <c:pt idx="723">
                  <c:v>747.48858419693511</c:v>
                </c:pt>
                <c:pt idx="724">
                  <c:v>749.22239365621385</c:v>
                </c:pt>
                <c:pt idx="725">
                  <c:v>750.95249107555674</c:v>
                </c:pt>
                <c:pt idx="726">
                  <c:v>752.67865522515729</c:v>
                </c:pt>
                <c:pt idx="727">
                  <c:v>754.40077313174913</c:v>
                </c:pt>
                <c:pt idx="728">
                  <c:v>756.11886631400739</c:v>
                </c:pt>
                <c:pt idx="729">
                  <c:v>757.83295611753476</c:v>
                </c:pt>
                <c:pt idx="730">
                  <c:v>759.54306371673374</c:v>
                </c:pt>
                <c:pt idx="731">
                  <c:v>761.24921011665413</c:v>
                </c:pt>
                <c:pt idx="732">
                  <c:v>762.95141615481498</c:v>
                </c:pt>
                <c:pt idx="733">
                  <c:v>764.64970250300246</c:v>
                </c:pt>
                <c:pt idx="734">
                  <c:v>766.34408966904311</c:v>
                </c:pt>
                <c:pt idx="735">
                  <c:v>768.03459799855341</c:v>
                </c:pt>
                <c:pt idx="736">
                  <c:v>769.72124767666594</c:v>
                </c:pt>
                <c:pt idx="737">
                  <c:v>771.40405872973247</c:v>
                </c:pt>
                <c:pt idx="738">
                  <c:v>773.08305102700444</c:v>
                </c:pt>
                <c:pt idx="739">
                  <c:v>774.75824428229112</c:v>
                </c:pt>
                <c:pt idx="740">
                  <c:v>776.42965805559561</c:v>
                </c:pt>
                <c:pt idx="741">
                  <c:v>778.09731175472939</c:v>
                </c:pt>
                <c:pt idx="742">
                  <c:v>779.76122463690581</c:v>
                </c:pt>
                <c:pt idx="743">
                  <c:v>781.42141581031228</c:v>
                </c:pt>
                <c:pt idx="744">
                  <c:v>783.07790423566189</c:v>
                </c:pt>
                <c:pt idx="745">
                  <c:v>784.73070872772496</c:v>
                </c:pt>
                <c:pt idx="746">
                  <c:v>786.37984795684076</c:v>
                </c:pt>
                <c:pt idx="747">
                  <c:v>788.02534045040909</c:v>
                </c:pt>
                <c:pt idx="748">
                  <c:v>789.66720459436272</c:v>
                </c:pt>
                <c:pt idx="749">
                  <c:v>791.30545863462135</c:v>
                </c:pt>
                <c:pt idx="750">
                  <c:v>792.94012067852589</c:v>
                </c:pt>
                <c:pt idx="751">
                  <c:v>794.57120869625487</c:v>
                </c:pt>
                <c:pt idx="752">
                  <c:v>796.19874052222281</c:v>
                </c:pt>
                <c:pt idx="753">
                  <c:v>797.82273385645999</c:v>
                </c:pt>
                <c:pt idx="754">
                  <c:v>799.44320626597562</c:v>
                </c:pt>
                <c:pt idx="755">
                  <c:v>801.06017518610281</c:v>
                </c:pt>
                <c:pt idx="756">
                  <c:v>802.67365792182682</c:v>
                </c:pt>
                <c:pt idx="757">
                  <c:v>804.2836716490965</c:v>
                </c:pt>
                <c:pt idx="758">
                  <c:v>805.89023341611926</c:v>
                </c:pt>
                <c:pt idx="759">
                  <c:v>807.49336014463927</c:v>
                </c:pt>
                <c:pt idx="760">
                  <c:v>809.09306863120037</c:v>
                </c:pt>
                <c:pt idx="761">
                  <c:v>810.68937554839238</c:v>
                </c:pt>
                <c:pt idx="762">
                  <c:v>812.28229744608234</c:v>
                </c:pt>
                <c:pt idx="763">
                  <c:v>813.87185075263028</c:v>
                </c:pt>
                <c:pt idx="764">
                  <c:v>815.45805177608986</c:v>
                </c:pt>
                <c:pt idx="765">
                  <c:v>817.0409167053939</c:v>
                </c:pt>
                <c:pt idx="766">
                  <c:v>818.62046161152568</c:v>
                </c:pt>
                <c:pt idx="767">
                  <c:v>820.19670244867541</c:v>
                </c:pt>
                <c:pt idx="768">
                  <c:v>821.76965505538271</c:v>
                </c:pt>
                <c:pt idx="769">
                  <c:v>823.3393351556648</c:v>
                </c:pt>
                <c:pt idx="770">
                  <c:v>824.90575836013136</c:v>
                </c:pt>
                <c:pt idx="771">
                  <c:v>826.46894016708507</c:v>
                </c:pt>
                <c:pt idx="772">
                  <c:v>828.02889596360933</c:v>
                </c:pt>
                <c:pt idx="773">
                  <c:v>829.58564102664263</c:v>
                </c:pt>
                <c:pt idx="774">
                  <c:v>831.13919052403958</c:v>
                </c:pt>
                <c:pt idx="775">
                  <c:v>832.68955951561964</c:v>
                </c:pt>
                <c:pt idx="776">
                  <c:v>834.23676295420273</c:v>
                </c:pt>
                <c:pt idx="777">
                  <c:v>835.78081568663254</c:v>
                </c:pt>
                <c:pt idx="778">
                  <c:v>837.32173245478759</c:v>
                </c:pt>
                <c:pt idx="779">
                  <c:v>838.85952789658018</c:v>
                </c:pt>
                <c:pt idx="780">
                  <c:v>840.39421654694343</c:v>
                </c:pt>
                <c:pt idx="781">
                  <c:v>841.92581283880645</c:v>
                </c:pt>
                <c:pt idx="782">
                  <c:v>843.45433110405804</c:v>
                </c:pt>
                <c:pt idx="783">
                  <c:v>844.97978557449892</c:v>
                </c:pt>
                <c:pt idx="784">
                  <c:v>846.50219038278271</c:v>
                </c:pt>
                <c:pt idx="785">
                  <c:v>848.02155956334548</c:v>
                </c:pt>
                <c:pt idx="786">
                  <c:v>849.53790705332517</c:v>
                </c:pt>
                <c:pt idx="787">
                  <c:v>851.05124669346935</c:v>
                </c:pt>
                <c:pt idx="788">
                  <c:v>852.56159222903284</c:v>
                </c:pt>
                <c:pt idx="789">
                  <c:v>854.06895731066447</c:v>
                </c:pt>
                <c:pt idx="790">
                  <c:v>855.5733554952842</c:v>
                </c:pt>
                <c:pt idx="791">
                  <c:v>857.07480024694894</c:v>
                </c:pt>
                <c:pt idx="792">
                  <c:v>858.57330493770939</c:v>
                </c:pt>
                <c:pt idx="793">
                  <c:v>860.06888284845661</c:v>
                </c:pt>
                <c:pt idx="794">
                  <c:v>861.56154716975823</c:v>
                </c:pt>
                <c:pt idx="795">
                  <c:v>863.05131100268591</c:v>
                </c:pt>
                <c:pt idx="796">
                  <c:v>864.53818735963284</c:v>
                </c:pt>
                <c:pt idx="797">
                  <c:v>866.02218916512186</c:v>
                </c:pt>
                <c:pt idx="798">
                  <c:v>867.50332925660439</c:v>
                </c:pt>
                <c:pt idx="799">
                  <c:v>868.98162038525027</c:v>
                </c:pt>
                <c:pt idx="800">
                  <c:v>870.45707521672864</c:v>
                </c:pt>
                <c:pt idx="801">
                  <c:v>885.05660126129101</c:v>
                </c:pt>
                <c:pt idx="802">
                  <c:v>899.38053354971169</c:v>
                </c:pt>
                <c:pt idx="803">
                  <c:v>913.44077587946492</c:v>
                </c:pt>
                <c:pt idx="804">
                  <c:v>927.24847006941616</c:v>
                </c:pt>
                <c:pt idx="805">
                  <c:v>940.81406062275619</c:v>
                </c:pt>
                <c:pt idx="806">
                  <c:v>954.14735261183296</c:v>
                </c:pt>
                <c:pt idx="807">
                  <c:v>967.25756362539664</c:v>
                </c:pt>
                <c:pt idx="808">
                  <c:v>980.15337049905247</c:v>
                </c:pt>
                <c:pt idx="809">
                  <c:v>992.84295144917076</c:v>
                </c:pt>
                <c:pt idx="810">
                  <c:v>1005.3340241457321</c:v>
                </c:pt>
                <c:pt idx="811">
                  <c:v>1017.6338801878516</c:v>
                </c:pt>
                <c:pt idx="812">
                  <c:v>1029.7494163848096</c:v>
                </c:pt>
                <c:pt idx="813">
                  <c:v>1041.6871631935094</c:v>
                </c:pt>
                <c:pt idx="814">
                  <c:v>1053.4533106189078</c:v>
                </c:pt>
                <c:pt idx="815">
                  <c:v>1065.0537318459153</c:v>
                </c:pt>
                <c:pt idx="816">
                  <c:v>1076.4940048385336</c:v>
                </c:pt>
                <c:pt idx="817">
                  <c:v>1087.7794321137658</c:v>
                </c:pt>
                <c:pt idx="818">
                  <c:v>1098.9150588734212</c:v>
                </c:pt>
                <c:pt idx="819">
                  <c:v>1109.9056896557522</c:v>
                </c:pt>
                <c:pt idx="820">
                  <c:v>1120.7559036504517</c:v>
                </c:pt>
                <c:pt idx="821">
                  <c:v>1131.4700688044866</c:v>
                </c:pt>
                <c:pt idx="822">
                  <c:v>1142.0523548322165</c:v>
                </c:pt>
                <c:pt idx="823">
                  <c:v>1152.5067452309661</c:v>
                </c:pt>
                <c:pt idx="824">
                  <c:v>1162.8370483924396</c:v>
                </c:pt>
                <c:pt idx="825">
                  <c:v>1173.0469078908782</c:v>
                </c:pt>
                <c:pt idx="826">
                  <c:v>1183.1398120205085</c:v>
                </c:pt>
                <c:pt idx="827">
                  <c:v>1193.119102647443</c:v>
                </c:pt>
                <c:pt idx="828">
                  <c:v>1202.9879834346602</c:v>
                </c:pt>
                <c:pt idx="829">
                  <c:v>1212.7495274929008</c:v>
                </c:pt>
                <c:pt idx="830">
                  <c:v>1222.4066845051693</c:v>
                </c:pt>
                <c:pt idx="831">
                  <c:v>1231.9622873679511</c:v>
                </c:pt>
                <c:pt idx="832">
                  <c:v>1241.4190583881748</c:v>
                </c:pt>
                <c:pt idx="833">
                  <c:v>1250.7796150713025</c:v>
                </c:pt>
                <c:pt idx="834">
                  <c:v>1260.0464755326757</c:v>
                </c:pt>
                <c:pt idx="835">
                  <c:v>1269.2220635613187</c:v>
                </c:pt>
                <c:pt idx="836">
                  <c:v>1278.3087133627891</c:v>
                </c:pt>
                <c:pt idx="837">
                  <c:v>1287.3086740053054</c:v>
                </c:pt>
                <c:pt idx="838">
                  <c:v>1296.224113591267</c:v>
                </c:pt>
                <c:pt idx="839">
                  <c:v>1305.0571231743761</c:v>
                </c:pt>
                <c:pt idx="840">
                  <c:v>1313.8097204408439</c:v>
                </c:pt>
                <c:pt idx="841">
                  <c:v>1322.4838531716134</c:v>
                </c:pt>
                <c:pt idx="842">
                  <c:v>1331.0814025011207</c:v>
                </c:pt>
                <c:pt idx="843">
                  <c:v>1339.6041859868428</c:v>
                </c:pt>
                <c:pt idx="844">
                  <c:v>1348.053960502725</c:v>
                </c:pt>
                <c:pt idx="845">
                  <c:v>1356.4324249685285</c:v>
                </c:pt>
                <c:pt idx="846">
                  <c:v>1364.7412229261881</c:v>
                </c:pt>
                <c:pt idx="847">
                  <c:v>1372.981944973397</c:v>
                </c:pt>
                <c:pt idx="848">
                  <c:v>1381.1561310638479</c:v>
                </c:pt>
                <c:pt idx="849">
                  <c:v>1389.2652726828337</c:v>
                </c:pt>
                <c:pt idx="850">
                  <c:v>1397.3108149062584</c:v>
                </c:pt>
                <c:pt idx="851">
                  <c:v>1405.2941583504951</c:v>
                </c:pt>
                <c:pt idx="852">
                  <c:v>1413.2166610199877</c:v>
                </c:pt>
                <c:pt idx="853">
                  <c:v>1421.0796400589813</c:v>
                </c:pt>
                <c:pt idx="854">
                  <c:v>1428.884373413305</c:v>
                </c:pt>
                <c:pt idx="855">
                  <c:v>1436.6321014077018</c:v>
                </c:pt>
                <c:pt idx="856">
                  <c:v>1444.3240282438196</c:v>
                </c:pt>
                <c:pt idx="857">
                  <c:v>1451.9613234236044</c:v>
                </c:pt>
                <c:pt idx="858">
                  <c:v>1459.5451231025183</c:v>
                </c:pt>
                <c:pt idx="859">
                  <c:v>1467.0765313766942</c:v>
                </c:pt>
                <c:pt idx="860">
                  <c:v>1474.5566215078588</c:v>
                </c:pt>
                <c:pt idx="861">
                  <c:v>1481.9864370895996</c:v>
                </c:pt>
                <c:pt idx="862">
                  <c:v>1489.3669931583083</c:v>
                </c:pt>
                <c:pt idx="863">
                  <c:v>1496.6992772519163</c:v>
                </c:pt>
                <c:pt idx="864">
                  <c:v>1503.9842504193291</c:v>
                </c:pt>
                <c:pt idx="865">
                  <c:v>1511.2228481832808</c:v>
                </c:pt>
                <c:pt idx="866">
                  <c:v>1518.4159814591533</c:v>
                </c:pt>
                <c:pt idx="867">
                  <c:v>1525.5645374321416</c:v>
                </c:pt>
                <c:pt idx="868">
                  <c:v>1532.6693803949963</c:v>
                </c:pt>
                <c:pt idx="869">
                  <c:v>1539.7313525484344</c:v>
                </c:pt>
                <c:pt idx="870">
                  <c:v>1546.7512747661801</c:v>
                </c:pt>
                <c:pt idx="871">
                  <c:v>1553.7299473264759</c:v>
                </c:pt>
                <c:pt idx="872">
                  <c:v>1560.6681506117895</c:v>
                </c:pt>
                <c:pt idx="873">
                  <c:v>1567.5666457783432</c:v>
                </c:pt>
                <c:pt idx="874">
                  <c:v>1574.4261753969856</c:v>
                </c:pt>
                <c:pt idx="875">
                  <c:v>1581.2474640668459</c:v>
                </c:pt>
                <c:pt idx="876">
                  <c:v>1588.0312190031148</c:v>
                </c:pt>
                <c:pt idx="877">
                  <c:v>1594.778130600225</c:v>
                </c:pt>
                <c:pt idx="878">
                  <c:v>1601.4888729716272</c:v>
                </c:pt>
                <c:pt idx="879">
                  <c:v>1608.1641044672861</c:v>
                </c:pt>
                <c:pt idx="880">
                  <c:v>1614.8044681699605</c:v>
                </c:pt>
                <c:pt idx="881">
                  <c:v>1621.4105923712698</c:v>
                </c:pt>
                <c:pt idx="882">
                  <c:v>1627.9830910284877</c:v>
                </c:pt>
                <c:pt idx="883">
                  <c:v>1634.5225642029598</c:v>
                </c:pt>
                <c:pt idx="884">
                  <c:v>1641.0295984809816</c:v>
                </c:pt>
                <c:pt idx="885">
                  <c:v>1647.5047673779366</c:v>
                </c:pt>
                <c:pt idx="886">
                  <c:v>1653.9486317264425</c:v>
                </c:pt>
                <c:pt idx="887">
                  <c:v>1660.361740049216</c:v>
                </c:pt>
                <c:pt idx="888">
                  <c:v>1666.7446289173283</c:v>
                </c:pt>
                <c:pt idx="889">
                  <c:v>1673.0978232944849</c:v>
                </c:pt>
                <c:pt idx="890">
                  <c:v>1679.4218368679299</c:v>
                </c:pt>
                <c:pt idx="891">
                  <c:v>1685.7171723665456</c:v>
                </c:pt>
                <c:pt idx="892">
                  <c:v>1691.9843218666806</c:v>
                </c:pt>
                <c:pt idx="893">
                  <c:v>1698.2237670862203</c:v>
                </c:pt>
                <c:pt idx="894">
                  <c:v>1704.435979667378</c:v>
                </c:pt>
                <c:pt idx="895">
                  <c:v>1710.6214214486665</c:v>
                </c:pt>
                <c:pt idx="896">
                  <c:v>1716.7805447264807</c:v>
                </c:pt>
                <c:pt idx="897">
                  <c:v>1722.9137925067012</c:v>
                </c:pt>
                <c:pt idx="898">
                  <c:v>1729.0215987467097</c:v>
                </c:pt>
                <c:pt idx="899">
                  <c:v>1735.1043885881811</c:v>
                </c:pt>
                <c:pt idx="900">
                  <c:v>1741.1625785810038</c:v>
                </c:pt>
                <c:pt idx="901">
                  <c:v>1747.1965768986581</c:v>
                </c:pt>
                <c:pt idx="902">
                  <c:v>1753.2067835453668</c:v>
                </c:pt>
                <c:pt idx="903">
                  <c:v>1759.1935905553148</c:v>
                </c:pt>
                <c:pt idx="904">
                  <c:v>1765.1573821842214</c:v>
                </c:pt>
                <c:pt idx="905">
                  <c:v>1771.0985350935309</c:v>
                </c:pt>
                <c:pt idx="906">
                  <c:v>1777.0174185274759</c:v>
                </c:pt>
                <c:pt idx="907">
                  <c:v>1782.9143944832554</c:v>
                </c:pt>
                <c:pt idx="908">
                  <c:v>1788.7898178745531</c:v>
                </c:pt>
                <c:pt idx="909">
                  <c:v>1794.6440366886154</c:v>
                </c:pt>
                <c:pt idx="910">
                  <c:v>1800.4773921370925</c:v>
                </c:pt>
                <c:pt idx="911">
                  <c:v>1806.2902188008375</c:v>
                </c:pt>
                <c:pt idx="912">
                  <c:v>1812.0828447688498</c:v>
                </c:pt>
                <c:pt idx="913">
                  <c:v>1817.8555917715373</c:v>
                </c:pt>
                <c:pt idx="914">
                  <c:v>1823.608775308463</c:v>
                </c:pt>
                <c:pt idx="915">
                  <c:v>1829.3427047707362</c:v>
                </c:pt>
                <c:pt idx="916">
                  <c:v>1835.0576835581971</c:v>
                </c:pt>
                <c:pt idx="917">
                  <c:v>1840.7540091915382</c:v>
                </c:pt>
                <c:pt idx="918">
                  <c:v>1846.4319734194974</c:v>
                </c:pt>
                <c:pt idx="919">
                  <c:v>1852.091862321254</c:v>
                </c:pt>
                <c:pt idx="920">
                  <c:v>1857.7339564041488</c:v>
                </c:pt>
                <c:pt idx="921">
                  <c:v>1863.3585306968471</c:v>
                </c:pt>
                <c:pt idx="922">
                  <c:v>1868.9658548380564</c:v>
                </c:pt>
                <c:pt idx="923">
                  <c:v>1874.5561931609079</c:v>
                </c:pt>
                <c:pt idx="924">
                  <c:v>1880.1298047731027</c:v>
                </c:pt>
                <c:pt idx="925">
                  <c:v>1885.6869436329243</c:v>
                </c:pt>
                <c:pt idx="926">
                  <c:v>1891.227858621214</c:v>
                </c:pt>
                <c:pt idx="927">
                  <c:v>1896.7527936093995</c:v>
                </c:pt>
                <c:pt idx="928">
                  <c:v>1902.2619875236717</c:v>
                </c:pt>
                <c:pt idx="929">
                  <c:v>1907.7556744053941</c:v>
                </c:pt>
                <c:pt idx="930">
                  <c:v>1913.2340834678362</c:v>
                </c:pt>
                <c:pt idx="931">
                  <c:v>1918.6974391493143</c:v>
                </c:pt>
                <c:pt idx="932">
                  <c:v>1924.1459611628277</c:v>
                </c:pt>
                <c:pt idx="933">
                  <c:v>1929.5798645422747</c:v>
                </c:pt>
                <c:pt idx="934">
                  <c:v>1934.9993596853367</c:v>
                </c:pt>
                <c:pt idx="935">
                  <c:v>1940.4046523931167</c:v>
                </c:pt>
                <c:pt idx="936">
                  <c:v>1945.7959439066233</c:v>
                </c:pt>
                <c:pt idx="937">
                  <c:v>1951.1734309401913</c:v>
                </c:pt>
                <c:pt idx="938">
                  <c:v>1956.5373057119346</c:v>
                </c:pt>
                <c:pt idx="939">
                  <c:v>1961.8877559713289</c:v>
                </c:pt>
                <c:pt idx="940">
                  <c:v>1967.2249650240287</c:v>
                </c:pt>
                <c:pt idx="941">
                  <c:v>1972.5491117540239</c:v>
                </c:pt>
                <c:pt idx="942">
                  <c:v>1977.8603706432514</c:v>
                </c:pt>
                <c:pt idx="943">
                  <c:v>1983.1589117887779</c:v>
                </c:pt>
                <c:pt idx="944">
                  <c:v>1988.4449009176815</c:v>
                </c:pt>
                <c:pt idx="945">
                  <c:v>1993.7184993997632</c:v>
                </c:pt>
                <c:pt idx="946">
                  <c:v>1998.979864258228</c:v>
                </c:pt>
                <c:pt idx="947">
                  <c:v>2004.2291481784844</c:v>
                </c:pt>
                <c:pt idx="948">
                  <c:v>2009.4664995152173</c:v>
                </c:pt>
                <c:pt idx="949">
                  <c:v>2014.6920622979003</c:v>
                </c:pt>
                <c:pt idx="950">
                  <c:v>2019.9059762349191</c:v>
                </c:pt>
                <c:pt idx="951">
                  <c:v>2025.1083767164905</c:v>
                </c:pt>
                <c:pt idx="952">
                  <c:v>2030.2993948165665</c:v>
                </c:pt>
                <c:pt idx="953">
                  <c:v>2035.4791572939248</c:v>
                </c:pt>
                <c:pt idx="954">
                  <c:v>2040.6477865926543</c:v>
                </c:pt>
                <c:pt idx="955">
                  <c:v>2045.8054008422505</c:v>
                </c:pt>
                <c:pt idx="956">
                  <c:v>2050.9521138575478</c:v>
                </c:pt>
                <c:pt idx="957">
                  <c:v>2056.0880351387164</c:v>
                </c:pt>
                <c:pt idx="958">
                  <c:v>2061.2132698715614</c:v>
                </c:pt>
                <c:pt idx="959">
                  <c:v>2066.3279189283671</c:v>
                </c:pt>
                <c:pt idx="960">
                  <c:v>2071.4320788695268</c:v>
                </c:pt>
                <c:pt idx="961">
                  <c:v>2076.5258419462057</c:v>
                </c:pt>
                <c:pt idx="962">
                  <c:v>2081.6092961042859</c:v>
                </c:pt>
                <c:pt idx="963">
                  <c:v>2086.6825249898329</c:v>
                </c:pt>
                <c:pt idx="964">
                  <c:v>2091.7456079563276</c:v>
                </c:pt>
                <c:pt idx="965">
                  <c:v>2096.7986200738965</c:v>
                </c:pt>
                <c:pt idx="966">
                  <c:v>2101.8416321407713</c:v>
                </c:pt>
                <c:pt idx="967">
                  <c:v>2106.8747106971882</c:v>
                </c:pt>
                <c:pt idx="968">
                  <c:v>2111.8979180419406</c:v>
                </c:pt>
                <c:pt idx="969">
                  <c:v>2116.9113122517656</c:v>
                </c:pt>
                <c:pt idx="970">
                  <c:v>2121.914947203747</c:v>
                </c:pt>
                <c:pt idx="971">
                  <c:v>2126.9088726008868</c:v>
                </c:pt>
                <c:pt idx="972">
                  <c:v>2131.8931340009794</c:v>
                </c:pt>
                <c:pt idx="973">
                  <c:v>2136.8677728489042</c:v>
                </c:pt>
                <c:pt idx="974">
                  <c:v>2141.8328265124278</c:v>
                </c:pt>
                <c:pt idx="975">
                  <c:v>2146.7883283215783</c:v>
                </c:pt>
                <c:pt idx="976">
                  <c:v>2151.7343076116376</c:v>
                </c:pt>
                <c:pt idx="977">
                  <c:v>2156.6707897697647</c:v>
                </c:pt>
                <c:pt idx="978">
                  <c:v>2161.5977962852394</c:v>
                </c:pt>
                <c:pt idx="979">
                  <c:v>2166.5153448032925</c:v>
                </c:pt>
                <c:pt idx="980">
                  <c:v>2171.4234491824632</c:v>
                </c:pt>
                <c:pt idx="981">
                  <c:v>2176.3221195553974</c:v>
                </c:pt>
                <c:pt idx="982">
                  <c:v>2181.2113623929818</c:v>
                </c:pt>
                <c:pt idx="983">
                  <c:v>2186.0911805716828</c:v>
                </c:pt>
                <c:pt idx="984">
                  <c:v>2190.9615734439458</c:v>
                </c:pt>
                <c:pt idx="985">
                  <c:v>2195.8225369114875</c:v>
                </c:pt>
                <c:pt idx="986">
                  <c:v>2200.6740635012993</c:v>
                </c:pt>
                <c:pt idx="987">
                  <c:v>2205.5161424441676</c:v>
                </c:pt>
                <c:pt idx="988">
                  <c:v>2210.3487597555081</c:v>
                </c:pt>
                <c:pt idx="989">
                  <c:v>2215.1718983182946</c:v>
                </c:pt>
                <c:pt idx="990">
                  <c:v>2219.9855379678647</c:v>
                </c:pt>
                <c:pt idx="991">
                  <c:v>2224.7896555783782</c:v>
                </c:pt>
                <c:pt idx="992">
                  <c:v>2229.5842251506979</c:v>
                </c:pt>
                <c:pt idx="993">
                  <c:v>2234.3692179014688</c:v>
                </c:pt>
                <c:pt idx="994">
                  <c:v>2239.1446023531712</c:v>
                </c:pt>
                <c:pt idx="995">
                  <c:v>2243.9103444249226</c:v>
                </c:pt>
                <c:pt idx="996">
                  <c:v>2248.6664075238195</c:v>
                </c:pt>
                <c:pt idx="997">
                  <c:v>2253.4127526366042</c:v>
                </c:pt>
                <c:pt idx="998">
                  <c:v>2258.1493384214614</c:v>
                </c:pt>
                <c:pt idx="999">
                  <c:v>2262.8761212997497</c:v>
                </c:pt>
                <c:pt idx="1000">
                  <c:v>2267.5930555474893</c:v>
                </c:pt>
              </c:numCache>
            </c:numRef>
          </c:xVal>
          <c:yVal>
            <c:numRef>
              <c:f>Calculs!$K$4:$K$1004</c:f>
              <c:numCache>
                <c:formatCode>0.00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4378.7963790361628</c:v>
                </c:pt>
                <c:pt idx="942">
                  <c:v>4381.900945338798</c:v>
                </c:pt>
                <c:pt idx="943">
                  <c:v>4384.8999771612835</c:v>
                </c:pt>
                <c:pt idx="944">
                  <c:v>4387.7938037868644</c:v>
                </c:pt>
                <c:pt idx="945">
                  <c:v>4390.5827465213097</c:v>
                </c:pt>
                <c:pt idx="946">
                  <c:v>4393.267118915478</c:v>
                </c:pt>
                <c:pt idx="947">
                  <c:v>4395.8472269875965</c:v>
                </c:pt>
                <c:pt idx="948">
                  <c:v>4398.3233694454912</c:v>
                </c:pt>
                <c:pt idx="949">
                  <c:v>4400.695837908982</c:v>
                </c:pt>
                <c:pt idx="950">
                  <c:v>4402.9649171326419</c:v>
                </c:pt>
                <c:pt idx="951">
                  <c:v>4405.1308852291195</c:v>
                </c:pt>
                <c:pt idx="952">
                  <c:v>4407.1940138931905</c:v>
                </c:pt>
                <c:pt idx="953">
                  <c:v>4409.1545686266982</c:v>
                </c:pt>
                <c:pt idx="954">
                  <c:v>4411.012808964525</c:v>
                </c:pt>
                <c:pt idx="955">
                  <c:v>4412.7689887017086</c:v>
                </c:pt>
                <c:pt idx="956">
                  <c:v>4414.4233561218034</c:v>
                </c:pt>
                <c:pt idx="957">
                  <c:v>4415.9761542265605</c:v>
                </c:pt>
                <c:pt idx="958">
                  <c:v>4417.4276209669806</c:v>
                </c:pt>
                <c:pt idx="959">
                  <c:v>4418.7779894757587</c:v>
                </c:pt>
                <c:pt idx="960">
                  <c:v>4420.0274883011261</c:v>
                </c:pt>
                <c:pt idx="961">
                  <c:v>4421.1763416420581</c:v>
                </c:pt>
                <c:pt idx="962">
                  <c:v>4422.22476958479</c:v>
                </c:pt>
                <c:pt idx="963">
                  <c:v>4423.1729883405569</c:v>
                </c:pt>
                <c:pt idx="964">
                  <c:v>4424.0212104844441</c:v>
                </c:pt>
                <c:pt idx="965">
                  <c:v>4424.7696451952006</c:v>
                </c:pt>
                <c:pt idx="966">
                  <c:v>4425.4184984958483</c:v>
                </c:pt>
                <c:pt idx="967">
                  <c:v>4425.9679734948777</c:v>
                </c:pt>
                <c:pt idx="968">
                  <c:v>4426.4182706278125</c:v>
                </c:pt>
                <c:pt idx="969">
                  <c:v>4426.7695878988798</c:v>
                </c:pt>
                <c:pt idx="970">
                  <c:v>4427.0221211225125</c:v>
                </c:pt>
                <c:pt idx="971">
                  <c:v>4427.1760641643823</c:v>
                </c:pt>
                <c:pt idx="972">
                  <c:v>4427.2316091816419</c:v>
                </c:pt>
                <c:pt idx="973">
                  <c:v>4427.1889468620366</c:v>
                </c:pt>
                <c:pt idx="974">
                  <c:v>4427.0482666615399</c:v>
                </c:pt>
                <c:pt idx="975">
                  <c:v>4426.8097570401396</c:v>
                </c:pt>
                <c:pt idx="976">
                  <c:v>4426.4736056954134</c:v>
                </c:pt>
                <c:pt idx="977">
                  <c:v>4426.039999793511</c:v>
                </c:pt>
                <c:pt idx="978">
                  <c:v>4425.5091261971666</c:v>
                </c:pt>
                <c:pt idx="979">
                  <c:v>4424.881171690372</c:v>
                </c:pt>
                <c:pt idx="980">
                  <c:v>4424.1563231993368</c:v>
                </c:pt>
                <c:pt idx="981">
                  <c:v>4423.334768009383</c:v>
                </c:pt>
                <c:pt idx="982">
                  <c:v>4422.4166939774168</c:v>
                </c:pt>
                <c:pt idx="983">
                  <c:v>4421.4022897396617</c:v>
                </c:pt>
                <c:pt idx="984">
                  <c:v>4420.2917449143279</c:v>
                </c:pt>
                <c:pt idx="985">
                  <c:v>4419.085250298931</c:v>
                </c:pt>
                <c:pt idx="986">
                  <c:v>4417.7829980619881</c:v>
                </c:pt>
                <c:pt idx="987">
                  <c:v>4416.3851819288539</c:v>
                </c:pt>
                <c:pt idx="988">
                  <c:v>4414.891997361462</c:v>
                </c:pt>
                <c:pt idx="989">
                  <c:v>4413.3036417317971</c:v>
                </c:pt>
                <c:pt idx="990">
                  <c:v>4411.6203144889132</c:v>
                </c:pt>
                <c:pt idx="991">
                  <c:v>4409.8422173193758</c:v>
                </c:pt>
                <c:pt idx="992">
                  <c:v>4407.9695543010057</c:v>
                </c:pt>
                <c:pt idx="993">
                  <c:v>4406.0025320498489</c:v>
                </c:pt>
                <c:pt idx="994">
                  <c:v>4403.9413598603051</c:v>
                </c:pt>
                <c:pt idx="995">
                  <c:v>4401.7862498383874</c:v>
                </c:pt>
                <c:pt idx="996">
                  <c:v>4399.5374170281102</c:v>
                </c:pt>
                <c:pt idx="997">
                  <c:v>4397.1950795310067</c:v>
                </c:pt>
                <c:pt idx="998">
                  <c:v>4394.7594586188234</c:v>
                </c:pt>
                <c:pt idx="999">
                  <c:v>4392.2307788394382</c:v>
                </c:pt>
                <c:pt idx="1000">
                  <c:v>4389.6092681160853</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2.1286965640371534E-4</c:v>
                </c:pt>
                <c:pt idx="3">
                  <c:v>1.0752869482800148E-3</c:v>
                </c:pt>
                <c:pt idx="4">
                  <c:v>3.0350654723228713E-3</c:v>
                </c:pt>
                <c:pt idx="5">
                  <c:v>6.4541364070142843E-3</c:v>
                </c:pt>
                <c:pt idx="6">
                  <c:v>1.1522147617290123E-2</c:v>
                </c:pt>
                <c:pt idx="7">
                  <c:v>1.8342610026685718E-2</c:v>
                </c:pt>
                <c:pt idx="8">
                  <c:v>2.7019171657832148E-2</c:v>
                </c:pt>
                <c:pt idx="9">
                  <c:v>3.7632122054170887E-2</c:v>
                </c:pt>
                <c:pt idx="10">
                  <c:v>5.0214846408702343E-2</c:v>
                </c:pt>
                <c:pt idx="11">
                  <c:v>6.4777256166770963E-2</c:v>
                </c:pt>
                <c:pt idx="12">
                  <c:v>8.132926678256977E-2</c:v>
                </c:pt>
                <c:pt idx="13">
                  <c:v>9.9880797628077084E-2</c:v>
                </c:pt>
                <c:pt idx="14">
                  <c:v>0.1204417719010293</c:v>
                </c:pt>
                <c:pt idx="15">
                  <c:v>0.14302211653192831</c:v>
                </c:pt>
                <c:pt idx="16">
                  <c:v>0.1676317620900824</c:v>
                </c:pt>
                <c:pt idx="17">
                  <c:v>0.19428064268867923</c:v>
                </c:pt>
                <c:pt idx="18">
                  <c:v>0.22297869588888994</c:v>
                </c:pt>
                <c:pt idx="19">
                  <c:v>0.25373586260300307</c:v>
                </c:pt>
                <c:pt idx="20">
                  <c:v>0.28656208699658731</c:v>
                </c:pt>
                <c:pt idx="21">
                  <c:v>0.32146566948239463</c:v>
                </c:pt>
                <c:pt idx="22">
                  <c:v>0.35845079239139011</c:v>
                </c:pt>
                <c:pt idx="23">
                  <c:v>0.39751916048181207</c:v>
                </c:pt>
                <c:pt idx="24">
                  <c:v>0.43867246879931882</c:v>
                </c:pt>
                <c:pt idx="25">
                  <c:v>0.4819124026351711</c:v>
                </c:pt>
                <c:pt idx="26">
                  <c:v>0.5272406374845745</c:v>
                </c:pt>
                <c:pt idx="27">
                  <c:v>0.57465883900518289</c:v>
                </c:pt>
                <c:pt idx="28">
                  <c:v>0.62416866297576645</c:v>
                </c:pt>
                <c:pt idx="29">
                  <c:v>0.67577175525504551</c:v>
                </c:pt>
                <c:pt idx="30">
                  <c:v>0.72946975174069251</c:v>
                </c:pt>
                <c:pt idx="31">
                  <c:v>0.78526427832850532</c:v>
                </c:pt>
                <c:pt idx="32">
                  <c:v>0.84315695087175302</c:v>
                </c:pt>
                <c:pt idx="33">
                  <c:v>0.90314937514069649</c:v>
                </c:pt>
                <c:pt idx="34">
                  <c:v>0.96524314678228706</c:v>
                </c:pt>
                <c:pt idx="35">
                  <c:v>1.0294398512800442</c:v>
                </c:pt>
                <c:pt idx="36">
                  <c:v>1.0957410639141156</c:v>
                </c:pt>
                <c:pt idx="37">
                  <c:v>1.1642710419184992</c:v>
                </c:pt>
                <c:pt idx="38">
                  <c:v>1.2351581134853029</c:v>
                </c:pt>
                <c:pt idx="39">
                  <c:v>1.3084119547852284</c:v>
                </c:pt>
                <c:pt idx="40">
                  <c:v>1.3840421026231302</c:v>
                </c:pt>
                <c:pt idx="41">
                  <c:v>1.462057891991557</c:v>
                </c:pt>
                <c:pt idx="42">
                  <c:v>1.5424684658561456</c:v>
                </c:pt>
                <c:pt idx="43">
                  <c:v>1.6252827841866793</c:v>
                </c:pt>
                <c:pt idx="44">
                  <c:v>1.7105096323094051</c:v>
                </c:pt>
                <c:pt idx="45">
                  <c:v>1.7981576286469281</c:v>
                </c:pt>
                <c:pt idx="46">
                  <c:v>1.8882356088726509</c:v>
                </c:pt>
                <c:pt idx="47">
                  <c:v>1.9807527297404641</c:v>
                </c:pt>
                <c:pt idx="48">
                  <c:v>2.0757181014809589</c:v>
                </c:pt>
                <c:pt idx="49">
                  <c:v>2.1731406994978113</c:v>
                </c:pt>
                <c:pt idx="50">
                  <c:v>2.2730293695936625</c:v>
                </c:pt>
                <c:pt idx="51">
                  <c:v>2.3753928328622029</c:v>
                </c:pt>
                <c:pt idx="52">
                  <c:v>2.4802396902740318</c:v>
                </c:pt>
                <c:pt idx="53">
                  <c:v>2.5875784269810702</c:v>
                </c:pt>
                <c:pt idx="54">
                  <c:v>2.6974174163618412</c:v>
                </c:pt>
                <c:pt idx="55">
                  <c:v>2.8097649238277591</c:v>
                </c:pt>
                <c:pt idx="56">
                  <c:v>2.924629110408643</c:v>
                </c:pt>
                <c:pt idx="57">
                  <c:v>3.0420180361339675</c:v>
                </c:pt>
                <c:pt idx="58">
                  <c:v>3.1619396632248375</c:v>
                </c:pt>
                <c:pt idx="59">
                  <c:v>3.2844018591103334</c:v>
                </c:pt>
                <c:pt idx="60">
                  <c:v>3.4094123992806504</c:v>
                </c:pt>
                <c:pt idx="61">
                  <c:v>3.5369789699883842</c:v>
                </c:pt>
                <c:pt idx="62">
                  <c:v>3.6671091708083385</c:v>
                </c:pt>
                <c:pt idx="63">
                  <c:v>3.7998105170653598</c:v>
                </c:pt>
                <c:pt idx="64">
                  <c:v>3.9350904421389203</c:v>
                </c:pt>
                <c:pt idx="65">
                  <c:v>4.0729562996524562</c:v>
                </c:pt>
                <c:pt idx="66">
                  <c:v>4.2134153655548356</c:v>
                </c:pt>
                <c:pt idx="67">
                  <c:v>4.3564748401007414</c:v>
                </c:pt>
                <c:pt idx="68">
                  <c:v>4.5021418497362378</c:v>
                </c:pt>
                <c:pt idx="69">
                  <c:v>4.650429621026289</c:v>
                </c:pt>
                <c:pt idx="70">
                  <c:v>4.8013601636080381</c:v>
                </c:pt>
                <c:pt idx="71">
                  <c:v>4.954958141609298</c:v>
                </c:pt>
                <c:pt idx="72">
                  <c:v>5.1112482350418906</c:v>
                </c:pt>
                <c:pt idx="73">
                  <c:v>5.2702551396419839</c:v>
                </c:pt>
                <c:pt idx="74">
                  <c:v>5.4320035667093007</c:v>
                </c:pt>
                <c:pt idx="75">
                  <c:v>5.5965182429450628</c:v>
                </c:pt>
                <c:pt idx="76">
                  <c:v>5.7638239102885542</c:v>
                </c:pt>
                <c:pt idx="77">
                  <c:v>5.9339337782406547</c:v>
                </c:pt>
                <c:pt idx="78">
                  <c:v>6.106844512428637</c:v>
                </c:pt>
                <c:pt idx="79">
                  <c:v>6.2825477094822197</c:v>
                </c:pt>
                <c:pt idx="80">
                  <c:v>6.4610348371420434</c:v>
                </c:pt>
                <c:pt idx="81">
                  <c:v>6.6422972369863622</c:v>
                </c:pt>
                <c:pt idx="82">
                  <c:v>6.8263261270482394</c:v>
                </c:pt>
                <c:pt idx="83">
                  <c:v>7.0131126043299465</c:v>
                </c:pt>
                <c:pt idx="84">
                  <c:v>7.2026476472207586</c:v>
                </c:pt>
                <c:pt idx="85">
                  <c:v>7.3949221178238824</c:v>
                </c:pt>
                <c:pt idx="86">
                  <c:v>7.5899283535672906</c:v>
                </c:pt>
                <c:pt idx="87">
                  <c:v>7.7876665455950747</c:v>
                </c:pt>
                <c:pt idx="88">
                  <c:v>7.988143182677538</c:v>
                </c:pt>
                <c:pt idx="89">
                  <c:v>8.1913647075470202</c:v>
                </c:pt>
                <c:pt idx="90">
                  <c:v>8.3973375175802971</c:v>
                </c:pt>
                <c:pt idx="91">
                  <c:v>8.6060679654556385</c:v>
                </c:pt>
                <c:pt idx="92">
                  <c:v>8.817562359785649</c:v>
                </c:pt>
                <c:pt idx="93">
                  <c:v>9.0318269657269781</c:v>
                </c:pt>
                <c:pt idx="94">
                  <c:v>9.2488680055679104</c:v>
                </c:pt>
                <c:pt idx="95">
                  <c:v>9.4686916592947963</c:v>
                </c:pt>
                <c:pt idx="96">
                  <c:v>9.6913040651382314</c:v>
                </c:pt>
                <c:pt idx="97">
                  <c:v>9.9167113200998571</c:v>
                </c:pt>
                <c:pt idx="98">
                  <c:v>10.144919480460596</c:v>
                </c:pt>
                <c:pt idx="99">
                  <c:v>10.375934562271096</c:v>
                </c:pt>
                <c:pt idx="100">
                  <c:v>10.609762541825125</c:v>
                </c:pt>
                <c:pt idx="101">
                  <c:v>10.84640935611661</c:v>
                </c:pt>
                <c:pt idx="102">
                  <c:v>11.085880903281002</c:v>
                </c:pt>
                <c:pt idx="103">
                  <c:v>11.328183043021577</c:v>
                </c:pt>
                <c:pt idx="104">
                  <c:v>11.573321597021298</c:v>
                </c:pt>
                <c:pt idx="105">
                  <c:v>11.821302349340794</c:v>
                </c:pt>
                <c:pt idx="106">
                  <c:v>12.07213104680301</c:v>
                </c:pt>
                <c:pt idx="107">
                  <c:v>12.32581339936505</c:v>
                </c:pt>
                <c:pt idx="108">
                  <c:v>12.582355080477701</c:v>
                </c:pt>
                <c:pt idx="109">
                  <c:v>12.841761727433127</c:v>
                </c:pt>
                <c:pt idx="110">
                  <c:v>13.104038941701162</c:v>
                </c:pt>
                <c:pt idx="111">
                  <c:v>13.36919228925465</c:v>
                </c:pt>
                <c:pt idx="112">
                  <c:v>13.637227300884238</c:v>
                </c:pt>
                <c:pt idx="113">
                  <c:v>13.908149472503014</c:v>
                </c:pt>
                <c:pt idx="114">
                  <c:v>14.181964265441374</c:v>
                </c:pt>
                <c:pt idx="115">
                  <c:v>14.458677106732464</c:v>
                </c:pt>
                <c:pt idx="116">
                  <c:v>14.73829338938855</c:v>
                </c:pt>
                <c:pt idx="117">
                  <c:v>15.020818472668644</c:v>
                </c:pt>
                <c:pt idx="118">
                  <c:v>15.3062576823377</c:v>
                </c:pt>
                <c:pt idx="119">
                  <c:v>15.594616310917683</c:v>
                </c:pt>
                <c:pt idx="120">
                  <c:v>15.885899617930805</c:v>
                </c:pt>
                <c:pt idx="121">
                  <c:v>16.18011283013519</c:v>
                </c:pt>
                <c:pt idx="122">
                  <c:v>16.477261141753253</c:v>
                </c:pt>
                <c:pt idx="123">
                  <c:v>16.777349714693035</c:v>
                </c:pt>
                <c:pt idx="124">
                  <c:v>17.080383678762747</c:v>
                </c:pt>
                <c:pt idx="125">
                  <c:v>17.386368131878751</c:v>
                </c:pt>
                <c:pt idx="126">
                  <c:v>17.695308140267215</c:v>
                </c:pt>
                <c:pt idx="127">
                  <c:v>18.007208738659646</c:v>
                </c:pt>
                <c:pt idx="128">
                  <c:v>18.322074930482511</c:v>
                </c:pt>
                <c:pt idx="129">
                  <c:v>18.63991168804116</c:v>
                </c:pt>
                <c:pt idx="130">
                  <c:v>18.960723952698231</c:v>
                </c:pt>
                <c:pt idx="131">
                  <c:v>19.284516635046725</c:v>
                </c:pt>
                <c:pt idx="132">
                  <c:v>19.611294615077934</c:v>
                </c:pt>
                <c:pt idx="133">
                  <c:v>19.941062742344386</c:v>
                </c:pt>
                <c:pt idx="134">
                  <c:v>20.273825836117982</c:v>
                </c:pt>
                <c:pt idx="135">
                  <c:v>20.609588685543482</c:v>
                </c:pt>
                <c:pt idx="136">
                  <c:v>20.948356049787478</c:v>
                </c:pt>
                <c:pt idx="137">
                  <c:v>21.29013265818303</c:v>
                </c:pt>
                <c:pt idx="138">
                  <c:v>21.634923210370093</c:v>
                </c:pt>
                <c:pt idx="139">
                  <c:v>21.982732376431859</c:v>
                </c:pt>
                <c:pt idx="140">
                  <c:v>22.333564797027179</c:v>
                </c:pt>
                <c:pt idx="141">
                  <c:v>22.687425083519162</c:v>
                </c:pt>
                <c:pt idx="142">
                  <c:v>23.044317818100094</c:v>
                </c:pt>
                <c:pt idx="143">
                  <c:v>23.404247553912789</c:v>
                </c:pt>
                <c:pt idx="144">
                  <c:v>23.767218815168494</c:v>
                </c:pt>
                <c:pt idx="145">
                  <c:v>24.133236097261445</c:v>
                </c:pt>
                <c:pt idx="146">
                  <c:v>24.502303866880201</c:v>
                </c:pt>
                <c:pt idx="147">
                  <c:v>24.87442656211584</c:v>
                </c:pt>
                <c:pt idx="148">
                  <c:v>25.249608592567142</c:v>
                </c:pt>
                <c:pt idx="149">
                  <c:v>25.62785433944283</c:v>
                </c:pt>
                <c:pt idx="150">
                  <c:v>26.009168155660991</c:v>
                </c:pt>
                <c:pt idx="151">
                  <c:v>26.393554365945729</c:v>
                </c:pt>
                <c:pt idx="152">
                  <c:v>26.781017266921186</c:v>
                </c:pt>
                <c:pt idx="153">
                  <c:v>27.171561127202992</c:v>
                </c:pt>
                <c:pt idx="154">
                  <c:v>27.565190187487204</c:v>
                </c:pt>
                <c:pt idx="155">
                  <c:v>27.961908660636862</c:v>
                </c:pt>
                <c:pt idx="156">
                  <c:v>28.361720731766216</c:v>
                </c:pt>
                <c:pt idx="157">
                  <c:v>28.764630558322672</c:v>
                </c:pt>
                <c:pt idx="158">
                  <c:v>29.170642270166596</c:v>
                </c:pt>
                <c:pt idx="159">
                  <c:v>29.579759969648968</c:v>
                </c:pt>
                <c:pt idx="160">
                  <c:v>29.991987731687029</c:v>
                </c:pt>
                <c:pt idx="161">
                  <c:v>30.407329603837926</c:v>
                </c:pt>
                <c:pt idx="162">
                  <c:v>30.825789606370456</c:v>
                </c:pt>
                <c:pt idx="163">
                  <c:v>31.247371732334972</c:v>
                </c:pt>
                <c:pt idx="164">
                  <c:v>31.672079947631481</c:v>
                </c:pt>
                <c:pt idx="165">
                  <c:v>32.099918191076029</c:v>
                </c:pt>
                <c:pt idx="166">
                  <c:v>32.530890374465407</c:v>
                </c:pt>
                <c:pt idx="167">
                  <c:v>32.965000382640248</c:v>
                </c:pt>
                <c:pt idx="168">
                  <c:v>33.402252073546556</c:v>
                </c:pt>
                <c:pt idx="169">
                  <c:v>33.842649278295724</c:v>
                </c:pt>
                <c:pt idx="170">
                  <c:v>34.286195801223101</c:v>
                </c:pt>
                <c:pt idx="171">
                  <c:v>34.732895419945145</c:v>
                </c:pt>
                <c:pt idx="172">
                  <c:v>35.182751885415229</c:v>
                </c:pt>
                <c:pt idx="173">
                  <c:v>35.635768921978098</c:v>
                </c:pt>
                <c:pt idx="174">
                  <c:v>36.091950227423105</c:v>
                </c:pt>
                <c:pt idx="175">
                  <c:v>36.551299473036188</c:v>
                </c:pt>
                <c:pt idx="176">
                  <c:v>37.013820303650675</c:v>
                </c:pt>
                <c:pt idx="177">
                  <c:v>37.47951633769695</c:v>
                </c:pt>
                <c:pt idx="178">
                  <c:v>37.948391167251046</c:v>
                </c:pt>
                <c:pt idx="179">
                  <c:v>38.420448358082133</c:v>
                </c:pt>
                <c:pt idx="180">
                  <c:v>38.895691449699015</c:v>
                </c:pt>
                <c:pt idx="181">
                  <c:v>39.374123955395653</c:v>
                </c:pt>
                <c:pt idx="182">
                  <c:v>39.855749362295718</c:v>
                </c:pt>
                <c:pt idx="183">
                  <c:v>40.340571131396246</c:v>
                </c:pt>
                <c:pt idx="184">
                  <c:v>40.828592697610418</c:v>
                </c:pt>
                <c:pt idx="185">
                  <c:v>41.319817469809507</c:v>
                </c:pt>
                <c:pt idx="186">
                  <c:v>41.814248830864003</c:v>
                </c:pt>
                <c:pt idx="187">
                  <c:v>42.311890137683967</c:v>
                </c:pt>
                <c:pt idx="188">
                  <c:v>42.812744721258639</c:v>
                </c:pt>
                <c:pt idx="189">
                  <c:v>43.316815886695331</c:v>
                </c:pt>
                <c:pt idx="190">
                  <c:v>43.824106913257637</c:v>
                </c:pt>
                <c:pt idx="191">
                  <c:v>44.334621054403009</c:v>
                </c:pt>
                <c:pt idx="192">
                  <c:v>44.848361537819656</c:v>
                </c:pt>
                <c:pt idx="193">
                  <c:v>45.365331565462881</c:v>
                </c:pt>
                <c:pt idx="194">
                  <c:v>45.885534313590853</c:v>
                </c:pt>
                <c:pt idx="195">
                  <c:v>46.408972932799784</c:v>
                </c:pt>
                <c:pt idx="196">
                  <c:v>46.935650548058653</c:v>
                </c:pt>
                <c:pt idx="197">
                  <c:v>47.465570258743384</c:v>
                </c:pt>
                <c:pt idx="198">
                  <c:v>47.998735138670547</c:v>
                </c:pt>
                <c:pt idx="199">
                  <c:v>48.535148236130659</c:v>
                </c:pt>
                <c:pt idx="200">
                  <c:v>49.074812573921029</c:v>
                </c:pt>
                <c:pt idx="201">
                  <c:v>49.617731149378194</c:v>
                </c:pt>
                <c:pt idx="202">
                  <c:v>50.163906934409987</c:v>
                </c:pt>
                <c:pt idx="203">
                  <c:v>50.713342875527253</c:v>
                </c:pt>
                <c:pt idx="204">
                  <c:v>51.266041893875226</c:v>
                </c:pt>
                <c:pt idx="205">
                  <c:v>51.822006885264578</c:v>
                </c:pt>
                <c:pt idx="206">
                  <c:v>52.381240720202172</c:v>
                </c:pt>
                <c:pt idx="207">
                  <c:v>52.943746243921559</c:v>
                </c:pt>
                <c:pt idx="208">
                  <c:v>53.50952627641319</c:v>
                </c:pt>
                <c:pt idx="209">
                  <c:v>54.078583612454423</c:v>
                </c:pt>
                <c:pt idx="210">
                  <c:v>54.650921021639263</c:v>
                </c:pt>
                <c:pt idx="211">
                  <c:v>55.226541248407955</c:v>
                </c:pt>
                <c:pt idx="212">
                  <c:v>55.805447012076343</c:v>
                </c:pt>
                <c:pt idx="213">
                  <c:v>56.387641006865081</c:v>
                </c:pt>
                <c:pt idx="214">
                  <c:v>56.973125901928711</c:v>
                </c:pt>
                <c:pt idx="215">
                  <c:v>57.561904341384569</c:v>
                </c:pt>
                <c:pt idx="216">
                  <c:v>58.153978944341596</c:v>
                </c:pt>
                <c:pt idx="217">
                  <c:v>58.749352304929047</c:v>
                </c:pt>
                <c:pt idx="218">
                  <c:v>59.34802699232511</c:v>
                </c:pt>
                <c:pt idx="219">
                  <c:v>59.95000555078542</c:v>
                </c:pt>
                <c:pt idx="220">
                  <c:v>60.555290499671564</c:v>
                </c:pt>
                <c:pt idx="221">
                  <c:v>61.163884333479515</c:v>
                </c:pt>
                <c:pt idx="222">
                  <c:v>61.775789521868035</c:v>
                </c:pt>
                <c:pt idx="223">
                  <c:v>62.391008509687062</c:v>
                </c:pt>
                <c:pt idx="224">
                  <c:v>63.009543717006096</c:v>
                </c:pt>
                <c:pt idx="225">
                  <c:v>63.63139753914259</c:v>
                </c:pt>
                <c:pt idx="226">
                  <c:v>64.256572346690376</c:v>
                </c:pt>
                <c:pt idx="227">
                  <c:v>64.885070485548098</c:v>
                </c:pt>
                <c:pt idx="228">
                  <c:v>65.51689427694771</c:v>
                </c:pt>
                <c:pt idx="229">
                  <c:v>66.152046017483045</c:v>
                </c:pt>
                <c:pt idx="230">
                  <c:v>66.790527979138417</c:v>
                </c:pt>
                <c:pt idx="231">
                  <c:v>67.432342409317329</c:v>
                </c:pt>
                <c:pt idx="232">
                  <c:v>68.077491530871271</c:v>
                </c:pt>
                <c:pt idx="233">
                  <c:v>68.725977542128632</c:v>
                </c:pt>
                <c:pt idx="234">
                  <c:v>69.37780261692366</c:v>
                </c:pt>
                <c:pt idx="235">
                  <c:v>70.032968904625662</c:v>
                </c:pt>
                <c:pt idx="236">
                  <c:v>70.691478530168197</c:v>
                </c:pt>
                <c:pt idx="237">
                  <c:v>71.353333594078563</c:v>
                </c:pt>
                <c:pt idx="238">
                  <c:v>72.018536172507297</c:v>
                </c:pt>
                <c:pt idx="239">
                  <c:v>72.687088317257917</c:v>
                </c:pt>
                <c:pt idx="240">
                  <c:v>73.358992055816827</c:v>
                </c:pt>
                <c:pt idx="241">
                  <c:v>74.034249391383398</c:v>
                </c:pt>
                <c:pt idx="242">
                  <c:v>74.71286230290022</c:v>
                </c:pt>
                <c:pt idx="243">
                  <c:v>75.394832745083548</c:v>
                </c:pt>
                <c:pt idx="244">
                  <c:v>76.080170213554823</c:v>
                </c:pt>
                <c:pt idx="245">
                  <c:v>76.768891754716208</c:v>
                </c:pt>
                <c:pt idx="246">
                  <c:v>77.461014410392096</c:v>
                </c:pt>
                <c:pt idx="247">
                  <c:v>78.156555217592967</c:v>
                </c:pt>
                <c:pt idx="248">
                  <c:v>78.855531208278393</c:v>
                </c:pt>
                <c:pt idx="249">
                  <c:v>79.557959409119135</c:v>
                </c:pt>
                <c:pt idx="250">
                  <c:v>80.263856841258473</c:v>
                </c:pt>
                <c:pt idx="251">
                  <c:v>80.973240520072665</c:v>
                </c:pt>
                <c:pt idx="252">
                  <c:v>81.686127454930542</c:v>
                </c:pt>
                <c:pt idx="253">
                  <c:v>82.402530440595655</c:v>
                </c:pt>
                <c:pt idx="254">
                  <c:v>83.1224538382003</c:v>
                </c:pt>
                <c:pt idx="255">
                  <c:v>83.845897772632611</c:v>
                </c:pt>
                <c:pt idx="256">
                  <c:v>84.57286234051314</c:v>
                </c:pt>
                <c:pt idx="257">
                  <c:v>85.303347610277086</c:v>
                </c:pt>
                <c:pt idx="258">
                  <c:v>86.037353622256731</c:v>
                </c:pt>
                <c:pt idx="259">
                  <c:v>86.77488038876416</c:v>
                </c:pt>
                <c:pt idx="260">
                  <c:v>87.515927894174226</c:v>
                </c:pt>
                <c:pt idx="261">
                  <c:v>88.260496095007781</c:v>
                </c:pt>
                <c:pt idx="262">
                  <c:v>89.008584920015167</c:v>
                </c:pt>
                <c:pt idx="263">
                  <c:v>89.760194270259973</c:v>
                </c:pt>
                <c:pt idx="264">
                  <c:v>90.515324019203121</c:v>
                </c:pt>
                <c:pt idx="265">
                  <c:v>91.273974012787221</c:v>
                </c:pt>
                <c:pt idx="266">
                  <c:v>92.036144069521185</c:v>
                </c:pt>
                <c:pt idx="267">
                  <c:v>92.801833980565192</c:v>
                </c:pt>
                <c:pt idx="268">
                  <c:v>93.571043509815951</c:v>
                </c:pt>
                <c:pt idx="269">
                  <c:v>94.343772393992282</c:v>
                </c:pt>
                <c:pt idx="270">
                  <c:v>95.120020342720949</c:v>
                </c:pt>
                <c:pt idx="271">
                  <c:v>95.899787038622918</c:v>
                </c:pt>
                <c:pt idx="272">
                  <c:v>96.68307213739989</c:v>
                </c:pt>
                <c:pt idx="273">
                  <c:v>97.46987526792114</c:v>
                </c:pt>
                <c:pt idx="274">
                  <c:v>98.260196032310745</c:v>
                </c:pt>
                <c:pt idx="275">
                  <c:v>99.054034006035124</c:v>
                </c:pt>
                <c:pt idx="276">
                  <c:v>99.851388737990888</c:v>
                </c:pt>
                <c:pt idx="277">
                  <c:v>100.65225954266246</c:v>
                </c:pt>
                <c:pt idx="278">
                  <c:v>101.45664518773938</c:v>
                </c:pt>
                <c:pt idx="279">
                  <c:v>102.26454410161674</c:v>
                </c:pt>
                <c:pt idx="280">
                  <c:v>103.07595468545098</c:v>
                </c:pt>
                <c:pt idx="281">
                  <c:v>103.89087531327883</c:v>
                </c:pt>
                <c:pt idx="282">
                  <c:v>104.70930433213628</c:v>
                </c:pt>
                <c:pt idx="283">
                  <c:v>105.53124006217813</c:v>
                </c:pt>
                <c:pt idx="284">
                  <c:v>106.35668079679756</c:v>
                </c:pt>
                <c:pt idx="285">
                  <c:v>107.18562480274622</c:v>
                </c:pt>
                <c:pt idx="286">
                  <c:v>108.01807032025449</c:v>
                </c:pt>
                <c:pt idx="287">
                  <c:v>108.85401556315209</c:v>
                </c:pt>
                <c:pt idx="288">
                  <c:v>109.69345871898894</c:v>
                </c:pt>
                <c:pt idx="289">
                  <c:v>110.53639794915637</c:v>
                </c:pt>
                <c:pt idx="290">
                  <c:v>111.38283138900866</c:v>
                </c:pt>
                <c:pt idx="291">
                  <c:v>112.23275714798476</c:v>
                </c:pt>
                <c:pt idx="292">
                  <c:v>113.08617330973044</c:v>
                </c:pt>
                <c:pt idx="293">
                  <c:v>113.9430779322207</c:v>
                </c:pt>
                <c:pt idx="294">
                  <c:v>114.80346904788243</c:v>
                </c:pt>
                <c:pt idx="295">
                  <c:v>115.66734466371746</c:v>
                </c:pt>
                <c:pt idx="296">
                  <c:v>116.53470276142582</c:v>
                </c:pt>
                <c:pt idx="297">
                  <c:v>117.4055412975294</c:v>
                </c:pt>
                <c:pt idx="298">
                  <c:v>118.27985820349585</c:v>
                </c:pt>
                <c:pt idx="299">
                  <c:v>119.15765138586278</c:v>
                </c:pt>
                <c:pt idx="300">
                  <c:v>120.03891872636227</c:v>
                </c:pt>
                <c:pt idx="301">
                  <c:v>120.9236580820457</c:v>
                </c:pt>
                <c:pt idx="302">
                  <c:v>121.81186728540887</c:v>
                </c:pt>
                <c:pt idx="303">
                  <c:v>122.70354414451734</c:v>
                </c:pt>
                <c:pt idx="304">
                  <c:v>123.59868644313221</c:v>
                </c:pt>
                <c:pt idx="305">
                  <c:v>124.49729194083609</c:v>
                </c:pt>
                <c:pt idx="306">
                  <c:v>125.39935837315939</c:v>
                </c:pt>
                <c:pt idx="307">
                  <c:v>126.30488345170684</c:v>
                </c:pt>
                <c:pt idx="308">
                  <c:v>127.21386486428447</c:v>
                </c:pt>
                <c:pt idx="309">
                  <c:v>128.12630027502667</c:v>
                </c:pt>
                <c:pt idx="310">
                  <c:v>129.04218732452367</c:v>
                </c:pt>
                <c:pt idx="311">
                  <c:v>129.96152362994926</c:v>
                </c:pt>
                <c:pt idx="312">
                  <c:v>130.88430678518878</c:v>
                </c:pt>
                <c:pt idx="313">
                  <c:v>131.81053436096744</c:v>
                </c:pt>
                <c:pt idx="314">
                  <c:v>132.74020390497881</c:v>
                </c:pt>
                <c:pt idx="315">
                  <c:v>133.67331294201369</c:v>
                </c:pt>
                <c:pt idx="316">
                  <c:v>134.60985897408924</c:v>
                </c:pt>
                <c:pt idx="317">
                  <c:v>135.5498394805783</c:v>
                </c:pt>
                <c:pt idx="318">
                  <c:v>136.49325191833904</c:v>
                </c:pt>
                <c:pt idx="319">
                  <c:v>137.44009372184487</c:v>
                </c:pt>
                <c:pt idx="320">
                  <c:v>138.39036230331459</c:v>
                </c:pt>
                <c:pt idx="321">
                  <c:v>139.34405505284275</c:v>
                </c:pt>
                <c:pt idx="322">
                  <c:v>140.30116933853043</c:v>
                </c:pt>
                <c:pt idx="323">
                  <c:v>141.26170250661607</c:v>
                </c:pt>
                <c:pt idx="324">
                  <c:v>142.22565188160664</c:v>
                </c:pt>
                <c:pt idx="325">
                  <c:v>143.19301476640905</c:v>
                </c:pt>
                <c:pt idx="326">
                  <c:v>144.16378844246179</c:v>
                </c:pt>
                <c:pt idx="327">
                  <c:v>145.13797016986686</c:v>
                </c:pt>
                <c:pt idx="328">
                  <c:v>146.11555718752183</c:v>
                </c:pt>
                <c:pt idx="329">
                  <c:v>147.09654671325217</c:v>
                </c:pt>
                <c:pt idx="330">
                  <c:v>148.08093594394387</c:v>
                </c:pt>
                <c:pt idx="331">
                  <c:v>149.06872205567618</c:v>
                </c:pt>
                <c:pt idx="332">
                  <c:v>150.05990220385465</c:v>
                </c:pt>
                <c:pt idx="333">
                  <c:v>151.05447352334434</c:v>
                </c:pt>
                <c:pt idx="334">
                  <c:v>152.05243312860324</c:v>
                </c:pt>
                <c:pt idx="335">
                  <c:v>153.05377811381589</c:v>
                </c:pt>
                <c:pt idx="336">
                  <c:v>154.05850555302726</c:v>
                </c:pt>
                <c:pt idx="337">
                  <c:v>155.06661250027673</c:v>
                </c:pt>
                <c:pt idx="338">
                  <c:v>156.07809598973239</c:v>
                </c:pt>
                <c:pt idx="339">
                  <c:v>157.09295303582533</c:v>
                </c:pt>
                <c:pt idx="340">
                  <c:v>158.11118063338441</c:v>
                </c:pt>
                <c:pt idx="341">
                  <c:v>159.13277575777084</c:v>
                </c:pt>
                <c:pt idx="342">
                  <c:v>160.15773536501334</c:v>
                </c:pt>
                <c:pt idx="343">
                  <c:v>161.18605639194305</c:v>
                </c:pt>
                <c:pt idx="344">
                  <c:v>162.21773593833291</c:v>
                </c:pt>
                <c:pt idx="345">
                  <c:v>163.25277290698949</c:v>
                </c:pt>
                <c:pt idx="346">
                  <c:v>164.29116782244193</c:v>
                </c:pt>
                <c:pt idx="347">
                  <c:v>165.33292119163514</c:v>
                </c:pt>
                <c:pt idx="348">
                  <c:v>166.37803350397974</c:v>
                </c:pt>
                <c:pt idx="349">
                  <c:v>167.42650523140244</c:v>
                </c:pt>
                <c:pt idx="350">
                  <c:v>168.47833682839681</c:v>
                </c:pt>
                <c:pt idx="351">
                  <c:v>169.53352873207436</c:v>
                </c:pt>
                <c:pt idx="352">
                  <c:v>170.59208136221633</c:v>
                </c:pt>
                <c:pt idx="353">
                  <c:v>171.65399512132552</c:v>
                </c:pt>
                <c:pt idx="354">
                  <c:v>172.7192703946788</c:v>
                </c:pt>
                <c:pt idx="355">
                  <c:v>173.78790755037988</c:v>
                </c:pt>
                <c:pt idx="356">
                  <c:v>174.85990693941261</c:v>
                </c:pt>
                <c:pt idx="357">
                  <c:v>175.93526889569452</c:v>
                </c:pt>
                <c:pt idx="358">
                  <c:v>177.01399373613097</c:v>
                </c:pt>
                <c:pt idx="359">
                  <c:v>178.09608176066945</c:v>
                </c:pt>
                <c:pt idx="360">
                  <c:v>179.18153325235457</c:v>
                </c:pt>
                <c:pt idx="361">
                  <c:v>180.27034847738321</c:v>
                </c:pt>
                <c:pt idx="362">
                  <c:v>181.36252768516019</c:v>
                </c:pt>
                <c:pt idx="363">
                  <c:v>182.45807110835429</c:v>
                </c:pt>
                <c:pt idx="364">
                  <c:v>183.55697896295464</c:v>
                </c:pt>
                <c:pt idx="365">
                  <c:v>184.65925144832767</c:v>
                </c:pt>
                <c:pt idx="366">
                  <c:v>185.76488874727414</c:v>
                </c:pt>
                <c:pt idx="367">
                  <c:v>186.87389102608688</c:v>
                </c:pt>
                <c:pt idx="368">
                  <c:v>187.98625843460871</c:v>
                </c:pt>
                <c:pt idx="369">
                  <c:v>189.10199110629088</c:v>
                </c:pt>
                <c:pt idx="370">
                  <c:v>190.22108915825169</c:v>
                </c:pt>
                <c:pt idx="371">
                  <c:v>191.34355269133579</c:v>
                </c:pt>
                <c:pt idx="372">
                  <c:v>192.46938179017357</c:v>
                </c:pt>
                <c:pt idx="373">
                  <c:v>193.59857531268571</c:v>
                </c:pt>
                <c:pt idx="374">
                  <c:v>194.73113089003752</c:v>
                </c:pt>
                <c:pt idx="375">
                  <c:v>195.86704613717623</c:v>
                </c:pt>
                <c:pt idx="376">
                  <c:v>197.00631865294613</c:v>
                </c:pt>
                <c:pt idx="377">
                  <c:v>198.14894602020391</c:v>
                </c:pt>
                <c:pt idx="378">
                  <c:v>199.29492580593416</c:v>
                </c:pt>
                <c:pt idx="379">
                  <c:v>200.444255561365</c:v>
                </c:pt>
                <c:pt idx="380">
                  <c:v>201.59693282208403</c:v>
                </c:pt>
                <c:pt idx="381">
                  <c:v>202.75295510815423</c:v>
                </c:pt>
                <c:pt idx="382">
                  <c:v>203.91231992423013</c:v>
                </c:pt>
                <c:pt idx="383">
                  <c:v>205.07502475967422</c:v>
                </c:pt>
                <c:pt idx="384">
                  <c:v>206.24106708867333</c:v>
                </c:pt>
                <c:pt idx="385">
                  <c:v>207.41044437035529</c:v>
                </c:pt>
                <c:pt idx="386">
                  <c:v>208.58315404890564</c:v>
                </c:pt>
                <c:pt idx="387">
                  <c:v>209.75919355368453</c:v>
                </c:pt>
                <c:pt idx="388">
                  <c:v>210.93856029934378</c:v>
                </c:pt>
                <c:pt idx="389">
                  <c:v>212.12125168594397</c:v>
                </c:pt>
                <c:pt idx="390">
                  <c:v>213.30726509907177</c:v>
                </c:pt>
                <c:pt idx="391">
                  <c:v>214.49659790995727</c:v>
                </c:pt>
                <c:pt idx="392">
                  <c:v>215.68924747559149</c:v>
                </c:pt>
                <c:pt idx="393">
                  <c:v>216.88521113884397</c:v>
                </c:pt>
                <c:pt idx="394">
                  <c:v>218.08448622858054</c:v>
                </c:pt>
                <c:pt idx="395">
                  <c:v>219.28707005978109</c:v>
                </c:pt>
                <c:pt idx="396">
                  <c:v>220.49295993365743</c:v>
                </c:pt>
                <c:pt idx="397">
                  <c:v>221.7021531377714</c:v>
                </c:pt>
                <c:pt idx="398">
                  <c:v>222.91464694615283</c:v>
                </c:pt>
                <c:pt idx="399">
                  <c:v>224.1304386194177</c:v>
                </c:pt>
                <c:pt idx="400">
                  <c:v>225.34952540488649</c:v>
                </c:pt>
                <c:pt idx="401">
                  <c:v>226.57190453670236</c:v>
                </c:pt>
                <c:pt idx="402">
                  <c:v>227.79757323594959</c:v>
                </c:pt>
                <c:pt idx="403">
                  <c:v>229.02652871077194</c:v>
                </c:pt>
                <c:pt idx="404">
                  <c:v>230.25876815649127</c:v>
                </c:pt>
                <c:pt idx="405">
                  <c:v>231.49428875572593</c:v>
                </c:pt>
                <c:pt idx="406">
                  <c:v>232.73308767850943</c:v>
                </c:pt>
                <c:pt idx="407">
                  <c:v>233.97516208240907</c:v>
                </c:pt>
                <c:pt idx="408">
                  <c:v>235.22050911264461</c:v>
                </c:pt>
                <c:pt idx="409">
                  <c:v>236.4691245086307</c:v>
                </c:pt>
                <c:pt idx="410">
                  <c:v>237.72100225562485</c:v>
                </c:pt>
                <c:pt idx="411">
                  <c:v>238.97613597887371</c:v>
                </c:pt>
                <c:pt idx="412">
                  <c:v>240.2345192926955</c:v>
                </c:pt>
                <c:pt idx="413">
                  <c:v>241.49614580068109</c:v>
                </c:pt>
                <c:pt idx="414">
                  <c:v>242.76100909589476</c:v>
                </c:pt>
                <c:pt idx="415">
                  <c:v>244.0291027610744</c:v>
                </c:pt>
                <c:pt idx="416">
                  <c:v>245.30042036883111</c:v>
                </c:pt>
                <c:pt idx="417">
                  <c:v>246.57495548184841</c:v>
                </c:pt>
                <c:pt idx="418">
                  <c:v>247.85270165308086</c:v>
                </c:pt>
                <c:pt idx="419">
                  <c:v>249.13365242595208</c:v>
                </c:pt>
                <c:pt idx="420">
                  <c:v>250.41780133455239</c:v>
                </c:pt>
                <c:pt idx="421">
                  <c:v>251.70514190383571</c:v>
                </c:pt>
                <c:pt idx="422">
                  <c:v>252.99566764981597</c:v>
                </c:pt>
                <c:pt idx="423">
                  <c:v>254.28937207976304</c:v>
                </c:pt>
                <c:pt idx="424">
                  <c:v>255.58624869239796</c:v>
                </c:pt>
                <c:pt idx="425">
                  <c:v>256.88629097808763</c:v>
                </c:pt>
                <c:pt idx="426">
                  <c:v>258.18949241903903</c:v>
                </c:pt>
                <c:pt idx="427">
                  <c:v>259.49584648949252</c:v>
                </c:pt>
                <c:pt idx="428">
                  <c:v>260.805346655915</c:v>
                </c:pt>
                <c:pt idx="429">
                  <c:v>262.11798637719198</c:v>
                </c:pt>
                <c:pt idx="430">
                  <c:v>263.43375910481944</c:v>
                </c:pt>
                <c:pt idx="431">
                  <c:v>264.75265828309483</c:v>
                </c:pt>
                <c:pt idx="432">
                  <c:v>266.07467734930742</c:v>
                </c:pt>
                <c:pt idx="433">
                  <c:v>267.39980973392824</c:v>
                </c:pt>
                <c:pt idx="434">
                  <c:v>268.72804886079916</c:v>
                </c:pt>
                <c:pt idx="435">
                  <c:v>270.05938814732133</c:v>
                </c:pt>
                <c:pt idx="436">
                  <c:v>271.39382100464303</c:v>
                </c:pt>
                <c:pt idx="437">
                  <c:v>272.73134083784703</c:v>
                </c:pt>
                <c:pt idx="438">
                  <c:v>274.07194104613683</c:v>
                </c:pt>
                <c:pt idx="439">
                  <c:v>275.41561502302272</c:v>
                </c:pt>
                <c:pt idx="440">
                  <c:v>276.76235615650683</c:v>
                </c:pt>
                <c:pt idx="441">
                  <c:v>278.11215782926752</c:v>
                </c:pt>
                <c:pt idx="442">
                  <c:v>279.46501341884334</c:v>
                </c:pt>
                <c:pt idx="443">
                  <c:v>280.82091629781593</c:v>
                </c:pt>
                <c:pt idx="444">
                  <c:v>282.17985983399251</c:v>
                </c:pt>
                <c:pt idx="445">
                  <c:v>283.54183739058743</c:v>
                </c:pt>
                <c:pt idx="446">
                  <c:v>284.90684232640319</c:v>
                </c:pt>
                <c:pt idx="447">
                  <c:v>286.27486799601058</c:v>
                </c:pt>
                <c:pt idx="448">
                  <c:v>287.64590774992826</c:v>
                </c:pt>
                <c:pt idx="449">
                  <c:v>289.01995493480143</c:v>
                </c:pt>
                <c:pt idx="450">
                  <c:v>290.3970028935799</c:v>
                </c:pt>
                <c:pt idx="451">
                  <c:v>291.77704496569538</c:v>
                </c:pt>
                <c:pt idx="452">
                  <c:v>293.16007448723786</c:v>
                </c:pt>
                <c:pt idx="453">
                  <c:v>294.54608479113159</c:v>
                </c:pt>
                <c:pt idx="454">
                  <c:v>295.93506920730994</c:v>
                </c:pt>
                <c:pt idx="455">
                  <c:v>297.32702106288968</c:v>
                </c:pt>
                <c:pt idx="456">
                  <c:v>298.72193368234451</c:v>
                </c:pt>
                <c:pt idx="457">
                  <c:v>300.11980038767763</c:v>
                </c:pt>
                <c:pt idx="458">
                  <c:v>301.52061449859377</c:v>
                </c:pt>
                <c:pt idx="459">
                  <c:v>302.92436933267032</c:v>
                </c:pt>
                <c:pt idx="460">
                  <c:v>304.33105820552771</c:v>
                </c:pt>
                <c:pt idx="461">
                  <c:v>305.74067443099881</c:v>
                </c:pt>
                <c:pt idx="462">
                  <c:v>307.15321132129787</c:v>
                </c:pt>
                <c:pt idx="463">
                  <c:v>308.56866218718835</c:v>
                </c:pt>
                <c:pt idx="464">
                  <c:v>309.98702033815022</c:v>
                </c:pt>
                <c:pt idx="465">
                  <c:v>311.40827908254619</c:v>
                </c:pt>
                <c:pt idx="466">
                  <c:v>312.8324317277872</c:v>
                </c:pt>
                <c:pt idx="467">
                  <c:v>314.25947158049729</c:v>
                </c:pt>
                <c:pt idx="468">
                  <c:v>315.68939194667735</c:v>
                </c:pt>
                <c:pt idx="469">
                  <c:v>317.12218613186826</c:v>
                </c:pt>
                <c:pt idx="470">
                  <c:v>318.55784744131307</c:v>
                </c:pt>
                <c:pt idx="471">
                  <c:v>319.99636918011845</c:v>
                </c:pt>
                <c:pt idx="472">
                  <c:v>321.43774465341522</c:v>
                </c:pt>
                <c:pt idx="473">
                  <c:v>322.88196716651817</c:v>
                </c:pt>
                <c:pt idx="474">
                  <c:v>324.32903002508476</c:v>
                </c:pt>
                <c:pt idx="475">
                  <c:v>325.77892653527334</c:v>
                </c:pt>
                <c:pt idx="476">
                  <c:v>327.2316500039002</c:v>
                </c:pt>
                <c:pt idx="477">
                  <c:v>328.68719373859602</c:v>
                </c:pt>
                <c:pt idx="478">
                  <c:v>330.14555104796125</c:v>
                </c:pt>
                <c:pt idx="479">
                  <c:v>331.60671524172074</c:v>
                </c:pt>
                <c:pt idx="480">
                  <c:v>333.07067963087758</c:v>
                </c:pt>
                <c:pt idx="481">
                  <c:v>334.53743752786585</c:v>
                </c:pt>
                <c:pt idx="482">
                  <c:v>336.00698224670276</c:v>
                </c:pt>
                <c:pt idx="483">
                  <c:v>337.47930710313972</c:v>
                </c:pt>
                <c:pt idx="484">
                  <c:v>338.95440541481258</c:v>
                </c:pt>
                <c:pt idx="485">
                  <c:v>340.4322705013912</c:v>
                </c:pt>
                <c:pt idx="486">
                  <c:v>341.9128956847278</c:v>
                </c:pt>
                <c:pt idx="487">
                  <c:v>343.39627428900468</c:v>
                </c:pt>
                <c:pt idx="488">
                  <c:v>344.88239964088092</c:v>
                </c:pt>
                <c:pt idx="489">
                  <c:v>346.3712650696383</c:v>
                </c:pt>
                <c:pt idx="490">
                  <c:v>347.86286390732619</c:v>
                </c:pt>
                <c:pt idx="491">
                  <c:v>349.35718948890582</c:v>
                </c:pt>
                <c:pt idx="492">
                  <c:v>350.85423515239324</c:v>
                </c:pt>
                <c:pt idx="493">
                  <c:v>352.35399423900191</c:v>
                </c:pt>
                <c:pt idx="494">
                  <c:v>353.85646009328383</c:v>
                </c:pt>
                <c:pt idx="495">
                  <c:v>355.36162606327019</c:v>
                </c:pt>
                <c:pt idx="496">
                  <c:v>356.86948550061101</c:v>
                </c:pt>
                <c:pt idx="497">
                  <c:v>358.38003129305855</c:v>
                </c:pt>
                <c:pt idx="498">
                  <c:v>359.89325539691146</c:v>
                </c:pt>
                <c:pt idx="499">
                  <c:v>361.40914930585126</c:v>
                </c:pt>
                <c:pt idx="500">
                  <c:v>362.92770451983478</c:v>
                </c:pt>
                <c:pt idx="501">
                  <c:v>364.44891254526425</c:v>
                </c:pt>
                <c:pt idx="502">
                  <c:v>365.97276489515627</c:v>
                </c:pt>
                <c:pt idx="503">
                  <c:v>367.49925308930932</c:v>
                </c:pt>
                <c:pt idx="504">
                  <c:v>369.02836865446989</c:v>
                </c:pt>
                <c:pt idx="505">
                  <c:v>370.56010312449746</c:v>
                </c:pt>
                <c:pt idx="506">
                  <c:v>372.09444804052799</c:v>
                </c:pt>
                <c:pt idx="507">
                  <c:v>373.63139495113626</c:v>
                </c:pt>
                <c:pt idx="508">
                  <c:v>375.17093541249665</c:v>
                </c:pt>
                <c:pt idx="509">
                  <c:v>376.71306098854279</c:v>
                </c:pt>
                <c:pt idx="510">
                  <c:v>378.25776325112582</c:v>
                </c:pt>
                <c:pt idx="511">
                  <c:v>379.80503378017124</c:v>
                </c:pt>
                <c:pt idx="512">
                  <c:v>381.35486416383452</c:v>
                </c:pt>
                <c:pt idx="513">
                  <c:v>382.90724599865541</c:v>
                </c:pt>
                <c:pt idx="514">
                  <c:v>384.46217088971076</c:v>
                </c:pt>
                <c:pt idx="515">
                  <c:v>386.01963045076621</c:v>
                </c:pt>
                <c:pt idx="516">
                  <c:v>387.57961630442651</c:v>
                </c:pt>
                <c:pt idx="517">
                  <c:v>389.14212008228429</c:v>
                </c:pt>
                <c:pt idx="518">
                  <c:v>390.70713342506787</c:v>
                </c:pt>
                <c:pt idx="519">
                  <c:v>392.27464798278743</c:v>
                </c:pt>
                <c:pt idx="520">
                  <c:v>393.84465541488009</c:v>
                </c:pt>
                <c:pt idx="521">
                  <c:v>395.41714739035342</c:v>
                </c:pt>
                <c:pt idx="522">
                  <c:v>396.99211558792786</c:v>
                </c:pt>
                <c:pt idx="523">
                  <c:v>398.56955169617765</c:v>
                </c:pt>
                <c:pt idx="524">
                  <c:v>400.1494474136706</c:v>
                </c:pt>
                <c:pt idx="525">
                  <c:v>401.73179444910636</c:v>
                </c:pt>
                <c:pt idx="526">
                  <c:v>403.31658452145359</c:v>
                </c:pt>
                <c:pt idx="527">
                  <c:v>404.90380936008552</c:v>
                </c:pt>
                <c:pt idx="528">
                  <c:v>406.49346070491447</c:v>
                </c:pt>
                <c:pt idx="529">
                  <c:v>408.08553030652496</c:v>
                </c:pt>
                <c:pt idx="530">
                  <c:v>409.68000992630544</c:v>
                </c:pt>
                <c:pt idx="531">
                  <c:v>411.27689133657879</c:v>
                </c:pt>
                <c:pt idx="532">
                  <c:v>412.8761663207315</c:v>
                </c:pt>
                <c:pt idx="533">
                  <c:v>414.47782667334161</c:v>
                </c:pt>
                <c:pt idx="534">
                  <c:v>416.08186420030512</c:v>
                </c:pt>
                <c:pt idx="535">
                  <c:v>417.68827071896135</c:v>
                </c:pt>
                <c:pt idx="536">
                  <c:v>419.29703805821691</c:v>
                </c:pt>
                <c:pt idx="537">
                  <c:v>420.90815805866839</c:v>
                </c:pt>
                <c:pt idx="538">
                  <c:v>422.52162257272369</c:v>
                </c:pt>
                <c:pt idx="539">
                  <c:v>424.13742346472208</c:v>
                </c:pt>
                <c:pt idx="540">
                  <c:v>425.75555261105308</c:v>
                </c:pt>
                <c:pt idx="541">
                  <c:v>427.37600190027393</c:v>
                </c:pt>
                <c:pt idx="542">
                  <c:v>428.99876323322582</c:v>
                </c:pt>
                <c:pt idx="543">
                  <c:v>430.6238285231488</c:v>
                </c:pt>
                <c:pt idx="544">
                  <c:v>432.25118969579557</c:v>
                </c:pt>
                <c:pt idx="545">
                  <c:v>433.88083868954379</c:v>
                </c:pt>
                <c:pt idx="546">
                  <c:v>435.51276745550717</c:v>
                </c:pt>
                <c:pt idx="547">
                  <c:v>437.14696795764542</c:v>
                </c:pt>
                <c:pt idx="548">
                  <c:v>438.78343217287284</c:v>
                </c:pt>
                <c:pt idx="549">
                  <c:v>440.42215209116557</c:v>
                </c:pt>
                <c:pt idx="550">
                  <c:v>442.06311939141835</c:v>
                </c:pt>
                <c:pt idx="551">
                  <c:v>443.70632468458797</c:v>
                </c:pt>
                <c:pt idx="552">
                  <c:v>445.35175783978781</c:v>
                </c:pt>
                <c:pt idx="553">
                  <c:v>446.9994087431092</c:v>
                </c:pt>
                <c:pt idx="554">
                  <c:v>448.64926729775482</c:v>
                </c:pt>
                <c:pt idx="555">
                  <c:v>450.30132342417005</c:v>
                </c:pt>
                <c:pt idx="556">
                  <c:v>451.95556706017265</c:v>
                </c:pt>
                <c:pt idx="557">
                  <c:v>453.61198816108072</c:v>
                </c:pt>
                <c:pt idx="558">
                  <c:v>455.27057669983884</c:v>
                </c:pt>
                <c:pt idx="559">
                  <c:v>456.93132266714235</c:v>
                </c:pt>
                <c:pt idx="560">
                  <c:v>458.59421607156003</c:v>
                </c:pt>
                <c:pt idx="561">
                  <c:v>460.25924693965493</c:v>
                </c:pt>
                <c:pt idx="562">
                  <c:v>461.92640531610351</c:v>
                </c:pt>
                <c:pt idx="563">
                  <c:v>463.59568126381293</c:v>
                </c:pt>
                <c:pt idx="564">
                  <c:v>465.2670648640368</c:v>
                </c:pt>
                <c:pt idx="565">
                  <c:v>466.94054621648883</c:v>
                </c:pt>
                <c:pt idx="566">
                  <c:v>468.61611543945526</c:v>
                </c:pt>
                <c:pt idx="567">
                  <c:v>470.29376266990516</c:v>
                </c:pt>
                <c:pt idx="568">
                  <c:v>471.97347806359932</c:v>
                </c:pt>
                <c:pt idx="569">
                  <c:v>473.65525179519716</c:v>
                </c:pt>
                <c:pt idx="570">
                  <c:v>475.3390740583622</c:v>
                </c:pt>
                <c:pt idx="571">
                  <c:v>477.02493506586569</c:v>
                </c:pt>
                <c:pt idx="572">
                  <c:v>478.7128250496886</c:v>
                </c:pt>
                <c:pt idx="573">
                  <c:v>480.40273426112191</c:v>
                </c:pt>
                <c:pt idx="574">
                  <c:v>482.09465297086535</c:v>
                </c:pt>
                <c:pt idx="575">
                  <c:v>483.78857146912446</c:v>
                </c:pt>
                <c:pt idx="576">
                  <c:v>485.48448006570572</c:v>
                </c:pt>
                <c:pt idx="577">
                  <c:v>487.18236909011046</c:v>
                </c:pt>
                <c:pt idx="578">
                  <c:v>488.88222889162694</c:v>
                </c:pt>
                <c:pt idx="579">
                  <c:v>490.58404983942074</c:v>
                </c:pt>
                <c:pt idx="580">
                  <c:v>492.28782232262364</c:v>
                </c:pt>
                <c:pt idx="581">
                  <c:v>493.99353675042084</c:v>
                </c:pt>
                <c:pt idx="582">
                  <c:v>495.70118355213668</c:v>
                </c:pt>
                <c:pt idx="583">
                  <c:v>497.4107531773185</c:v>
                </c:pt>
                <c:pt idx="584">
                  <c:v>499.12223609581923</c:v>
                </c:pt>
                <c:pt idx="585">
                  <c:v>500.83562279787833</c:v>
                </c:pt>
                <c:pt idx="586">
                  <c:v>502.55090379420102</c:v>
                </c:pt>
                <c:pt idx="587">
                  <c:v>504.26806961603597</c:v>
                </c:pt>
                <c:pt idx="588">
                  <c:v>505.98711081525164</c:v>
                </c:pt>
                <c:pt idx="589">
                  <c:v>507.70801796441089</c:v>
                </c:pt>
                <c:pt idx="590">
                  <c:v>509.43078165684409</c:v>
                </c:pt>
                <c:pt idx="591">
                  <c:v>511.15539250672072</c:v>
                </c:pt>
                <c:pt idx="592">
                  <c:v>512.88184114911951</c:v>
                </c:pt>
                <c:pt idx="593">
                  <c:v>514.61011824009711</c:v>
                </c:pt>
                <c:pt idx="594">
                  <c:v>516.34021445675478</c:v>
                </c:pt>
                <c:pt idx="595">
                  <c:v>518.07212049730435</c:v>
                </c:pt>
                <c:pt idx="596">
                  <c:v>519.80582708113241</c:v>
                </c:pt>
                <c:pt idx="597">
                  <c:v>521.54132494886244</c:v>
                </c:pt>
                <c:pt idx="598">
                  <c:v>523.2786048624165</c:v>
                </c:pt>
                <c:pt idx="599">
                  <c:v>525.01765760507465</c:v>
                </c:pt>
                <c:pt idx="600">
                  <c:v>526.75847398153337</c:v>
                </c:pt>
                <c:pt idx="601">
                  <c:v>528.50104481796234</c:v>
                </c:pt>
                <c:pt idx="602">
                  <c:v>530.24536096205964</c:v>
                </c:pt>
                <c:pt idx="603">
                  <c:v>531.99141328310611</c:v>
                </c:pt>
                <c:pt idx="604">
                  <c:v>533.73919267201757</c:v>
                </c:pt>
                <c:pt idx="605">
                  <c:v>535.48869004139624</c:v>
                </c:pt>
                <c:pt idx="606">
                  <c:v>537.23989632558039</c:v>
                </c:pt>
                <c:pt idx="607">
                  <c:v>538.99280248069272</c:v>
                </c:pt>
                <c:pt idx="608">
                  <c:v>540.74739948468755</c:v>
                </c:pt>
                <c:pt idx="609">
                  <c:v>542.50367833739608</c:v>
                </c:pt>
                <c:pt idx="610">
                  <c:v>544.26163006057106</c:v>
                </c:pt>
                <c:pt idx="611">
                  <c:v>546.02124569792977</c:v>
                </c:pt>
                <c:pt idx="612">
                  <c:v>547.78251335086259</c:v>
                </c:pt>
                <c:pt idx="613">
                  <c:v>549.54541818487655</c:v>
                </c:pt>
                <c:pt idx="614">
                  <c:v>551.3099454004024</c:v>
                </c:pt>
                <c:pt idx="615">
                  <c:v>553.07608023289697</c:v>
                </c:pt>
                <c:pt idx="616">
                  <c:v>554.84380795294226</c:v>
                </c:pt>
                <c:pt idx="617">
                  <c:v>556.61311386634168</c:v>
                </c:pt>
                <c:pt idx="618">
                  <c:v>558.3839833142132</c:v>
                </c:pt>
                <c:pt idx="619">
                  <c:v>560.15640167307902</c:v>
                </c:pt>
                <c:pt idx="620">
                  <c:v>561.93035435495256</c:v>
                </c:pt>
                <c:pt idx="621">
                  <c:v>563.7058268074228</c:v>
                </c:pt>
                <c:pt idx="622">
                  <c:v>565.48280451373478</c:v>
                </c:pt>
                <c:pt idx="623">
                  <c:v>567.26127299286782</c:v>
                </c:pt>
                <c:pt idx="624">
                  <c:v>569.04121779961031</c:v>
                </c:pt>
                <c:pt idx="625">
                  <c:v>570.82262452463237</c:v>
                </c:pt>
                <c:pt idx="626">
                  <c:v>572.60547879455453</c:v>
                </c:pt>
                <c:pt idx="627">
                  <c:v>574.38976627201441</c:v>
                </c:pt>
                <c:pt idx="628">
                  <c:v>576.17547265573023</c:v>
                </c:pt>
                <c:pt idx="629">
                  <c:v>577.96258368056147</c:v>
                </c:pt>
                <c:pt idx="630">
                  <c:v>579.75108511756662</c:v>
                </c:pt>
                <c:pt idx="631">
                  <c:v>581.54096277405847</c:v>
                </c:pt>
                <c:pt idx="632">
                  <c:v>583.33220249365661</c:v>
                </c:pt>
                <c:pt idx="633">
                  <c:v>585.12479015633664</c:v>
                </c:pt>
                <c:pt idx="634">
                  <c:v>586.91871167847762</c:v>
                </c:pt>
                <c:pt idx="635">
                  <c:v>588.71395301290579</c:v>
                </c:pt>
                <c:pt idx="636">
                  <c:v>590.51050014893656</c:v>
                </c:pt>
                <c:pt idx="637">
                  <c:v>592.30833911241336</c:v>
                </c:pt>
                <c:pt idx="638">
                  <c:v>594.10745596574384</c:v>
                </c:pt>
                <c:pt idx="639">
                  <c:v>595.90783680793356</c:v>
                </c:pt>
                <c:pt idx="640">
                  <c:v>597.70946777461756</c:v>
                </c:pt>
                <c:pt idx="641">
                  <c:v>599.51233503808839</c:v>
                </c:pt>
                <c:pt idx="642">
                  <c:v>601.31642480732273</c:v>
                </c:pt>
                <c:pt idx="643">
                  <c:v>603.12172332800469</c:v>
                </c:pt>
                <c:pt idx="644">
                  <c:v>604.92821688254708</c:v>
                </c:pt>
                <c:pt idx="645">
                  <c:v>606.73589179011014</c:v>
                </c:pt>
                <c:pt idx="646">
                  <c:v>608.54472606643515</c:v>
                </c:pt>
                <c:pt idx="647">
                  <c:v>610.35468851721339</c:v>
                </c:pt>
                <c:pt idx="648">
                  <c:v>612.16574710185455</c:v>
                </c:pt>
                <c:pt idx="649">
                  <c:v>613.97786986386541</c:v>
                </c:pt>
                <c:pt idx="650">
                  <c:v>615.7910249311509</c:v>
                </c:pt>
                <c:pt idx="651">
                  <c:v>617.60518051630345</c:v>
                </c:pt>
                <c:pt idx="652">
                  <c:v>619.42030491687979</c:v>
                </c:pt>
                <c:pt idx="653">
                  <c:v>621.23636651566562</c:v>
                </c:pt>
                <c:pt idx="654">
                  <c:v>623.05333378092826</c:v>
                </c:pt>
                <c:pt idx="655">
                  <c:v>624.87117526665736</c:v>
                </c:pt>
                <c:pt idx="656">
                  <c:v>626.68985961279429</c:v>
                </c:pt>
                <c:pt idx="657">
                  <c:v>628.50935554544901</c:v>
                </c:pt>
                <c:pt idx="658">
                  <c:v>630.32963187710641</c:v>
                </c:pt>
                <c:pt idx="659">
                  <c:v>632.15065750682015</c:v>
                </c:pt>
                <c:pt idx="660">
                  <c:v>633.97240142039584</c:v>
                </c:pt>
                <c:pt idx="661">
                  <c:v>635.794832690563</c:v>
                </c:pt>
                <c:pt idx="662">
                  <c:v>637.61792047713539</c:v>
                </c:pt>
                <c:pt idx="663">
                  <c:v>639.44163402716106</c:v>
                </c:pt>
                <c:pt idx="664">
                  <c:v>641.26594267506073</c:v>
                </c:pt>
                <c:pt idx="665">
                  <c:v>643.090815842756</c:v>
                </c:pt>
                <c:pt idx="666">
                  <c:v>644.91620522393623</c:v>
                </c:pt>
                <c:pt idx="667">
                  <c:v>646.74204037774746</c:v>
                </c:pt>
                <c:pt idx="668">
                  <c:v>648.5682466106457</c:v>
                </c:pt>
                <c:pt idx="669">
                  <c:v>650.39474944966287</c:v>
                </c:pt>
                <c:pt idx="670">
                  <c:v>652.22147464416742</c:v>
                </c:pt>
                <c:pt idx="671">
                  <c:v>654.04834816755988</c:v>
                </c:pt>
                <c:pt idx="672">
                  <c:v>655.87529621890326</c:v>
                </c:pt>
                <c:pt idx="673">
                  <c:v>657.70224522448837</c:v>
                </c:pt>
                <c:pt idx="674">
                  <c:v>659.52912183933529</c:v>
                </c:pt>
                <c:pt idx="675">
                  <c:v>661.35585294863176</c:v>
                </c:pt>
                <c:pt idx="676">
                  <c:v>663.18236566910787</c:v>
                </c:pt>
                <c:pt idx="677">
                  <c:v>665.00858735034944</c:v>
                </c:pt>
                <c:pt idx="678">
                  <c:v>666.83444557604878</c:v>
                </c:pt>
                <c:pt idx="679">
                  <c:v>668.65986816519523</c:v>
                </c:pt>
                <c:pt idx="680">
                  <c:v>670.48478317320451</c:v>
                </c:pt>
                <c:pt idx="681">
                  <c:v>672.30911889298875</c:v>
                </c:pt>
                <c:pt idx="682">
                  <c:v>674.13280385596704</c:v>
                </c:pt>
                <c:pt idx="683">
                  <c:v>675.95576683301783</c:v>
                </c:pt>
                <c:pt idx="684">
                  <c:v>677.77793683537277</c:v>
                </c:pt>
                <c:pt idx="685">
                  <c:v>679.59924311545399</c:v>
                </c:pt>
                <c:pt idx="686">
                  <c:v>681.41961516765446</c:v>
                </c:pt>
                <c:pt idx="687">
                  <c:v>683.23898272906251</c:v>
                </c:pt>
                <c:pt idx="688">
                  <c:v>685.05727578013114</c:v>
                </c:pt>
                <c:pt idx="689">
                  <c:v>686.87442454529264</c:v>
                </c:pt>
                <c:pt idx="690">
                  <c:v>688.69035949351962</c:v>
                </c:pt>
                <c:pt idx="691">
                  <c:v>690.50501133883256</c:v>
                </c:pt>
                <c:pt idx="692">
                  <c:v>692.31831104075479</c:v>
                </c:pt>
                <c:pt idx="693">
                  <c:v>694.13018980471622</c:v>
                </c:pt>
                <c:pt idx="694">
                  <c:v>695.94057908240507</c:v>
                </c:pt>
                <c:pt idx="695">
                  <c:v>697.74941057206991</c:v>
                </c:pt>
                <c:pt idx="696">
                  <c:v>699.55661621877164</c:v>
                </c:pt>
                <c:pt idx="697">
                  <c:v>701.36212821458628</c:v>
                </c:pt>
                <c:pt idx="698">
                  <c:v>703.16587899875992</c:v>
                </c:pt>
                <c:pt idx="699">
                  <c:v>704.96780125781549</c:v>
                </c:pt>
                <c:pt idx="700">
                  <c:v>706.76782792561278</c:v>
                </c:pt>
                <c:pt idx="701">
                  <c:v>708.56589218336228</c:v>
                </c:pt>
                <c:pt idx="702">
                  <c:v>710.3619274595934</c:v>
                </c:pt>
                <c:pt idx="703">
                  <c:v>712.15586743007805</c:v>
                </c:pt>
                <c:pt idx="704">
                  <c:v>713.94764601770953</c:v>
                </c:pt>
                <c:pt idx="705">
                  <c:v>715.73719739233843</c:v>
                </c:pt>
                <c:pt idx="706">
                  <c:v>717.52445597056578</c:v>
                </c:pt>
                <c:pt idx="707">
                  <c:v>719.30935641549388</c:v>
                </c:pt>
                <c:pt idx="708">
                  <c:v>721.09183314663142</c:v>
                </c:pt>
                <c:pt idx="709">
                  <c:v>722.87181593135233</c:v>
                </c:pt>
                <c:pt idx="710">
                  <c:v>724.64923039576536</c:v>
                </c:pt>
                <c:pt idx="711">
                  <c:v>726.42400245407782</c:v>
                </c:pt>
                <c:pt idx="712">
                  <c:v>728.19605830839316</c:v>
                </c:pt>
                <c:pt idx="713">
                  <c:v>729.96532444845423</c:v>
                </c:pt>
                <c:pt idx="714">
                  <c:v>731.7317276513337</c:v>
                </c:pt>
                <c:pt idx="715">
                  <c:v>733.49519498107213</c:v>
                </c:pt>
                <c:pt idx="716">
                  <c:v>735.25565378826468</c:v>
                </c:pt>
                <c:pt idx="717">
                  <c:v>737.01303170959739</c:v>
                </c:pt>
                <c:pt idx="718">
                  <c:v>738.76725666733375</c:v>
                </c:pt>
                <c:pt idx="719">
                  <c:v>740.51825686875316</c:v>
                </c:pt>
                <c:pt idx="720">
                  <c:v>742.26596080554054</c:v>
                </c:pt>
                <c:pt idx="721">
                  <c:v>744.01029725313003</c:v>
                </c:pt>
                <c:pt idx="722">
                  <c:v>745.75119527000197</c:v>
                </c:pt>
                <c:pt idx="723">
                  <c:v>747.48858419693511</c:v>
                </c:pt>
                <c:pt idx="724">
                  <c:v>749.22239365621385</c:v>
                </c:pt>
                <c:pt idx="725">
                  <c:v>750.95249107555674</c:v>
                </c:pt>
                <c:pt idx="726">
                  <c:v>752.67865522515729</c:v>
                </c:pt>
                <c:pt idx="727">
                  <c:v>754.40077313174913</c:v>
                </c:pt>
                <c:pt idx="728">
                  <c:v>756.11886631400739</c:v>
                </c:pt>
                <c:pt idx="729">
                  <c:v>757.83295611753476</c:v>
                </c:pt>
                <c:pt idx="730">
                  <c:v>759.54306371673374</c:v>
                </c:pt>
                <c:pt idx="731">
                  <c:v>761.24921011665413</c:v>
                </c:pt>
                <c:pt idx="732">
                  <c:v>762.95141615481498</c:v>
                </c:pt>
                <c:pt idx="733">
                  <c:v>764.64970250300246</c:v>
                </c:pt>
                <c:pt idx="734">
                  <c:v>766.34408966904311</c:v>
                </c:pt>
                <c:pt idx="735">
                  <c:v>768.03459799855341</c:v>
                </c:pt>
                <c:pt idx="736">
                  <c:v>769.72124767666594</c:v>
                </c:pt>
                <c:pt idx="737">
                  <c:v>771.40405872973247</c:v>
                </c:pt>
                <c:pt idx="738">
                  <c:v>773.08305102700444</c:v>
                </c:pt>
                <c:pt idx="739">
                  <c:v>774.75824428229112</c:v>
                </c:pt>
                <c:pt idx="740">
                  <c:v>776.42965805559561</c:v>
                </c:pt>
                <c:pt idx="741">
                  <c:v>778.09731175472939</c:v>
                </c:pt>
                <c:pt idx="742">
                  <c:v>779.76122463690581</c:v>
                </c:pt>
                <c:pt idx="743">
                  <c:v>781.42141581031228</c:v>
                </c:pt>
                <c:pt idx="744">
                  <c:v>783.07790423566189</c:v>
                </c:pt>
                <c:pt idx="745">
                  <c:v>784.73070872772496</c:v>
                </c:pt>
                <c:pt idx="746">
                  <c:v>786.37984795684076</c:v>
                </c:pt>
                <c:pt idx="747">
                  <c:v>788.02534045040909</c:v>
                </c:pt>
                <c:pt idx="748">
                  <c:v>789.66720459436272</c:v>
                </c:pt>
                <c:pt idx="749">
                  <c:v>791.30545863462135</c:v>
                </c:pt>
                <c:pt idx="750">
                  <c:v>792.94012067852589</c:v>
                </c:pt>
                <c:pt idx="751">
                  <c:v>794.57120869625487</c:v>
                </c:pt>
                <c:pt idx="752">
                  <c:v>796.19874052222281</c:v>
                </c:pt>
                <c:pt idx="753">
                  <c:v>797.82273385645999</c:v>
                </c:pt>
                <c:pt idx="754">
                  <c:v>799.44320626597562</c:v>
                </c:pt>
                <c:pt idx="755">
                  <c:v>801.06017518610281</c:v>
                </c:pt>
                <c:pt idx="756">
                  <c:v>802.67365792182682</c:v>
                </c:pt>
                <c:pt idx="757">
                  <c:v>804.2836716490965</c:v>
                </c:pt>
                <c:pt idx="758">
                  <c:v>805.89023341611926</c:v>
                </c:pt>
                <c:pt idx="759">
                  <c:v>807.49336014463927</c:v>
                </c:pt>
                <c:pt idx="760">
                  <c:v>809.09306863120037</c:v>
                </c:pt>
                <c:pt idx="761">
                  <c:v>810.68937554839238</c:v>
                </c:pt>
                <c:pt idx="762">
                  <c:v>812.28229744608234</c:v>
                </c:pt>
                <c:pt idx="763">
                  <c:v>813.87185075263028</c:v>
                </c:pt>
                <c:pt idx="764">
                  <c:v>815.45805177608986</c:v>
                </c:pt>
                <c:pt idx="765">
                  <c:v>817.0409167053939</c:v>
                </c:pt>
                <c:pt idx="766">
                  <c:v>818.62046161152568</c:v>
                </c:pt>
                <c:pt idx="767">
                  <c:v>820.19670244867541</c:v>
                </c:pt>
                <c:pt idx="768">
                  <c:v>821.76965505538271</c:v>
                </c:pt>
                <c:pt idx="769">
                  <c:v>823.3393351556648</c:v>
                </c:pt>
                <c:pt idx="770">
                  <c:v>824.90575836013136</c:v>
                </c:pt>
                <c:pt idx="771">
                  <c:v>826.46894016708507</c:v>
                </c:pt>
                <c:pt idx="772">
                  <c:v>828.02889596360933</c:v>
                </c:pt>
                <c:pt idx="773">
                  <c:v>829.58564102664263</c:v>
                </c:pt>
                <c:pt idx="774">
                  <c:v>831.13919052403958</c:v>
                </c:pt>
                <c:pt idx="775">
                  <c:v>832.68955951561964</c:v>
                </c:pt>
                <c:pt idx="776">
                  <c:v>834.23676295420273</c:v>
                </c:pt>
                <c:pt idx="777">
                  <c:v>835.78081568663254</c:v>
                </c:pt>
                <c:pt idx="778">
                  <c:v>837.32173245478759</c:v>
                </c:pt>
                <c:pt idx="779">
                  <c:v>838.85952789658018</c:v>
                </c:pt>
                <c:pt idx="780">
                  <c:v>840.39421654694343</c:v>
                </c:pt>
                <c:pt idx="781">
                  <c:v>841.92581283880645</c:v>
                </c:pt>
                <c:pt idx="782">
                  <c:v>843.45433110405804</c:v>
                </c:pt>
                <c:pt idx="783">
                  <c:v>844.97978557449892</c:v>
                </c:pt>
                <c:pt idx="784">
                  <c:v>846.50219038278271</c:v>
                </c:pt>
                <c:pt idx="785">
                  <c:v>848.02155956334548</c:v>
                </c:pt>
                <c:pt idx="786">
                  <c:v>849.53790705332517</c:v>
                </c:pt>
                <c:pt idx="787">
                  <c:v>851.05124669346935</c:v>
                </c:pt>
                <c:pt idx="788">
                  <c:v>852.56159222903284</c:v>
                </c:pt>
                <c:pt idx="789">
                  <c:v>854.06895731066447</c:v>
                </c:pt>
                <c:pt idx="790">
                  <c:v>855.5733554952842</c:v>
                </c:pt>
                <c:pt idx="791">
                  <c:v>857.07480024694894</c:v>
                </c:pt>
                <c:pt idx="792">
                  <c:v>858.57330493770939</c:v>
                </c:pt>
                <c:pt idx="793">
                  <c:v>860.06888284845661</c:v>
                </c:pt>
                <c:pt idx="794">
                  <c:v>861.56154716975823</c:v>
                </c:pt>
                <c:pt idx="795">
                  <c:v>863.05131100268591</c:v>
                </c:pt>
                <c:pt idx="796">
                  <c:v>864.53818735963284</c:v>
                </c:pt>
                <c:pt idx="797">
                  <c:v>866.02218916512186</c:v>
                </c:pt>
                <c:pt idx="798">
                  <c:v>867.50332925660439</c:v>
                </c:pt>
                <c:pt idx="799">
                  <c:v>868.98162038525027</c:v>
                </c:pt>
                <c:pt idx="800">
                  <c:v>870.45707521672864</c:v>
                </c:pt>
                <c:pt idx="801">
                  <c:v>885.05660126129101</c:v>
                </c:pt>
                <c:pt idx="802">
                  <c:v>899.38053354971169</c:v>
                </c:pt>
                <c:pt idx="803">
                  <c:v>913.44077587946492</c:v>
                </c:pt>
                <c:pt idx="804">
                  <c:v>927.24847006941616</c:v>
                </c:pt>
                <c:pt idx="805">
                  <c:v>940.81406062275619</c:v>
                </c:pt>
                <c:pt idx="806">
                  <c:v>954.14735261183296</c:v>
                </c:pt>
                <c:pt idx="807">
                  <c:v>967.25756362539664</c:v>
                </c:pt>
                <c:pt idx="808">
                  <c:v>980.15337049905247</c:v>
                </c:pt>
                <c:pt idx="809">
                  <c:v>992.84295144917076</c:v>
                </c:pt>
                <c:pt idx="810">
                  <c:v>1005.3340241457321</c:v>
                </c:pt>
                <c:pt idx="811">
                  <c:v>1017.6338801878516</c:v>
                </c:pt>
                <c:pt idx="812">
                  <c:v>1029.7494163848096</c:v>
                </c:pt>
                <c:pt idx="813">
                  <c:v>1041.6871631935094</c:v>
                </c:pt>
                <c:pt idx="814">
                  <c:v>1053.4533106189078</c:v>
                </c:pt>
                <c:pt idx="815">
                  <c:v>1065.0537318459153</c:v>
                </c:pt>
                <c:pt idx="816">
                  <c:v>1076.4940048385336</c:v>
                </c:pt>
                <c:pt idx="817">
                  <c:v>1087.7794321137658</c:v>
                </c:pt>
                <c:pt idx="818">
                  <c:v>1098.9150588734212</c:v>
                </c:pt>
                <c:pt idx="819">
                  <c:v>1109.9056896557522</c:v>
                </c:pt>
                <c:pt idx="820">
                  <c:v>1120.7559036504517</c:v>
                </c:pt>
                <c:pt idx="821">
                  <c:v>1131.4700688044866</c:v>
                </c:pt>
                <c:pt idx="822">
                  <c:v>1142.0523548322165</c:v>
                </c:pt>
                <c:pt idx="823">
                  <c:v>1152.5067452309661</c:v>
                </c:pt>
                <c:pt idx="824">
                  <c:v>1162.8370483924396</c:v>
                </c:pt>
                <c:pt idx="825">
                  <c:v>1173.0469078908782</c:v>
                </c:pt>
                <c:pt idx="826">
                  <c:v>1183.1398120205085</c:v>
                </c:pt>
                <c:pt idx="827">
                  <c:v>1193.119102647443</c:v>
                </c:pt>
                <c:pt idx="828">
                  <c:v>1202.9879834346602</c:v>
                </c:pt>
                <c:pt idx="829">
                  <c:v>1212.7495274929008</c:v>
                </c:pt>
                <c:pt idx="830">
                  <c:v>1222.4066845051693</c:v>
                </c:pt>
                <c:pt idx="831">
                  <c:v>1231.9622873679511</c:v>
                </c:pt>
                <c:pt idx="832">
                  <c:v>1241.4190583881748</c:v>
                </c:pt>
                <c:pt idx="833">
                  <c:v>1250.7796150713025</c:v>
                </c:pt>
                <c:pt idx="834">
                  <c:v>1260.0464755326757</c:v>
                </c:pt>
                <c:pt idx="835">
                  <c:v>1269.2220635613187</c:v>
                </c:pt>
                <c:pt idx="836">
                  <c:v>1278.3087133627891</c:v>
                </c:pt>
                <c:pt idx="837">
                  <c:v>1287.3086740053054</c:v>
                </c:pt>
                <c:pt idx="838">
                  <c:v>1296.224113591267</c:v>
                </c:pt>
                <c:pt idx="839">
                  <c:v>1305.0571231743761</c:v>
                </c:pt>
                <c:pt idx="840">
                  <c:v>1313.8097204408439</c:v>
                </c:pt>
                <c:pt idx="841">
                  <c:v>1322.4838531716134</c:v>
                </c:pt>
                <c:pt idx="842">
                  <c:v>1331.0814025011207</c:v>
                </c:pt>
                <c:pt idx="843">
                  <c:v>1339.6041859868428</c:v>
                </c:pt>
                <c:pt idx="844">
                  <c:v>1348.053960502725</c:v>
                </c:pt>
                <c:pt idx="845">
                  <c:v>1356.4324249685285</c:v>
                </c:pt>
                <c:pt idx="846">
                  <c:v>1364.7412229261881</c:v>
                </c:pt>
                <c:pt idx="847">
                  <c:v>1372.981944973397</c:v>
                </c:pt>
                <c:pt idx="848">
                  <c:v>1381.1561310638479</c:v>
                </c:pt>
                <c:pt idx="849">
                  <c:v>1389.2652726828337</c:v>
                </c:pt>
                <c:pt idx="850">
                  <c:v>1397.3108149062584</c:v>
                </c:pt>
                <c:pt idx="851">
                  <c:v>1405.2941583504951</c:v>
                </c:pt>
                <c:pt idx="852">
                  <c:v>1413.2166610199877</c:v>
                </c:pt>
                <c:pt idx="853">
                  <c:v>1421.0796400589813</c:v>
                </c:pt>
                <c:pt idx="854">
                  <c:v>1428.884373413305</c:v>
                </c:pt>
                <c:pt idx="855">
                  <c:v>1436.6321014077018</c:v>
                </c:pt>
                <c:pt idx="856">
                  <c:v>1444.3240282438196</c:v>
                </c:pt>
                <c:pt idx="857">
                  <c:v>1451.9613234236044</c:v>
                </c:pt>
                <c:pt idx="858">
                  <c:v>1459.5451231025183</c:v>
                </c:pt>
                <c:pt idx="859">
                  <c:v>1467.0765313766942</c:v>
                </c:pt>
                <c:pt idx="860">
                  <c:v>1474.5566215078588</c:v>
                </c:pt>
                <c:pt idx="861">
                  <c:v>1481.9864370895996</c:v>
                </c:pt>
                <c:pt idx="862">
                  <c:v>1489.3669931583083</c:v>
                </c:pt>
                <c:pt idx="863">
                  <c:v>1496.6992772519163</c:v>
                </c:pt>
                <c:pt idx="864">
                  <c:v>1503.9842504193291</c:v>
                </c:pt>
                <c:pt idx="865">
                  <c:v>1511.2228481832808</c:v>
                </c:pt>
                <c:pt idx="866">
                  <c:v>1518.4159814591533</c:v>
                </c:pt>
                <c:pt idx="867">
                  <c:v>1525.5645374321416</c:v>
                </c:pt>
                <c:pt idx="868">
                  <c:v>1532.6693803949963</c:v>
                </c:pt>
                <c:pt idx="869">
                  <c:v>1539.7313525484344</c:v>
                </c:pt>
                <c:pt idx="870">
                  <c:v>1546.7512747661801</c:v>
                </c:pt>
                <c:pt idx="871">
                  <c:v>1553.7299473264759</c:v>
                </c:pt>
                <c:pt idx="872">
                  <c:v>1560.6681506117895</c:v>
                </c:pt>
                <c:pt idx="873">
                  <c:v>1567.5666457783432</c:v>
                </c:pt>
                <c:pt idx="874">
                  <c:v>1574.4261753969856</c:v>
                </c:pt>
                <c:pt idx="875">
                  <c:v>1581.2474640668459</c:v>
                </c:pt>
                <c:pt idx="876">
                  <c:v>1588.0312190031148</c:v>
                </c:pt>
                <c:pt idx="877">
                  <c:v>1594.778130600225</c:v>
                </c:pt>
                <c:pt idx="878">
                  <c:v>1601.4888729716272</c:v>
                </c:pt>
                <c:pt idx="879">
                  <c:v>1608.1641044672861</c:v>
                </c:pt>
                <c:pt idx="880">
                  <c:v>1614.8044681699605</c:v>
                </c:pt>
                <c:pt idx="881">
                  <c:v>1621.4105923712698</c:v>
                </c:pt>
                <c:pt idx="882">
                  <c:v>1627.9830910284877</c:v>
                </c:pt>
                <c:pt idx="883">
                  <c:v>1634.5225642029598</c:v>
                </c:pt>
                <c:pt idx="884">
                  <c:v>1641.0295984809816</c:v>
                </c:pt>
                <c:pt idx="885">
                  <c:v>1647.5047673779366</c:v>
                </c:pt>
                <c:pt idx="886">
                  <c:v>1653.9486317264425</c:v>
                </c:pt>
                <c:pt idx="887">
                  <c:v>1660.361740049216</c:v>
                </c:pt>
                <c:pt idx="888">
                  <c:v>1666.7446289173283</c:v>
                </c:pt>
                <c:pt idx="889">
                  <c:v>1673.0978232944849</c:v>
                </c:pt>
                <c:pt idx="890">
                  <c:v>1679.4218368679299</c:v>
                </c:pt>
                <c:pt idx="891">
                  <c:v>1685.7171723665456</c:v>
                </c:pt>
                <c:pt idx="892">
                  <c:v>1691.9843218666806</c:v>
                </c:pt>
                <c:pt idx="893">
                  <c:v>1698.2237670862203</c:v>
                </c:pt>
                <c:pt idx="894">
                  <c:v>1704.435979667378</c:v>
                </c:pt>
                <c:pt idx="895">
                  <c:v>1710.6214214486665</c:v>
                </c:pt>
                <c:pt idx="896">
                  <c:v>1716.7805447264807</c:v>
                </c:pt>
                <c:pt idx="897">
                  <c:v>1722.9137925067012</c:v>
                </c:pt>
                <c:pt idx="898">
                  <c:v>1729.0215987467097</c:v>
                </c:pt>
                <c:pt idx="899">
                  <c:v>1735.1043885881811</c:v>
                </c:pt>
                <c:pt idx="900">
                  <c:v>1741.1625785810038</c:v>
                </c:pt>
                <c:pt idx="901">
                  <c:v>1747.1965768986581</c:v>
                </c:pt>
                <c:pt idx="902">
                  <c:v>1753.2067835453668</c:v>
                </c:pt>
                <c:pt idx="903">
                  <c:v>1759.1935905553148</c:v>
                </c:pt>
                <c:pt idx="904">
                  <c:v>1765.1573821842214</c:v>
                </c:pt>
                <c:pt idx="905">
                  <c:v>1771.0985350935309</c:v>
                </c:pt>
                <c:pt idx="906">
                  <c:v>1777.0174185274759</c:v>
                </c:pt>
                <c:pt idx="907">
                  <c:v>1782.9143944832554</c:v>
                </c:pt>
                <c:pt idx="908">
                  <c:v>1788.7898178745531</c:v>
                </c:pt>
                <c:pt idx="909">
                  <c:v>1794.6440366886154</c:v>
                </c:pt>
                <c:pt idx="910">
                  <c:v>1800.4773921370925</c:v>
                </c:pt>
                <c:pt idx="911">
                  <c:v>1806.2902188008375</c:v>
                </c:pt>
                <c:pt idx="912">
                  <c:v>1812.0828447688498</c:v>
                </c:pt>
                <c:pt idx="913">
                  <c:v>1817.8555917715373</c:v>
                </c:pt>
                <c:pt idx="914">
                  <c:v>1823.608775308463</c:v>
                </c:pt>
                <c:pt idx="915">
                  <c:v>1829.3427047707362</c:v>
                </c:pt>
                <c:pt idx="916">
                  <c:v>1835.0576835581971</c:v>
                </c:pt>
                <c:pt idx="917">
                  <c:v>1840.7540091915382</c:v>
                </c:pt>
                <c:pt idx="918">
                  <c:v>1846.4319734194974</c:v>
                </c:pt>
                <c:pt idx="919">
                  <c:v>1852.091862321254</c:v>
                </c:pt>
                <c:pt idx="920">
                  <c:v>1857.7339564041488</c:v>
                </c:pt>
                <c:pt idx="921">
                  <c:v>1863.3585306968471</c:v>
                </c:pt>
                <c:pt idx="922">
                  <c:v>1868.9658548380564</c:v>
                </c:pt>
                <c:pt idx="923">
                  <c:v>1874.5561931609079</c:v>
                </c:pt>
                <c:pt idx="924">
                  <c:v>1880.1298047731027</c:v>
                </c:pt>
                <c:pt idx="925">
                  <c:v>1885.6869436329243</c:v>
                </c:pt>
                <c:pt idx="926">
                  <c:v>1891.227858621214</c:v>
                </c:pt>
                <c:pt idx="927">
                  <c:v>1896.7527936093995</c:v>
                </c:pt>
                <c:pt idx="928">
                  <c:v>1902.2619875236717</c:v>
                </c:pt>
                <c:pt idx="929">
                  <c:v>1907.7556744053941</c:v>
                </c:pt>
                <c:pt idx="930">
                  <c:v>1913.2340834678362</c:v>
                </c:pt>
                <c:pt idx="931">
                  <c:v>1918.6974391493143</c:v>
                </c:pt>
                <c:pt idx="932">
                  <c:v>1924.1459611628277</c:v>
                </c:pt>
                <c:pt idx="933">
                  <c:v>1929.5798645422747</c:v>
                </c:pt>
                <c:pt idx="934">
                  <c:v>1934.9993596853367</c:v>
                </c:pt>
                <c:pt idx="935">
                  <c:v>1940.4046523931167</c:v>
                </c:pt>
                <c:pt idx="936">
                  <c:v>1945.7959439066233</c:v>
                </c:pt>
                <c:pt idx="937">
                  <c:v>1951.1734309401913</c:v>
                </c:pt>
                <c:pt idx="938">
                  <c:v>1956.5373057119346</c:v>
                </c:pt>
                <c:pt idx="939">
                  <c:v>1961.8877559713289</c:v>
                </c:pt>
                <c:pt idx="940">
                  <c:v>1967.2249650240287</c:v>
                </c:pt>
                <c:pt idx="941">
                  <c:v>1972.5491117540239</c:v>
                </c:pt>
                <c:pt idx="942">
                  <c:v>1977.8603706432514</c:v>
                </c:pt>
                <c:pt idx="943">
                  <c:v>1983.1589117887779</c:v>
                </c:pt>
                <c:pt idx="944">
                  <c:v>1988.4449009176815</c:v>
                </c:pt>
                <c:pt idx="945">
                  <c:v>1993.7184993997632</c:v>
                </c:pt>
                <c:pt idx="946">
                  <c:v>1998.979864258228</c:v>
                </c:pt>
                <c:pt idx="947">
                  <c:v>2004.2291481784844</c:v>
                </c:pt>
                <c:pt idx="948">
                  <c:v>2009.4664995152173</c:v>
                </c:pt>
                <c:pt idx="949">
                  <c:v>2014.6920622979003</c:v>
                </c:pt>
                <c:pt idx="950">
                  <c:v>2019.9059762349191</c:v>
                </c:pt>
                <c:pt idx="951">
                  <c:v>2025.1083767164905</c:v>
                </c:pt>
                <c:pt idx="952">
                  <c:v>2030.2993948165665</c:v>
                </c:pt>
                <c:pt idx="953">
                  <c:v>2035.4791572939248</c:v>
                </c:pt>
                <c:pt idx="954">
                  <c:v>2040.6477865926543</c:v>
                </c:pt>
                <c:pt idx="955">
                  <c:v>2045.8054008422505</c:v>
                </c:pt>
                <c:pt idx="956">
                  <c:v>2050.9521138575478</c:v>
                </c:pt>
                <c:pt idx="957">
                  <c:v>2056.0880351387164</c:v>
                </c:pt>
                <c:pt idx="958">
                  <c:v>2061.2132698715614</c:v>
                </c:pt>
                <c:pt idx="959">
                  <c:v>2066.3279189283671</c:v>
                </c:pt>
                <c:pt idx="960">
                  <c:v>2071.4320788695268</c:v>
                </c:pt>
                <c:pt idx="961">
                  <c:v>2076.5258419462057</c:v>
                </c:pt>
                <c:pt idx="962">
                  <c:v>2081.6092961042859</c:v>
                </c:pt>
                <c:pt idx="963">
                  <c:v>2086.6825249898329</c:v>
                </c:pt>
                <c:pt idx="964">
                  <c:v>2091.7456079563276</c:v>
                </c:pt>
                <c:pt idx="965">
                  <c:v>2096.7986200738965</c:v>
                </c:pt>
                <c:pt idx="966">
                  <c:v>2101.8416321407713</c:v>
                </c:pt>
                <c:pt idx="967">
                  <c:v>2106.8747106971882</c:v>
                </c:pt>
                <c:pt idx="968">
                  <c:v>2111.8979180419406</c:v>
                </c:pt>
                <c:pt idx="969">
                  <c:v>2116.9113122517656</c:v>
                </c:pt>
                <c:pt idx="970">
                  <c:v>2121.914947203747</c:v>
                </c:pt>
                <c:pt idx="971">
                  <c:v>2126.9088726008868</c:v>
                </c:pt>
                <c:pt idx="972">
                  <c:v>2131.8931340009794</c:v>
                </c:pt>
                <c:pt idx="973">
                  <c:v>2136.8677728489042</c:v>
                </c:pt>
                <c:pt idx="974">
                  <c:v>2141.8328265124278</c:v>
                </c:pt>
                <c:pt idx="975">
                  <c:v>2146.7883283215783</c:v>
                </c:pt>
                <c:pt idx="976">
                  <c:v>2151.7343076116376</c:v>
                </c:pt>
                <c:pt idx="977">
                  <c:v>2156.6707897697647</c:v>
                </c:pt>
                <c:pt idx="978">
                  <c:v>2161.5977962852394</c:v>
                </c:pt>
                <c:pt idx="979">
                  <c:v>2166.5153448032925</c:v>
                </c:pt>
                <c:pt idx="980">
                  <c:v>2171.4234491824632</c:v>
                </c:pt>
                <c:pt idx="981">
                  <c:v>2176.3221195553974</c:v>
                </c:pt>
                <c:pt idx="982">
                  <c:v>2181.2113623929818</c:v>
                </c:pt>
                <c:pt idx="983">
                  <c:v>2186.0911805716828</c:v>
                </c:pt>
                <c:pt idx="984">
                  <c:v>2190.9615734439458</c:v>
                </c:pt>
                <c:pt idx="985">
                  <c:v>2195.8225369114875</c:v>
                </c:pt>
                <c:pt idx="986">
                  <c:v>2200.6740635012993</c:v>
                </c:pt>
                <c:pt idx="987">
                  <c:v>2205.5161424441676</c:v>
                </c:pt>
                <c:pt idx="988">
                  <c:v>2210.3487597555081</c:v>
                </c:pt>
                <c:pt idx="989">
                  <c:v>2215.1718983182946</c:v>
                </c:pt>
                <c:pt idx="990">
                  <c:v>2219.9855379678647</c:v>
                </c:pt>
                <c:pt idx="991">
                  <c:v>2224.7896555783782</c:v>
                </c:pt>
                <c:pt idx="992">
                  <c:v>2229.5842251506979</c:v>
                </c:pt>
                <c:pt idx="993">
                  <c:v>2234.3692179014688</c:v>
                </c:pt>
                <c:pt idx="994">
                  <c:v>2239.1446023531712</c:v>
                </c:pt>
                <c:pt idx="995">
                  <c:v>2243.9103444249226</c:v>
                </c:pt>
                <c:pt idx="996">
                  <c:v>2248.6664075238195</c:v>
                </c:pt>
                <c:pt idx="997">
                  <c:v>2253.4127526366042</c:v>
                </c:pt>
                <c:pt idx="998">
                  <c:v>2258.1493384214614</c:v>
                </c:pt>
                <c:pt idx="999">
                  <c:v>2262.8761212997497</c:v>
                </c:pt>
                <c:pt idx="1000">
                  <c:v>2267.5930555474893</c:v>
                </c:pt>
              </c:numCache>
            </c:numRef>
          </c:xVal>
          <c:yVal>
            <c:numRef>
              <c:f>Calculs!$AE$4:$AE$1004</c:f>
              <c:numCache>
                <c:formatCode>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491.80624125600718</c:v>
                </c:pt>
              </c:numCache>
            </c:numRef>
          </c:xVal>
          <c:yVal>
            <c:numRef>
              <c:f>Trajecto!$C$158</c:f>
              <c:numCache>
                <c:formatCode>0</c:formatCode>
                <c:ptCount val="1"/>
                <c:pt idx="0">
                  <c:v>2187.7929703847863</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#N/A</c:v>
                </c:pt>
              </c:numCache>
            </c:numRef>
          </c:xVal>
          <c:yVal>
            <c:numRef>
              <c:f>Trajecto!$C$159</c:f>
              <c:numCache>
                <c:formatCode>0</c:formatCode>
                <c:ptCount val="1"/>
                <c:pt idx="0">
                  <c:v>2213.615804590821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{80B73E06-425D-4C6C-8D39-A6C0C3620A44}</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2131.8931340009794</c:v>
                </c:pt>
                <c:pt idx="1">
                  <c:v>2154.8931340009794</c:v>
                </c:pt>
                <c:pt idx="2">
                  <c:v>2154.8931340009794</c:v>
                </c:pt>
                <c:pt idx="3">
                  <c:v>2131.8931340009794</c:v>
                </c:pt>
                <c:pt idx="4">
                  <c:v>2154.8931340009794</c:v>
                </c:pt>
                <c:pt idx="5">
                  <c:v>2154.8931340009794</c:v>
                </c:pt>
                <c:pt idx="6">
                  <c:v>2139.8931340009794</c:v>
                </c:pt>
                <c:pt idx="7">
                  <c:v>2139.8931340009794</c:v>
                </c:pt>
                <c:pt idx="8">
                  <c:v>2154.8931340009794</c:v>
                </c:pt>
                <c:pt idx="9">
                  <c:v>2139.8931340009794</c:v>
                </c:pt>
                <c:pt idx="10">
                  <c:v>2139.4931340009794</c:v>
                </c:pt>
                <c:pt idx="11">
                  <c:v>2138.6931340009796</c:v>
                </c:pt>
                <c:pt idx="12">
                  <c:v>2137.8931340009794</c:v>
                </c:pt>
                <c:pt idx="13">
                  <c:v>2136.8931340009794</c:v>
                </c:pt>
                <c:pt idx="14">
                  <c:v>2135.6931340009796</c:v>
                </c:pt>
                <c:pt idx="15">
                  <c:v>2131.8931340009794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2131.8931340009794</c:v>
                </c:pt>
                <c:pt idx="1">
                  <c:v>2108.8931340009794</c:v>
                </c:pt>
                <c:pt idx="2">
                  <c:v>2108.8931340009794</c:v>
                </c:pt>
                <c:pt idx="3">
                  <c:v>2131.8931340009794</c:v>
                </c:pt>
                <c:pt idx="4">
                  <c:v>2108.8931340009794</c:v>
                </c:pt>
                <c:pt idx="5">
                  <c:v>2108.8931340009794</c:v>
                </c:pt>
                <c:pt idx="6">
                  <c:v>2123.8931340009794</c:v>
                </c:pt>
                <c:pt idx="7">
                  <c:v>2123.8931340009794</c:v>
                </c:pt>
                <c:pt idx="8">
                  <c:v>2108.8931340009794</c:v>
                </c:pt>
                <c:pt idx="9">
                  <c:v>2123.8931340009794</c:v>
                </c:pt>
                <c:pt idx="10">
                  <c:v>2124.2931340009795</c:v>
                </c:pt>
                <c:pt idx="11">
                  <c:v>2125.0931340009793</c:v>
                </c:pt>
                <c:pt idx="12">
                  <c:v>2125.8931340009794</c:v>
                </c:pt>
                <c:pt idx="13">
                  <c:v>2126.8931340009794</c:v>
                </c:pt>
                <c:pt idx="14">
                  <c:v>2128.0931340009793</c:v>
                </c:pt>
                <c:pt idx="15">
                  <c:v>2131.8931340009794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{2EE1EBE9-0B51-4431-B424-54D58DF8E838}</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2131.8931340009794</c:v>
                </c:pt>
                <c:pt idx="1">
                  <c:v>2131.8931340009794</c:v>
                </c:pt>
                <c:pt idx="2">
                  <c:v>2141.8931340009794</c:v>
                </c:pt>
                <c:pt idx="3">
                  <c:v>2131.8931340009794</c:v>
                </c:pt>
                <c:pt idx="4">
                  <c:v>2141.8931340009794</c:v>
                </c:pt>
                <c:pt idx="5">
                  <c:v>2144.8931340009794</c:v>
                </c:pt>
                <c:pt idx="6">
                  <c:v>2148.8931340009794</c:v>
                </c:pt>
                <c:pt idx="7">
                  <c:v>2151.8931340009794</c:v>
                </c:pt>
                <c:pt idx="8">
                  <c:v>2156.8931340009794</c:v>
                </c:pt>
                <c:pt idx="9">
                  <c:v>2161.8931340009794</c:v>
                </c:pt>
                <c:pt idx="10">
                  <c:v>2167.8931340009794</c:v>
                </c:pt>
                <c:pt idx="11">
                  <c:v>2179.8931340009794</c:v>
                </c:pt>
                <c:pt idx="12">
                  <c:v>2193.8931340009794</c:v>
                </c:pt>
                <c:pt idx="13">
                  <c:v>2168.8931340009794</c:v>
                </c:pt>
                <c:pt idx="14">
                  <c:v>2161.8931340009794</c:v>
                </c:pt>
                <c:pt idx="15">
                  <c:v>2146.8931340009794</c:v>
                </c:pt>
                <c:pt idx="16">
                  <c:v>2131.8931340009794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2131.8931340009794</c:v>
                </c:pt>
                <c:pt idx="1">
                  <c:v>2131.8931340009794</c:v>
                </c:pt>
                <c:pt idx="2">
                  <c:v>2121.8931340009794</c:v>
                </c:pt>
                <c:pt idx="3">
                  <c:v>2131.8931340009794</c:v>
                </c:pt>
                <c:pt idx="4">
                  <c:v>2121.8931340009794</c:v>
                </c:pt>
                <c:pt idx="5">
                  <c:v>2118.8931340009794</c:v>
                </c:pt>
                <c:pt idx="6">
                  <c:v>2114.8931340009794</c:v>
                </c:pt>
                <c:pt idx="7">
                  <c:v>2111.8931340009794</c:v>
                </c:pt>
                <c:pt idx="8">
                  <c:v>2106.8931340009794</c:v>
                </c:pt>
                <c:pt idx="9">
                  <c:v>2101.8931340009794</c:v>
                </c:pt>
                <c:pt idx="10">
                  <c:v>2095.8931340009794</c:v>
                </c:pt>
                <c:pt idx="11">
                  <c:v>2083.8931340009794</c:v>
                </c:pt>
                <c:pt idx="12">
                  <c:v>2069.8931340009794</c:v>
                </c:pt>
                <c:pt idx="13">
                  <c:v>2094.8931340009794</c:v>
                </c:pt>
                <c:pt idx="14">
                  <c:v>2101.8931340009794</c:v>
                </c:pt>
                <c:pt idx="15">
                  <c:v>2116.8931340009794</c:v>
                </c:pt>
                <c:pt idx="16">
                  <c:v>2131.8931340009794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2131.8931340009794</c:v>
                </c:pt>
                <c:pt idx="1">
                  <c:v>2148.8931340009794</c:v>
                </c:pt>
                <c:pt idx="2">
                  <c:v>2142.8931340009794</c:v>
                </c:pt>
                <c:pt idx="3">
                  <c:v>2131.8931340009794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2131.8931340009794</c:v>
                </c:pt>
                <c:pt idx="1">
                  <c:v>2114.8931340009794</c:v>
                </c:pt>
                <c:pt idx="2">
                  <c:v>2120.8931340009794</c:v>
                </c:pt>
                <c:pt idx="3">
                  <c:v>2131.8931340009794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{4848160F-836C-4175-AB0B-1015D0F21EEE}</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1967.2249650240287</c:v>
                </c:pt>
                <c:pt idx="1">
                  <c:v>1967.2249650240287</c:v>
                </c:pt>
                <c:pt idx="2">
                  <c:v>1967.2249650240287</c:v>
                </c:pt>
                <c:pt idx="3">
                  <c:v>2076.6146135432682</c:v>
                </c:pt>
                <c:pt idx="4">
                  <c:v>1967.2249650240287</c:v>
                </c:pt>
                <c:pt idx="5">
                  <c:v>1857.8353165047895</c:v>
                </c:pt>
                <c:pt idx="6">
                  <c:v>1967.2249650240287</c:v>
                </c:pt>
              </c:numCache>
            </c:numRef>
          </c:xVal>
          <c:yVal>
            <c:numRef>
              <c:f>Trajecto!$C$124:$C$130</c:f>
              <c:numCache>
                <c:formatCode>0</c:formatCode>
                <c:ptCount val="7"/>
                <c:pt idx="0">
                  <c:v>4375.5859407695725</c:v>
                </c:pt>
                <c:pt idx="1">
                  <c:v>2187.7929703847863</c:v>
                </c:pt>
                <c:pt idx="2">
                  <c:v>0</c:v>
                </c:pt>
                <c:pt idx="3">
                  <c:v>218.77929703847863</c:v>
                </c:pt>
                <c:pt idx="4">
                  <c:v>0</c:v>
                </c:pt>
                <c:pt idx="5">
                  <c:v>218.77929703847863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#N/A</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4.9999999999999378</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5.9999999999999165</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6.9999999999998952</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7.9999999999998739</c:v>
                </c:pt>
                <c:pt idx="801">
                  <c:v>#N/A</c:v>
                </c:pt>
                <c:pt idx="802">
                  <c:v>#N/A</c:v>
                </c:pt>
                <c:pt idx="803">
                  <c:v>#N/A</c:v>
                </c:pt>
                <c:pt idx="804">
                  <c:v>#N/A</c:v>
                </c:pt>
                <c:pt idx="805">
                  <c:v>#N/A</c:v>
                </c:pt>
                <c:pt idx="806">
                  <c:v>#N/A</c:v>
                </c:pt>
                <c:pt idx="807">
                  <c:v>#N/A</c:v>
                </c:pt>
                <c:pt idx="808">
                  <c:v>#N/A</c:v>
                </c:pt>
                <c:pt idx="809">
                  <c:v>#N/A</c:v>
                </c:pt>
                <c:pt idx="810">
                  <c:v>8.9999999999998703</c:v>
                </c:pt>
                <c:pt idx="811">
                  <c:v>#N/A</c:v>
                </c:pt>
                <c:pt idx="812">
                  <c:v>#N/A</c:v>
                </c:pt>
                <c:pt idx="813">
                  <c:v>#N/A</c:v>
                </c:pt>
                <c:pt idx="814">
                  <c:v>#N/A</c:v>
                </c:pt>
                <c:pt idx="815">
                  <c:v>#N/A</c:v>
                </c:pt>
                <c:pt idx="816">
                  <c:v>#N/A</c:v>
                </c:pt>
                <c:pt idx="817">
                  <c:v>#N/A</c:v>
                </c:pt>
                <c:pt idx="818">
                  <c:v>#N/A</c:v>
                </c:pt>
                <c:pt idx="819">
                  <c:v>#N/A</c:v>
                </c:pt>
                <c:pt idx="820">
                  <c:v>9.9999999999998668</c:v>
                </c:pt>
                <c:pt idx="821">
                  <c:v>#N/A</c:v>
                </c:pt>
                <c:pt idx="822">
                  <c:v>#N/A</c:v>
                </c:pt>
                <c:pt idx="823">
                  <c:v>#N/A</c:v>
                </c:pt>
                <c:pt idx="824">
                  <c:v>#N/A</c:v>
                </c:pt>
                <c:pt idx="825">
                  <c:v>#N/A</c:v>
                </c:pt>
                <c:pt idx="826">
                  <c:v>#N/A</c:v>
                </c:pt>
                <c:pt idx="827">
                  <c:v>#N/A</c:v>
                </c:pt>
                <c:pt idx="828">
                  <c:v>#N/A</c:v>
                </c:pt>
                <c:pt idx="829">
                  <c:v>#N/A</c:v>
                </c:pt>
                <c:pt idx="830">
                  <c:v>10.999999999999863</c:v>
                </c:pt>
                <c:pt idx="831">
                  <c:v>#N/A</c:v>
                </c:pt>
                <c:pt idx="832">
                  <c:v>#N/A</c:v>
                </c:pt>
                <c:pt idx="833">
                  <c:v>#N/A</c:v>
                </c:pt>
                <c:pt idx="834">
                  <c:v>#N/A</c:v>
                </c:pt>
                <c:pt idx="835">
                  <c:v>#N/A</c:v>
                </c:pt>
                <c:pt idx="836">
                  <c:v>#N/A</c:v>
                </c:pt>
                <c:pt idx="837">
                  <c:v>#N/A</c:v>
                </c:pt>
                <c:pt idx="838">
                  <c:v>#N/A</c:v>
                </c:pt>
                <c:pt idx="839">
                  <c:v>#N/A</c:v>
                </c:pt>
                <c:pt idx="840">
                  <c:v>11.99999999999986</c:v>
                </c:pt>
                <c:pt idx="841">
                  <c:v>#N/A</c:v>
                </c:pt>
                <c:pt idx="842">
                  <c:v>#N/A</c:v>
                </c:pt>
                <c:pt idx="843">
                  <c:v>#N/A</c:v>
                </c:pt>
                <c:pt idx="844">
                  <c:v>#N/A</c:v>
                </c:pt>
                <c:pt idx="845">
                  <c:v>#N/A</c:v>
                </c:pt>
                <c:pt idx="846">
                  <c:v>#N/A</c:v>
                </c:pt>
                <c:pt idx="847">
                  <c:v>#N/A</c:v>
                </c:pt>
                <c:pt idx="848">
                  <c:v>#N/A</c:v>
                </c:pt>
                <c:pt idx="849">
                  <c:v>#N/A</c:v>
                </c:pt>
                <c:pt idx="850">
                  <c:v>12.999999999999856</c:v>
                </c:pt>
                <c:pt idx="851">
                  <c:v>#N/A</c:v>
                </c:pt>
                <c:pt idx="852">
                  <c:v>#N/A</c:v>
                </c:pt>
                <c:pt idx="853">
                  <c:v>#N/A</c:v>
                </c:pt>
                <c:pt idx="854">
                  <c:v>#N/A</c:v>
                </c:pt>
                <c:pt idx="855">
                  <c:v>#N/A</c:v>
                </c:pt>
                <c:pt idx="856">
                  <c:v>#N/A</c:v>
                </c:pt>
                <c:pt idx="857">
                  <c:v>#N/A</c:v>
                </c:pt>
                <c:pt idx="858">
                  <c:v>#N/A</c:v>
                </c:pt>
                <c:pt idx="859">
                  <c:v>#N/A</c:v>
                </c:pt>
                <c:pt idx="860">
                  <c:v>13.999999999999853</c:v>
                </c:pt>
                <c:pt idx="861">
                  <c:v>#N/A</c:v>
                </c:pt>
                <c:pt idx="862">
                  <c:v>#N/A</c:v>
                </c:pt>
                <c:pt idx="863">
                  <c:v>#N/A</c:v>
                </c:pt>
                <c:pt idx="864">
                  <c:v>#N/A</c:v>
                </c:pt>
                <c:pt idx="865">
                  <c:v>#N/A</c:v>
                </c:pt>
                <c:pt idx="866">
                  <c:v>#N/A</c:v>
                </c:pt>
                <c:pt idx="867">
                  <c:v>#N/A</c:v>
                </c:pt>
                <c:pt idx="868">
                  <c:v>#N/A</c:v>
                </c:pt>
                <c:pt idx="869">
                  <c:v>#N/A</c:v>
                </c:pt>
                <c:pt idx="870">
                  <c:v>14.999999999999849</c:v>
                </c:pt>
                <c:pt idx="871">
                  <c:v>#N/A</c:v>
                </c:pt>
                <c:pt idx="872">
                  <c:v>#N/A</c:v>
                </c:pt>
                <c:pt idx="873">
                  <c:v>#N/A</c:v>
                </c:pt>
                <c:pt idx="874">
                  <c:v>#N/A</c:v>
                </c:pt>
                <c:pt idx="875">
                  <c:v>#N/A</c:v>
                </c:pt>
                <c:pt idx="876">
                  <c:v>#N/A</c:v>
                </c:pt>
                <c:pt idx="877">
                  <c:v>#N/A</c:v>
                </c:pt>
                <c:pt idx="878">
                  <c:v>#N/A</c:v>
                </c:pt>
                <c:pt idx="879">
                  <c:v>#N/A</c:v>
                </c:pt>
                <c:pt idx="880">
                  <c:v>15.999999999999845</c:v>
                </c:pt>
                <c:pt idx="881">
                  <c:v>#N/A</c:v>
                </c:pt>
                <c:pt idx="882">
                  <c:v>#N/A</c:v>
                </c:pt>
                <c:pt idx="883">
                  <c:v>#N/A</c:v>
                </c:pt>
                <c:pt idx="884">
                  <c:v>#N/A</c:v>
                </c:pt>
                <c:pt idx="885">
                  <c:v>#N/A</c:v>
                </c:pt>
                <c:pt idx="886">
                  <c:v>#N/A</c:v>
                </c:pt>
                <c:pt idx="887">
                  <c:v>#N/A</c:v>
                </c:pt>
                <c:pt idx="888">
                  <c:v>#N/A</c:v>
                </c:pt>
                <c:pt idx="889">
                  <c:v>#N/A</c:v>
                </c:pt>
                <c:pt idx="890">
                  <c:v>16.999999999999858</c:v>
                </c:pt>
                <c:pt idx="891">
                  <c:v>#N/A</c:v>
                </c:pt>
                <c:pt idx="892">
                  <c:v>#N/A</c:v>
                </c:pt>
                <c:pt idx="893">
                  <c:v>#N/A</c:v>
                </c:pt>
                <c:pt idx="894">
                  <c:v>#N/A</c:v>
                </c:pt>
                <c:pt idx="895">
                  <c:v>#N/A</c:v>
                </c:pt>
                <c:pt idx="896">
                  <c:v>#N/A</c:v>
                </c:pt>
                <c:pt idx="897">
                  <c:v>#N/A</c:v>
                </c:pt>
                <c:pt idx="898">
                  <c:v>#N/A</c:v>
                </c:pt>
                <c:pt idx="899">
                  <c:v>#N/A</c:v>
                </c:pt>
                <c:pt idx="900">
                  <c:v>17.999999999999872</c:v>
                </c:pt>
                <c:pt idx="901">
                  <c:v>#N/A</c:v>
                </c:pt>
                <c:pt idx="902">
                  <c:v>#N/A</c:v>
                </c:pt>
                <c:pt idx="903">
                  <c:v>#N/A</c:v>
                </c:pt>
                <c:pt idx="904">
                  <c:v>#N/A</c:v>
                </c:pt>
                <c:pt idx="905">
                  <c:v>#N/A</c:v>
                </c:pt>
                <c:pt idx="906">
                  <c:v>#N/A</c:v>
                </c:pt>
                <c:pt idx="907">
                  <c:v>#N/A</c:v>
                </c:pt>
                <c:pt idx="908">
                  <c:v>#N/A</c:v>
                </c:pt>
                <c:pt idx="909">
                  <c:v>#N/A</c:v>
                </c:pt>
                <c:pt idx="910">
                  <c:v>18.999999999999886</c:v>
                </c:pt>
                <c:pt idx="911">
                  <c:v>#N/A</c:v>
                </c:pt>
                <c:pt idx="912">
                  <c:v>#N/A</c:v>
                </c:pt>
                <c:pt idx="913">
                  <c:v>#N/A</c:v>
                </c:pt>
                <c:pt idx="914">
                  <c:v>#N/A</c:v>
                </c:pt>
                <c:pt idx="915">
                  <c:v>#N/A</c:v>
                </c:pt>
                <c:pt idx="916">
                  <c:v>#N/A</c:v>
                </c:pt>
                <c:pt idx="917">
                  <c:v>#N/A</c:v>
                </c:pt>
                <c:pt idx="918">
                  <c:v>#N/A</c:v>
                </c:pt>
                <c:pt idx="919">
                  <c:v>#N/A</c:v>
                </c:pt>
                <c:pt idx="920">
                  <c:v>19.999999999999901</c:v>
                </c:pt>
                <c:pt idx="921">
                  <c:v>#N/A</c:v>
                </c:pt>
                <c:pt idx="922">
                  <c:v>#N/A</c:v>
                </c:pt>
                <c:pt idx="923">
                  <c:v>#N/A</c:v>
                </c:pt>
                <c:pt idx="924">
                  <c:v>#N/A</c:v>
                </c:pt>
                <c:pt idx="925">
                  <c:v>#N/A</c:v>
                </c:pt>
                <c:pt idx="926">
                  <c:v>#N/A</c:v>
                </c:pt>
                <c:pt idx="927">
                  <c:v>#N/A</c:v>
                </c:pt>
                <c:pt idx="928">
                  <c:v>#N/A</c:v>
                </c:pt>
                <c:pt idx="929">
                  <c:v>#N/A</c:v>
                </c:pt>
                <c:pt idx="930">
                  <c:v>20.999999999999915</c:v>
                </c:pt>
                <c:pt idx="931">
                  <c:v>#N/A</c:v>
                </c:pt>
                <c:pt idx="932">
                  <c:v>#N/A</c:v>
                </c:pt>
                <c:pt idx="933">
                  <c:v>#N/A</c:v>
                </c:pt>
                <c:pt idx="934">
                  <c:v>#N/A</c:v>
                </c:pt>
                <c:pt idx="935">
                  <c:v>#N/A</c:v>
                </c:pt>
                <c:pt idx="936">
                  <c:v>#N/A</c:v>
                </c:pt>
                <c:pt idx="937">
                  <c:v>#N/A</c:v>
                </c:pt>
                <c:pt idx="938">
                  <c:v>#N/A</c:v>
                </c:pt>
                <c:pt idx="939">
                  <c:v>#N/A</c:v>
                </c:pt>
                <c:pt idx="940">
                  <c:v>21.999999999999929</c:v>
                </c:pt>
                <c:pt idx="941">
                  <c:v>#N/A</c:v>
                </c:pt>
                <c:pt idx="942">
                  <c:v>#N/A</c:v>
                </c:pt>
                <c:pt idx="943">
                  <c:v>#N/A</c:v>
                </c:pt>
                <c:pt idx="944">
                  <c:v>#N/A</c:v>
                </c:pt>
                <c:pt idx="945">
                  <c:v>#N/A</c:v>
                </c:pt>
                <c:pt idx="946">
                  <c:v>#N/A</c:v>
                </c:pt>
                <c:pt idx="947">
                  <c:v>#N/A</c:v>
                </c:pt>
                <c:pt idx="948">
                  <c:v>#N/A</c:v>
                </c:pt>
                <c:pt idx="949">
                  <c:v>#N/A</c:v>
                </c:pt>
                <c:pt idx="950">
                  <c:v>22.999999999999943</c:v>
                </c:pt>
                <c:pt idx="951">
                  <c:v>#N/A</c:v>
                </c:pt>
                <c:pt idx="952">
                  <c:v>#N/A</c:v>
                </c:pt>
                <c:pt idx="953">
                  <c:v>#N/A</c:v>
                </c:pt>
                <c:pt idx="954">
                  <c:v>#N/A</c:v>
                </c:pt>
                <c:pt idx="955">
                  <c:v>#N/A</c:v>
                </c:pt>
                <c:pt idx="956">
                  <c:v>#N/A</c:v>
                </c:pt>
                <c:pt idx="957">
                  <c:v>#N/A</c:v>
                </c:pt>
                <c:pt idx="958">
                  <c:v>#N/A</c:v>
                </c:pt>
                <c:pt idx="959">
                  <c:v>#N/A</c:v>
                </c:pt>
                <c:pt idx="960">
                  <c:v>23.999999999999957</c:v>
                </c:pt>
                <c:pt idx="961">
                  <c:v>#N/A</c:v>
                </c:pt>
                <c:pt idx="962">
                  <c:v>#N/A</c:v>
                </c:pt>
                <c:pt idx="963">
                  <c:v>#N/A</c:v>
                </c:pt>
                <c:pt idx="964">
                  <c:v>#N/A</c:v>
                </c:pt>
                <c:pt idx="965">
                  <c:v>#N/A</c:v>
                </c:pt>
                <c:pt idx="966">
                  <c:v>#N/A</c:v>
                </c:pt>
                <c:pt idx="967">
                  <c:v>#N/A</c:v>
                </c:pt>
                <c:pt idx="968">
                  <c:v>#N/A</c:v>
                </c:pt>
                <c:pt idx="969">
                  <c:v>#N/A</c:v>
                </c:pt>
                <c:pt idx="970">
                  <c:v>24.999999999999972</c:v>
                </c:pt>
                <c:pt idx="971">
                  <c:v>#N/A</c:v>
                </c:pt>
                <c:pt idx="972">
                  <c:v>#N/A</c:v>
                </c:pt>
                <c:pt idx="973">
                  <c:v>#N/A</c:v>
                </c:pt>
                <c:pt idx="974">
                  <c:v>#N/A</c:v>
                </c:pt>
                <c:pt idx="975">
                  <c:v>#N/A</c:v>
                </c:pt>
                <c:pt idx="976">
                  <c:v>#N/A</c:v>
                </c:pt>
                <c:pt idx="977">
                  <c:v>#N/A</c:v>
                </c:pt>
                <c:pt idx="978">
                  <c:v>#N/A</c:v>
                </c:pt>
                <c:pt idx="979">
                  <c:v>#N/A</c:v>
                </c:pt>
                <c:pt idx="980">
                  <c:v>25.999999999999986</c:v>
                </c:pt>
                <c:pt idx="981">
                  <c:v>#N/A</c:v>
                </c:pt>
                <c:pt idx="982">
                  <c:v>#N/A</c:v>
                </c:pt>
                <c:pt idx="983">
                  <c:v>#N/A</c:v>
                </c:pt>
                <c:pt idx="984">
                  <c:v>#N/A</c:v>
                </c:pt>
                <c:pt idx="985">
                  <c:v>#N/A</c:v>
                </c:pt>
                <c:pt idx="986">
                  <c:v>#N/A</c:v>
                </c:pt>
                <c:pt idx="987">
                  <c:v>#N/A</c:v>
                </c:pt>
                <c:pt idx="988">
                  <c:v>#N/A</c:v>
                </c:pt>
                <c:pt idx="989">
                  <c:v>#N/A</c:v>
                </c:pt>
                <c:pt idx="990">
                  <c:v>27</c:v>
                </c:pt>
                <c:pt idx="991">
                  <c:v>#N/A</c:v>
                </c:pt>
                <c:pt idx="992">
                  <c:v>#N/A</c:v>
                </c:pt>
                <c:pt idx="993">
                  <c:v>#N/A</c:v>
                </c:pt>
                <c:pt idx="994">
                  <c:v>#N/A</c:v>
                </c:pt>
                <c:pt idx="995">
                  <c:v>#N/A</c:v>
                </c:pt>
                <c:pt idx="996">
                  <c:v>#N/A</c:v>
                </c:pt>
                <c:pt idx="997">
                  <c:v>#N/A</c:v>
                </c:pt>
                <c:pt idx="998">
                  <c:v>#N/A</c:v>
                </c:pt>
                <c:pt idx="999">
                  <c:v>#N/A</c:v>
                </c:pt>
                <c:pt idx="1000">
                  <c:v>28.000000000000014</c:v>
                </c:pt>
              </c:numCache>
            </c:numRef>
          </c:xVal>
          <c:yVal>
            <c:numRef>
              <c:f>Calculs!$K$4:$K$1004</c:f>
              <c:numCache>
                <c:formatCode>0.00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4378.7963790361628</c:v>
                </c:pt>
                <c:pt idx="942">
                  <c:v>4381.900945338798</c:v>
                </c:pt>
                <c:pt idx="943">
                  <c:v>4384.8999771612835</c:v>
                </c:pt>
                <c:pt idx="944">
                  <c:v>4387.7938037868644</c:v>
                </c:pt>
                <c:pt idx="945">
                  <c:v>4390.5827465213097</c:v>
                </c:pt>
                <c:pt idx="946">
                  <c:v>4393.267118915478</c:v>
                </c:pt>
                <c:pt idx="947">
                  <c:v>4395.8472269875965</c:v>
                </c:pt>
                <c:pt idx="948">
                  <c:v>4398.3233694454912</c:v>
                </c:pt>
                <c:pt idx="949">
                  <c:v>4400.695837908982</c:v>
                </c:pt>
                <c:pt idx="950">
                  <c:v>4402.9649171326419</c:v>
                </c:pt>
                <c:pt idx="951">
                  <c:v>4405.1308852291195</c:v>
                </c:pt>
                <c:pt idx="952">
                  <c:v>4407.1940138931905</c:v>
                </c:pt>
                <c:pt idx="953">
                  <c:v>4409.1545686266982</c:v>
                </c:pt>
                <c:pt idx="954">
                  <c:v>4411.012808964525</c:v>
                </c:pt>
                <c:pt idx="955">
                  <c:v>4412.7689887017086</c:v>
                </c:pt>
                <c:pt idx="956">
                  <c:v>4414.4233561218034</c:v>
                </c:pt>
                <c:pt idx="957">
                  <c:v>4415.9761542265605</c:v>
                </c:pt>
                <c:pt idx="958">
                  <c:v>4417.4276209669806</c:v>
                </c:pt>
                <c:pt idx="959">
                  <c:v>4418.7779894757587</c:v>
                </c:pt>
                <c:pt idx="960">
                  <c:v>4420.0274883011261</c:v>
                </c:pt>
                <c:pt idx="961">
                  <c:v>4421.1763416420581</c:v>
                </c:pt>
                <c:pt idx="962">
                  <c:v>4422.22476958479</c:v>
                </c:pt>
                <c:pt idx="963">
                  <c:v>4423.1729883405569</c:v>
                </c:pt>
                <c:pt idx="964">
                  <c:v>4424.0212104844441</c:v>
                </c:pt>
                <c:pt idx="965">
                  <c:v>4424.7696451952006</c:v>
                </c:pt>
                <c:pt idx="966">
                  <c:v>4425.4184984958483</c:v>
                </c:pt>
                <c:pt idx="967">
                  <c:v>4425.9679734948777</c:v>
                </c:pt>
                <c:pt idx="968">
                  <c:v>4426.4182706278125</c:v>
                </c:pt>
                <c:pt idx="969">
                  <c:v>4426.7695878988798</c:v>
                </c:pt>
                <c:pt idx="970">
                  <c:v>4427.0221211225125</c:v>
                </c:pt>
                <c:pt idx="971">
                  <c:v>4427.1760641643823</c:v>
                </c:pt>
                <c:pt idx="972">
                  <c:v>4427.2316091816419</c:v>
                </c:pt>
                <c:pt idx="973">
                  <c:v>4427.1889468620366</c:v>
                </c:pt>
                <c:pt idx="974">
                  <c:v>4427.0482666615399</c:v>
                </c:pt>
                <c:pt idx="975">
                  <c:v>4426.8097570401396</c:v>
                </c:pt>
                <c:pt idx="976">
                  <c:v>4426.4736056954134</c:v>
                </c:pt>
                <c:pt idx="977">
                  <c:v>4426.039999793511</c:v>
                </c:pt>
                <c:pt idx="978">
                  <c:v>4425.5091261971666</c:v>
                </c:pt>
                <c:pt idx="979">
                  <c:v>4424.881171690372</c:v>
                </c:pt>
                <c:pt idx="980">
                  <c:v>4424.1563231993368</c:v>
                </c:pt>
                <c:pt idx="981">
                  <c:v>4423.334768009383</c:v>
                </c:pt>
                <c:pt idx="982">
                  <c:v>4422.4166939774168</c:v>
                </c:pt>
                <c:pt idx="983">
                  <c:v>4421.4022897396617</c:v>
                </c:pt>
                <c:pt idx="984">
                  <c:v>4420.2917449143279</c:v>
                </c:pt>
                <c:pt idx="985">
                  <c:v>4419.085250298931</c:v>
                </c:pt>
                <c:pt idx="986">
                  <c:v>4417.7829980619881</c:v>
                </c:pt>
                <c:pt idx="987">
                  <c:v>4416.3851819288539</c:v>
                </c:pt>
                <c:pt idx="988">
                  <c:v>4414.891997361462</c:v>
                </c:pt>
                <c:pt idx="989">
                  <c:v>4413.3036417317971</c:v>
                </c:pt>
                <c:pt idx="990">
                  <c:v>4411.6203144889132</c:v>
                </c:pt>
                <c:pt idx="991">
                  <c:v>4409.8422173193758</c:v>
                </c:pt>
                <c:pt idx="992">
                  <c:v>4407.9695543010057</c:v>
                </c:pt>
                <c:pt idx="993">
                  <c:v>4406.0025320498489</c:v>
                </c:pt>
                <c:pt idx="994">
                  <c:v>4403.9413598603051</c:v>
                </c:pt>
                <c:pt idx="995">
                  <c:v>4401.7862498383874</c:v>
                </c:pt>
                <c:pt idx="996">
                  <c:v>4399.5374170281102</c:v>
                </c:pt>
                <c:pt idx="997">
                  <c:v>4397.1950795310067</c:v>
                </c:pt>
                <c:pt idx="998">
                  <c:v>4394.7594586188234</c:v>
                </c:pt>
                <c:pt idx="999">
                  <c:v>4392.2307788394382</c:v>
                </c:pt>
                <c:pt idx="1000">
                  <c:v>4389.6092681160853</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Calculs!$K$4:$K$1004</c:f>
              <c:numCache>
                <c:formatCode>0.00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4378.7963790361628</c:v>
                </c:pt>
                <c:pt idx="942">
                  <c:v>4381.900945338798</c:v>
                </c:pt>
                <c:pt idx="943">
                  <c:v>4384.8999771612835</c:v>
                </c:pt>
                <c:pt idx="944">
                  <c:v>4387.7938037868644</c:v>
                </c:pt>
                <c:pt idx="945">
                  <c:v>4390.5827465213097</c:v>
                </c:pt>
                <c:pt idx="946">
                  <c:v>4393.267118915478</c:v>
                </c:pt>
                <c:pt idx="947">
                  <c:v>4395.8472269875965</c:v>
                </c:pt>
                <c:pt idx="948">
                  <c:v>4398.3233694454912</c:v>
                </c:pt>
                <c:pt idx="949">
                  <c:v>4400.695837908982</c:v>
                </c:pt>
                <c:pt idx="950">
                  <c:v>4402.9649171326419</c:v>
                </c:pt>
                <c:pt idx="951">
                  <c:v>4405.1308852291195</c:v>
                </c:pt>
                <c:pt idx="952">
                  <c:v>4407.1940138931905</c:v>
                </c:pt>
                <c:pt idx="953">
                  <c:v>4409.1545686266982</c:v>
                </c:pt>
                <c:pt idx="954">
                  <c:v>4411.012808964525</c:v>
                </c:pt>
                <c:pt idx="955">
                  <c:v>4412.7689887017086</c:v>
                </c:pt>
                <c:pt idx="956">
                  <c:v>4414.4233561218034</c:v>
                </c:pt>
                <c:pt idx="957">
                  <c:v>4415.9761542265605</c:v>
                </c:pt>
                <c:pt idx="958">
                  <c:v>4417.4276209669806</c:v>
                </c:pt>
                <c:pt idx="959">
                  <c:v>4418.7779894757587</c:v>
                </c:pt>
                <c:pt idx="960">
                  <c:v>4420.0274883011261</c:v>
                </c:pt>
                <c:pt idx="961">
                  <c:v>4421.1763416420581</c:v>
                </c:pt>
                <c:pt idx="962">
                  <c:v>4422.22476958479</c:v>
                </c:pt>
                <c:pt idx="963">
                  <c:v>4423.1729883405569</c:v>
                </c:pt>
                <c:pt idx="964">
                  <c:v>4424.0212104844441</c:v>
                </c:pt>
                <c:pt idx="965">
                  <c:v>4424.7696451952006</c:v>
                </c:pt>
                <c:pt idx="966">
                  <c:v>4425.4184984958483</c:v>
                </c:pt>
                <c:pt idx="967">
                  <c:v>4425.9679734948777</c:v>
                </c:pt>
                <c:pt idx="968">
                  <c:v>4426.4182706278125</c:v>
                </c:pt>
                <c:pt idx="969">
                  <c:v>4426.7695878988798</c:v>
                </c:pt>
                <c:pt idx="970">
                  <c:v>4427.0221211225125</c:v>
                </c:pt>
                <c:pt idx="971">
                  <c:v>4427.1760641643823</c:v>
                </c:pt>
                <c:pt idx="972">
                  <c:v>4427.2316091816419</c:v>
                </c:pt>
                <c:pt idx="973">
                  <c:v>4427.1889468620366</c:v>
                </c:pt>
                <c:pt idx="974">
                  <c:v>4427.0482666615399</c:v>
                </c:pt>
                <c:pt idx="975">
                  <c:v>4426.8097570401396</c:v>
                </c:pt>
                <c:pt idx="976">
                  <c:v>4426.4736056954134</c:v>
                </c:pt>
                <c:pt idx="977">
                  <c:v>4426.039999793511</c:v>
                </c:pt>
                <c:pt idx="978">
                  <c:v>4425.5091261971666</c:v>
                </c:pt>
                <c:pt idx="979">
                  <c:v>4424.881171690372</c:v>
                </c:pt>
                <c:pt idx="980">
                  <c:v>4424.1563231993368</c:v>
                </c:pt>
                <c:pt idx="981">
                  <c:v>4423.334768009383</c:v>
                </c:pt>
                <c:pt idx="982">
                  <c:v>4422.4166939774168</c:v>
                </c:pt>
                <c:pt idx="983">
                  <c:v>4421.4022897396617</c:v>
                </c:pt>
                <c:pt idx="984">
                  <c:v>4420.2917449143279</c:v>
                </c:pt>
                <c:pt idx="985">
                  <c:v>4419.085250298931</c:v>
                </c:pt>
                <c:pt idx="986">
                  <c:v>4417.7829980619881</c:v>
                </c:pt>
                <c:pt idx="987">
                  <c:v>4416.3851819288539</c:v>
                </c:pt>
                <c:pt idx="988">
                  <c:v>4414.891997361462</c:v>
                </c:pt>
                <c:pt idx="989">
                  <c:v>4413.3036417317971</c:v>
                </c:pt>
                <c:pt idx="990">
                  <c:v>4411.6203144889132</c:v>
                </c:pt>
                <c:pt idx="991">
                  <c:v>4409.8422173193758</c:v>
                </c:pt>
                <c:pt idx="992">
                  <c:v>4407.9695543010057</c:v>
                </c:pt>
                <c:pt idx="993">
                  <c:v>4406.0025320498489</c:v>
                </c:pt>
                <c:pt idx="994">
                  <c:v>4403.9413598603051</c:v>
                </c:pt>
                <c:pt idx="995">
                  <c:v>4401.7862498383874</c:v>
                </c:pt>
                <c:pt idx="996">
                  <c:v>4399.5374170281102</c:v>
                </c:pt>
                <c:pt idx="997">
                  <c:v>4397.1950795310067</c:v>
                </c:pt>
                <c:pt idx="998">
                  <c:v>4394.7594586188234</c:v>
                </c:pt>
                <c:pt idx="999">
                  <c:v>4392.2307788394382</c:v>
                </c:pt>
                <c:pt idx="1000">
                  <c:v>4389.6092681160853</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22</c:v>
                </c:pt>
                <c:pt idx="1">
                  <c:v>179.07365479943681</c:v>
                </c:pt>
                <c:pt idx="2">
                  <c:v>336.14730959887362</c:v>
                </c:pt>
                <c:pt idx="3">
                  <c:v>#N/A</c:v>
                </c:pt>
                <c:pt idx="4">
                  <c:v>336.14730959887362</c:v>
                </c:pt>
                <c:pt idx="5">
                  <c:v>#N/A</c:v>
                </c:pt>
                <c:pt idx="6">
                  <c:v>336.14730959887362</c:v>
                </c:pt>
              </c:numCache>
            </c:numRef>
          </c:xVal>
          <c:yVal>
            <c:numRef>
              <c:f>Trajecto!$C$132:$C$138</c:f>
              <c:numCache>
                <c:formatCode>0</c:formatCode>
                <c:ptCount val="7"/>
                <c:pt idx="0">
                  <c:v>4375.5859407695725</c:v>
                </c:pt>
                <c:pt idx="1">
                  <c:v>2187.7929703847863</c:v>
                </c:pt>
                <c:pt idx="2">
                  <c:v>0</c:v>
                </c:pt>
                <c:pt idx="3">
                  <c:v>#N/A</c:v>
                </c:pt>
                <c:pt idx="4">
                  <c:v>0</c:v>
                </c:pt>
                <c:pt idx="5">
                  <c:v>#N/A</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Calculs!$AE$4:$AE$1004</c:f>
              <c:numCache>
                <c:formatCode>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5.5</c:v>
                </c:pt>
              </c:numCache>
            </c:numRef>
          </c:xVal>
          <c:yVal>
            <c:numRef>
              <c:f>Trajecto!$C$158</c:f>
              <c:numCache>
                <c:formatCode>0</c:formatCode>
                <c:ptCount val="1"/>
                <c:pt idx="0">
                  <c:v>2187.7929703847863</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#N/A</c:v>
                </c:pt>
              </c:numCache>
            </c:numRef>
          </c:xVal>
          <c:yVal>
            <c:numRef>
              <c:f>Trajecto!$C$159</c:f>
              <c:numCache>
                <c:formatCode>0</c:formatCode>
                <c:ptCount val="1"/>
                <c:pt idx="0">
                  <c:v>2213.615804590821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Calculs!$Q$4:$Q$1004</c:f>
              <c:numCache>
                <c:formatCode>0.00</c:formatCode>
                <c:ptCount val="1001"/>
                <c:pt idx="0">
                  <c:v>0</c:v>
                </c:pt>
                <c:pt idx="1">
                  <c:v>172.8075</c:v>
                </c:pt>
                <c:pt idx="2">
                  <c:v>518.42250000000001</c:v>
                </c:pt>
                <c:pt idx="3">
                  <c:v>864.03749999999991</c:v>
                </c:pt>
                <c:pt idx="4">
                  <c:v>1209.6525000000001</c:v>
                </c:pt>
                <c:pt idx="5">
                  <c:v>1422.045875</c:v>
                </c:pt>
                <c:pt idx="6">
                  <c:v>1501.217625</c:v>
                </c:pt>
                <c:pt idx="7">
                  <c:v>1580.389375</c:v>
                </c:pt>
                <c:pt idx="8">
                  <c:v>1659.5611249999999</c:v>
                </c:pt>
                <c:pt idx="9">
                  <c:v>1702.5443966942148</c:v>
                </c:pt>
                <c:pt idx="10">
                  <c:v>1709.3391900826446</c:v>
                </c:pt>
                <c:pt idx="11">
                  <c:v>1716.1339834710743</c:v>
                </c:pt>
                <c:pt idx="12">
                  <c:v>1722.9287768595041</c:v>
                </c:pt>
                <c:pt idx="13">
                  <c:v>1729.7235702479338</c:v>
                </c:pt>
                <c:pt idx="14">
                  <c:v>1736.5183636363636</c:v>
                </c:pt>
                <c:pt idx="15">
                  <c:v>1743.3131570247933</c:v>
                </c:pt>
                <c:pt idx="16">
                  <c:v>1750.1079504132231</c:v>
                </c:pt>
                <c:pt idx="17">
                  <c:v>1756.9027438016528</c:v>
                </c:pt>
                <c:pt idx="18">
                  <c:v>1763.6975371900826</c:v>
                </c:pt>
                <c:pt idx="19">
                  <c:v>1770.4923305785123</c:v>
                </c:pt>
                <c:pt idx="20">
                  <c:v>1777.2871239669421</c:v>
                </c:pt>
                <c:pt idx="21">
                  <c:v>1781.5620487804879</c:v>
                </c:pt>
                <c:pt idx="22">
                  <c:v>1782.0571707317074</c:v>
                </c:pt>
                <c:pt idx="23">
                  <c:v>1782.5522926829269</c:v>
                </c:pt>
                <c:pt idx="24">
                  <c:v>1783.0474146341464</c:v>
                </c:pt>
                <c:pt idx="25">
                  <c:v>1783.542536585366</c:v>
                </c:pt>
                <c:pt idx="26">
                  <c:v>1784.0376585365855</c:v>
                </c:pt>
                <c:pt idx="27">
                  <c:v>1784.532780487805</c:v>
                </c:pt>
                <c:pt idx="28">
                  <c:v>1785.0279024390245</c:v>
                </c:pt>
                <c:pt idx="29">
                  <c:v>1785.523024390244</c:v>
                </c:pt>
                <c:pt idx="30">
                  <c:v>1786.0181463414635</c:v>
                </c:pt>
                <c:pt idx="31">
                  <c:v>1786.5132682926831</c:v>
                </c:pt>
                <c:pt idx="32">
                  <c:v>1787.0083902439026</c:v>
                </c:pt>
                <c:pt idx="33">
                  <c:v>1787.5035121951221</c:v>
                </c:pt>
                <c:pt idx="34">
                  <c:v>1787.9986341463416</c:v>
                </c:pt>
                <c:pt idx="35">
                  <c:v>1788.4937560975611</c:v>
                </c:pt>
                <c:pt idx="36">
                  <c:v>1788.9888780487806</c:v>
                </c:pt>
                <c:pt idx="37">
                  <c:v>1789.4840000000002</c:v>
                </c:pt>
                <c:pt idx="38">
                  <c:v>1789.9791219512197</c:v>
                </c:pt>
                <c:pt idx="39">
                  <c:v>1790.4742439024392</c:v>
                </c:pt>
                <c:pt idx="40">
                  <c:v>1790.9693658536587</c:v>
                </c:pt>
                <c:pt idx="41">
                  <c:v>1791.4644878048782</c:v>
                </c:pt>
                <c:pt idx="42">
                  <c:v>1791.9596097560977</c:v>
                </c:pt>
                <c:pt idx="43">
                  <c:v>1792.4547317073173</c:v>
                </c:pt>
                <c:pt idx="44">
                  <c:v>1792.9498536585368</c:v>
                </c:pt>
                <c:pt idx="45">
                  <c:v>1793.4449756097563</c:v>
                </c:pt>
                <c:pt idx="46">
                  <c:v>1794.4931255411257</c:v>
                </c:pt>
                <c:pt idx="47">
                  <c:v>1795.6795324675327</c:v>
                </c:pt>
                <c:pt idx="48">
                  <c:v>1796.8659393939395</c:v>
                </c:pt>
                <c:pt idx="49">
                  <c:v>1798.0523463203465</c:v>
                </c:pt>
                <c:pt idx="50">
                  <c:v>1799.2387532467533</c:v>
                </c:pt>
                <c:pt idx="51">
                  <c:v>1800.4251601731603</c:v>
                </c:pt>
                <c:pt idx="52">
                  <c:v>1801.6115670995673</c:v>
                </c:pt>
                <c:pt idx="53">
                  <c:v>1802.7979740259741</c:v>
                </c:pt>
                <c:pt idx="54">
                  <c:v>1803.9843809523811</c:v>
                </c:pt>
                <c:pt idx="55">
                  <c:v>1805.1707878787879</c:v>
                </c:pt>
                <c:pt idx="56">
                  <c:v>1806.3571948051949</c:v>
                </c:pt>
                <c:pt idx="57">
                  <c:v>1807.5436017316019</c:v>
                </c:pt>
                <c:pt idx="58">
                  <c:v>1808.7300086580087</c:v>
                </c:pt>
                <c:pt idx="59">
                  <c:v>1809.9164155844157</c:v>
                </c:pt>
                <c:pt idx="60">
                  <c:v>1811.1028225108225</c:v>
                </c:pt>
                <c:pt idx="61">
                  <c:v>1812.2892294372296</c:v>
                </c:pt>
                <c:pt idx="62">
                  <c:v>1813.4756363636366</c:v>
                </c:pt>
                <c:pt idx="63">
                  <c:v>1814.6620432900434</c:v>
                </c:pt>
                <c:pt idx="64">
                  <c:v>1815.8484502164504</c:v>
                </c:pt>
                <c:pt idx="65">
                  <c:v>1817.0348571428572</c:v>
                </c:pt>
                <c:pt idx="66">
                  <c:v>1818.2212640692642</c:v>
                </c:pt>
                <c:pt idx="67">
                  <c:v>1819.4076709956712</c:v>
                </c:pt>
                <c:pt idx="68">
                  <c:v>1820.594077922078</c:v>
                </c:pt>
                <c:pt idx="69">
                  <c:v>1830.2754875000005</c:v>
                </c:pt>
                <c:pt idx="70">
                  <c:v>1843.5976125000004</c:v>
                </c:pt>
                <c:pt idx="71">
                  <c:v>1856.9197375000006</c:v>
                </c:pt>
                <c:pt idx="72">
                  <c:v>1870.2418625000005</c:v>
                </c:pt>
                <c:pt idx="73">
                  <c:v>1883.5639875000006</c:v>
                </c:pt>
                <c:pt idx="74">
                  <c:v>1896.8861125000005</c:v>
                </c:pt>
                <c:pt idx="75">
                  <c:v>1910.2082375000007</c:v>
                </c:pt>
                <c:pt idx="76">
                  <c:v>1923.5303625000006</c:v>
                </c:pt>
                <c:pt idx="77">
                  <c:v>1921.2446105263155</c:v>
                </c:pt>
                <c:pt idx="78">
                  <c:v>1912.2697684210523</c:v>
                </c:pt>
                <c:pt idx="79">
                  <c:v>1903.2949263157891</c:v>
                </c:pt>
                <c:pt idx="80">
                  <c:v>1894.3200842105259</c:v>
                </c:pt>
                <c:pt idx="81">
                  <c:v>1885.3452421052627</c:v>
                </c:pt>
                <c:pt idx="82">
                  <c:v>1876.3703999999996</c:v>
                </c:pt>
                <c:pt idx="83">
                  <c:v>1867.3955578947364</c:v>
                </c:pt>
                <c:pt idx="84">
                  <c:v>1858.4207157894732</c:v>
                </c:pt>
                <c:pt idx="85">
                  <c:v>1849.44587368421</c:v>
                </c:pt>
                <c:pt idx="86">
                  <c:v>1842.5798040712471</c:v>
                </c:pt>
                <c:pt idx="87">
                  <c:v>1844.148824427481</c:v>
                </c:pt>
                <c:pt idx="88">
                  <c:v>1845.7178447837152</c:v>
                </c:pt>
                <c:pt idx="89">
                  <c:v>1847.2868651399492</c:v>
                </c:pt>
                <c:pt idx="90">
                  <c:v>1848.8558854961834</c:v>
                </c:pt>
                <c:pt idx="91">
                  <c:v>1850.4249058524174</c:v>
                </c:pt>
                <c:pt idx="92">
                  <c:v>1851.9939262086516</c:v>
                </c:pt>
                <c:pt idx="93">
                  <c:v>1853.5629465648856</c:v>
                </c:pt>
                <c:pt idx="94">
                  <c:v>1855.1319669211198</c:v>
                </c:pt>
                <c:pt idx="95">
                  <c:v>1856.7009872773538</c:v>
                </c:pt>
                <c:pt idx="96">
                  <c:v>1858.270007633588</c:v>
                </c:pt>
                <c:pt idx="97">
                  <c:v>1859.8390279898222</c:v>
                </c:pt>
                <c:pt idx="98">
                  <c:v>1861.4080483460561</c:v>
                </c:pt>
                <c:pt idx="99">
                  <c:v>1862.9770687022904</c:v>
                </c:pt>
                <c:pt idx="100">
                  <c:v>1864.5460890585243</c:v>
                </c:pt>
                <c:pt idx="101">
                  <c:v>1866.1151094147585</c:v>
                </c:pt>
                <c:pt idx="102">
                  <c:v>1867.6841297709925</c:v>
                </c:pt>
                <c:pt idx="103">
                  <c:v>1869.2531501272267</c:v>
                </c:pt>
                <c:pt idx="104">
                  <c:v>1870.8221704834607</c:v>
                </c:pt>
                <c:pt idx="105">
                  <c:v>1872.3911908396949</c:v>
                </c:pt>
                <c:pt idx="106">
                  <c:v>1873.9602111959289</c:v>
                </c:pt>
                <c:pt idx="107">
                  <c:v>1875.5292315521631</c:v>
                </c:pt>
                <c:pt idx="108">
                  <c:v>1877.0982519083973</c:v>
                </c:pt>
                <c:pt idx="109">
                  <c:v>1878.6672722646313</c:v>
                </c:pt>
                <c:pt idx="110">
                  <c:v>1880.2362926208655</c:v>
                </c:pt>
                <c:pt idx="111">
                  <c:v>1881.8053129770994</c:v>
                </c:pt>
                <c:pt idx="112">
                  <c:v>1883.3743333333337</c:v>
                </c:pt>
                <c:pt idx="113">
                  <c:v>1884.9433536895676</c:v>
                </c:pt>
                <c:pt idx="114">
                  <c:v>1886.5123740458018</c:v>
                </c:pt>
                <c:pt idx="115">
                  <c:v>1888.0813944020358</c:v>
                </c:pt>
                <c:pt idx="116">
                  <c:v>1889.65041475827</c:v>
                </c:pt>
                <c:pt idx="117">
                  <c:v>1891.219435114504</c:v>
                </c:pt>
                <c:pt idx="118">
                  <c:v>1892.7884554707382</c:v>
                </c:pt>
                <c:pt idx="119">
                  <c:v>1894.3574758269722</c:v>
                </c:pt>
                <c:pt idx="120">
                  <c:v>1895.9264961832064</c:v>
                </c:pt>
                <c:pt idx="121">
                  <c:v>1897.4955165394404</c:v>
                </c:pt>
                <c:pt idx="122">
                  <c:v>1899.0645368956746</c:v>
                </c:pt>
                <c:pt idx="123">
                  <c:v>1900.6335572519088</c:v>
                </c:pt>
                <c:pt idx="124">
                  <c:v>1902.2025776081427</c:v>
                </c:pt>
                <c:pt idx="125">
                  <c:v>1903.771597964377</c:v>
                </c:pt>
                <c:pt idx="126">
                  <c:v>1905.3406183206109</c:v>
                </c:pt>
                <c:pt idx="127">
                  <c:v>1906.9096386768451</c:v>
                </c:pt>
                <c:pt idx="128">
                  <c:v>1908.4786590330791</c:v>
                </c:pt>
                <c:pt idx="129">
                  <c:v>1910.0476793893133</c:v>
                </c:pt>
                <c:pt idx="130">
                  <c:v>1911.6166997455473</c:v>
                </c:pt>
                <c:pt idx="131">
                  <c:v>1913.1857201017815</c:v>
                </c:pt>
                <c:pt idx="132">
                  <c:v>1914.7547404580155</c:v>
                </c:pt>
                <c:pt idx="133">
                  <c:v>1916.3237608142497</c:v>
                </c:pt>
                <c:pt idx="134">
                  <c:v>1917.8927811704837</c:v>
                </c:pt>
                <c:pt idx="135">
                  <c:v>1919.4618015267179</c:v>
                </c:pt>
                <c:pt idx="136">
                  <c:v>1921.0308218829518</c:v>
                </c:pt>
                <c:pt idx="137">
                  <c:v>1922.599842239186</c:v>
                </c:pt>
                <c:pt idx="138">
                  <c:v>1924.1688625954203</c:v>
                </c:pt>
                <c:pt idx="139">
                  <c:v>1925.7378829516542</c:v>
                </c:pt>
                <c:pt idx="140">
                  <c:v>1927.3069033078884</c:v>
                </c:pt>
                <c:pt idx="141">
                  <c:v>1928.8759236641224</c:v>
                </c:pt>
                <c:pt idx="142">
                  <c:v>1930.4449440203566</c:v>
                </c:pt>
                <c:pt idx="143">
                  <c:v>1932.0139643765906</c:v>
                </c:pt>
                <c:pt idx="144">
                  <c:v>1933.5829847328248</c:v>
                </c:pt>
                <c:pt idx="145">
                  <c:v>1935.1520050890588</c:v>
                </c:pt>
                <c:pt idx="146">
                  <c:v>1936.721025445293</c:v>
                </c:pt>
                <c:pt idx="147">
                  <c:v>1938.290045801527</c:v>
                </c:pt>
                <c:pt idx="148">
                  <c:v>1939.8590661577612</c:v>
                </c:pt>
                <c:pt idx="149">
                  <c:v>1941.4280865139951</c:v>
                </c:pt>
                <c:pt idx="150">
                  <c:v>1942.9971068702293</c:v>
                </c:pt>
                <c:pt idx="151">
                  <c:v>1944.5661272264633</c:v>
                </c:pt>
                <c:pt idx="152">
                  <c:v>1946.1351475826975</c:v>
                </c:pt>
                <c:pt idx="153">
                  <c:v>1947.7041679389317</c:v>
                </c:pt>
                <c:pt idx="154">
                  <c:v>1949.2731882951657</c:v>
                </c:pt>
                <c:pt idx="155">
                  <c:v>1950.8422086513999</c:v>
                </c:pt>
                <c:pt idx="156">
                  <c:v>1952.4112290076339</c:v>
                </c:pt>
                <c:pt idx="157">
                  <c:v>1953.9802493638681</c:v>
                </c:pt>
                <c:pt idx="158">
                  <c:v>1955.5492697201021</c:v>
                </c:pt>
                <c:pt idx="159">
                  <c:v>1957.1182900763363</c:v>
                </c:pt>
                <c:pt idx="160">
                  <c:v>1958.6873104325703</c:v>
                </c:pt>
                <c:pt idx="161">
                  <c:v>1960.2563307888045</c:v>
                </c:pt>
                <c:pt idx="162">
                  <c:v>1961.8253511450384</c:v>
                </c:pt>
                <c:pt idx="163">
                  <c:v>1963.3943715012726</c:v>
                </c:pt>
                <c:pt idx="164">
                  <c:v>1964.9633918575066</c:v>
                </c:pt>
                <c:pt idx="165">
                  <c:v>1966.5324122137408</c:v>
                </c:pt>
                <c:pt idx="166">
                  <c:v>1968.1014325699748</c:v>
                </c:pt>
                <c:pt idx="167">
                  <c:v>1969.670452926209</c:v>
                </c:pt>
                <c:pt idx="168">
                  <c:v>1971.2394732824432</c:v>
                </c:pt>
                <c:pt idx="169">
                  <c:v>1972.8084936386772</c:v>
                </c:pt>
                <c:pt idx="170">
                  <c:v>1974.3775139949114</c:v>
                </c:pt>
                <c:pt idx="171">
                  <c:v>1975.9465343511454</c:v>
                </c:pt>
                <c:pt idx="172">
                  <c:v>1977.5155547073796</c:v>
                </c:pt>
                <c:pt idx="173">
                  <c:v>1979.0845750636136</c:v>
                </c:pt>
                <c:pt idx="174">
                  <c:v>1980.6535954198478</c:v>
                </c:pt>
                <c:pt idx="175">
                  <c:v>1982.2226157760817</c:v>
                </c:pt>
                <c:pt idx="176">
                  <c:v>1983.7916361323159</c:v>
                </c:pt>
                <c:pt idx="177">
                  <c:v>1985.3606564885499</c:v>
                </c:pt>
                <c:pt idx="178">
                  <c:v>1986.9296768447841</c:v>
                </c:pt>
                <c:pt idx="179">
                  <c:v>1988.4986972010181</c:v>
                </c:pt>
                <c:pt idx="180">
                  <c:v>1990.0677175572523</c:v>
                </c:pt>
                <c:pt idx="181">
                  <c:v>1991.6367379134863</c:v>
                </c:pt>
                <c:pt idx="182">
                  <c:v>1993.2057582697205</c:v>
                </c:pt>
                <c:pt idx="183">
                  <c:v>1994.7747786259547</c:v>
                </c:pt>
                <c:pt idx="184">
                  <c:v>1996.3437989821887</c:v>
                </c:pt>
                <c:pt idx="185">
                  <c:v>1997.9128193384229</c:v>
                </c:pt>
                <c:pt idx="186">
                  <c:v>1999.4818396946569</c:v>
                </c:pt>
                <c:pt idx="187">
                  <c:v>2001.0508600508911</c:v>
                </c:pt>
                <c:pt idx="188">
                  <c:v>2002.619880407125</c:v>
                </c:pt>
                <c:pt idx="189">
                  <c:v>2004.1889007633592</c:v>
                </c:pt>
                <c:pt idx="190">
                  <c:v>2005.7579211195932</c:v>
                </c:pt>
                <c:pt idx="191">
                  <c:v>2007.3269414758274</c:v>
                </c:pt>
                <c:pt idx="192">
                  <c:v>2008.8959618320614</c:v>
                </c:pt>
                <c:pt idx="193">
                  <c:v>2010.4649821882956</c:v>
                </c:pt>
                <c:pt idx="194">
                  <c:v>2012.0340025445296</c:v>
                </c:pt>
                <c:pt idx="195">
                  <c:v>2013.6030229007638</c:v>
                </c:pt>
                <c:pt idx="196">
                  <c:v>2015.1720432569978</c:v>
                </c:pt>
                <c:pt idx="197">
                  <c:v>2016.741063613232</c:v>
                </c:pt>
                <c:pt idx="198">
                  <c:v>2018.3100839694662</c:v>
                </c:pt>
                <c:pt idx="199">
                  <c:v>2019.8791043257002</c:v>
                </c:pt>
                <c:pt idx="200">
                  <c:v>2021.4481246819341</c:v>
                </c:pt>
                <c:pt idx="201">
                  <c:v>2023.0171450381683</c:v>
                </c:pt>
                <c:pt idx="202">
                  <c:v>2024.5861653944023</c:v>
                </c:pt>
                <c:pt idx="203">
                  <c:v>2026.1551857506365</c:v>
                </c:pt>
                <c:pt idx="204">
                  <c:v>2027.7242061068705</c:v>
                </c:pt>
                <c:pt idx="205">
                  <c:v>2029.2932264631045</c:v>
                </c:pt>
                <c:pt idx="206">
                  <c:v>2030.8622468193387</c:v>
                </c:pt>
                <c:pt idx="207">
                  <c:v>2032.4312671755727</c:v>
                </c:pt>
                <c:pt idx="208">
                  <c:v>2034.0002875318069</c:v>
                </c:pt>
                <c:pt idx="209">
                  <c:v>2035.5693078880408</c:v>
                </c:pt>
                <c:pt idx="210">
                  <c:v>2037.1383282442748</c:v>
                </c:pt>
                <c:pt idx="211">
                  <c:v>2038.707348600509</c:v>
                </c:pt>
                <c:pt idx="212">
                  <c:v>2040.276368956743</c:v>
                </c:pt>
                <c:pt idx="213">
                  <c:v>2041.845389312977</c:v>
                </c:pt>
                <c:pt idx="214">
                  <c:v>2043.4144096692112</c:v>
                </c:pt>
                <c:pt idx="215">
                  <c:v>2044.9834300254452</c:v>
                </c:pt>
                <c:pt idx="216">
                  <c:v>2046.5524503816791</c:v>
                </c:pt>
                <c:pt idx="217">
                  <c:v>2048.1214707379131</c:v>
                </c:pt>
                <c:pt idx="218">
                  <c:v>2049.6904910941475</c:v>
                </c:pt>
                <c:pt idx="219">
                  <c:v>2051.2595114503815</c:v>
                </c:pt>
                <c:pt idx="220">
                  <c:v>2052.8285318066155</c:v>
                </c:pt>
                <c:pt idx="221">
                  <c:v>2054.3975521628495</c:v>
                </c:pt>
                <c:pt idx="222">
                  <c:v>2055.9665725190835</c:v>
                </c:pt>
                <c:pt idx="223">
                  <c:v>2057.5355928753179</c:v>
                </c:pt>
                <c:pt idx="224">
                  <c:v>2059.1046132315519</c:v>
                </c:pt>
                <c:pt idx="225">
                  <c:v>2060.6736335877858</c:v>
                </c:pt>
                <c:pt idx="226">
                  <c:v>2062.2426539440198</c:v>
                </c:pt>
                <c:pt idx="227">
                  <c:v>2063.8116743002538</c:v>
                </c:pt>
                <c:pt idx="228">
                  <c:v>2065.3806946564882</c:v>
                </c:pt>
                <c:pt idx="229">
                  <c:v>2066.9497150127222</c:v>
                </c:pt>
                <c:pt idx="230">
                  <c:v>2068.5187353689562</c:v>
                </c:pt>
                <c:pt idx="231">
                  <c:v>2070.0877557251902</c:v>
                </c:pt>
                <c:pt idx="232">
                  <c:v>2071.6567760814241</c:v>
                </c:pt>
                <c:pt idx="233">
                  <c:v>2073.2257964376586</c:v>
                </c:pt>
                <c:pt idx="234">
                  <c:v>2074.7948167938926</c:v>
                </c:pt>
                <c:pt idx="235">
                  <c:v>2076.3638371501265</c:v>
                </c:pt>
                <c:pt idx="236">
                  <c:v>2077.9328575063605</c:v>
                </c:pt>
                <c:pt idx="237">
                  <c:v>2079.5018778625945</c:v>
                </c:pt>
                <c:pt idx="238">
                  <c:v>2081.0708982188285</c:v>
                </c:pt>
                <c:pt idx="239">
                  <c:v>2082.6399185750629</c:v>
                </c:pt>
                <c:pt idx="240">
                  <c:v>2084.2089389312969</c:v>
                </c:pt>
                <c:pt idx="241">
                  <c:v>2085.7779592875308</c:v>
                </c:pt>
                <c:pt idx="242">
                  <c:v>2087.3469796437648</c:v>
                </c:pt>
                <c:pt idx="243">
                  <c:v>2088.9159999999988</c:v>
                </c:pt>
                <c:pt idx="244">
                  <c:v>2098.5319999999929</c:v>
                </c:pt>
                <c:pt idx="245">
                  <c:v>2108.1479999999924</c:v>
                </c:pt>
                <c:pt idx="246">
                  <c:v>2117.7639999999924</c:v>
                </c:pt>
                <c:pt idx="247">
                  <c:v>2127.3799999999919</c:v>
                </c:pt>
                <c:pt idx="248">
                  <c:v>2136.9959999999919</c:v>
                </c:pt>
                <c:pt idx="249">
                  <c:v>2146.6119999999914</c:v>
                </c:pt>
                <c:pt idx="250">
                  <c:v>2156.2279999999914</c:v>
                </c:pt>
                <c:pt idx="251">
                  <c:v>2165.843999999991</c:v>
                </c:pt>
                <c:pt idx="252">
                  <c:v>2175.4599999999909</c:v>
                </c:pt>
                <c:pt idx="253">
                  <c:v>2180.647045643153</c:v>
                </c:pt>
                <c:pt idx="254">
                  <c:v>2181.4051369294598</c:v>
                </c:pt>
                <c:pt idx="255">
                  <c:v>2182.163228215767</c:v>
                </c:pt>
                <c:pt idx="256">
                  <c:v>2182.9213195020739</c:v>
                </c:pt>
                <c:pt idx="257">
                  <c:v>2183.6794107883811</c:v>
                </c:pt>
                <c:pt idx="258">
                  <c:v>2184.4375020746879</c:v>
                </c:pt>
                <c:pt idx="259">
                  <c:v>2185.1955933609952</c:v>
                </c:pt>
                <c:pt idx="260">
                  <c:v>2185.953684647302</c:v>
                </c:pt>
                <c:pt idx="261">
                  <c:v>2186.7117759336093</c:v>
                </c:pt>
                <c:pt idx="262">
                  <c:v>2187.4698672199161</c:v>
                </c:pt>
                <c:pt idx="263">
                  <c:v>2188.2279585062233</c:v>
                </c:pt>
                <c:pt idx="264">
                  <c:v>2188.9860497925301</c:v>
                </c:pt>
                <c:pt idx="265">
                  <c:v>2189.7441410788374</c:v>
                </c:pt>
                <c:pt idx="266">
                  <c:v>2190.5022323651442</c:v>
                </c:pt>
                <c:pt idx="267">
                  <c:v>2191.2603236514515</c:v>
                </c:pt>
                <c:pt idx="268">
                  <c:v>2192.0184149377583</c:v>
                </c:pt>
                <c:pt idx="269">
                  <c:v>2192.7765062240655</c:v>
                </c:pt>
                <c:pt idx="270">
                  <c:v>2193.5345975103724</c:v>
                </c:pt>
                <c:pt idx="271">
                  <c:v>2194.2926887966796</c:v>
                </c:pt>
                <c:pt idx="272">
                  <c:v>2195.0507800829864</c:v>
                </c:pt>
                <c:pt idx="273">
                  <c:v>2195.8088713692937</c:v>
                </c:pt>
                <c:pt idx="274">
                  <c:v>2196.5669626556005</c:v>
                </c:pt>
                <c:pt idx="275">
                  <c:v>2197.3250539419078</c:v>
                </c:pt>
                <c:pt idx="276">
                  <c:v>2198.0831452282146</c:v>
                </c:pt>
                <c:pt idx="277">
                  <c:v>2198.6284962852892</c:v>
                </c:pt>
                <c:pt idx="278">
                  <c:v>2198.854736998514</c:v>
                </c:pt>
                <c:pt idx="279">
                  <c:v>2199.0809777117383</c:v>
                </c:pt>
                <c:pt idx="280">
                  <c:v>2199.3072184249627</c:v>
                </c:pt>
                <c:pt idx="281">
                  <c:v>2199.533459138187</c:v>
                </c:pt>
                <c:pt idx="282">
                  <c:v>2199.7596998514114</c:v>
                </c:pt>
                <c:pt idx="283">
                  <c:v>2199.9859405646357</c:v>
                </c:pt>
                <c:pt idx="284">
                  <c:v>2200.2121812778601</c:v>
                </c:pt>
                <c:pt idx="285">
                  <c:v>2200.4384219910844</c:v>
                </c:pt>
                <c:pt idx="286">
                  <c:v>2200.6646627043087</c:v>
                </c:pt>
                <c:pt idx="287">
                  <c:v>2200.8909034175331</c:v>
                </c:pt>
                <c:pt idx="288">
                  <c:v>2201.1171441307574</c:v>
                </c:pt>
                <c:pt idx="289">
                  <c:v>2201.3433848439818</c:v>
                </c:pt>
                <c:pt idx="290">
                  <c:v>2201.5696255572061</c:v>
                </c:pt>
                <c:pt idx="291">
                  <c:v>2201.7958662704305</c:v>
                </c:pt>
                <c:pt idx="292">
                  <c:v>2202.0221069836548</c:v>
                </c:pt>
                <c:pt idx="293">
                  <c:v>2202.2483476968791</c:v>
                </c:pt>
                <c:pt idx="294">
                  <c:v>2202.4745884101035</c:v>
                </c:pt>
                <c:pt idx="295">
                  <c:v>2202.7008291233278</c:v>
                </c:pt>
                <c:pt idx="296">
                  <c:v>2202.9270698365522</c:v>
                </c:pt>
                <c:pt idx="297">
                  <c:v>2203.1533105497765</c:v>
                </c:pt>
                <c:pt idx="298">
                  <c:v>2203.3795512630013</c:v>
                </c:pt>
                <c:pt idx="299">
                  <c:v>2203.6057919762256</c:v>
                </c:pt>
                <c:pt idx="300">
                  <c:v>2203.83203268945</c:v>
                </c:pt>
                <c:pt idx="301">
                  <c:v>2204.0582734026743</c:v>
                </c:pt>
                <c:pt idx="302">
                  <c:v>2204.2845141158987</c:v>
                </c:pt>
                <c:pt idx="303">
                  <c:v>2204.510754829123</c:v>
                </c:pt>
                <c:pt idx="304">
                  <c:v>2204.7369955423474</c:v>
                </c:pt>
                <c:pt idx="305">
                  <c:v>2204.9632362555717</c:v>
                </c:pt>
                <c:pt idx="306">
                  <c:v>2205.189476968796</c:v>
                </c:pt>
                <c:pt idx="307">
                  <c:v>2205.4157176820204</c:v>
                </c:pt>
                <c:pt idx="308">
                  <c:v>2205.6419583952447</c:v>
                </c:pt>
                <c:pt idx="309">
                  <c:v>2205.8681991084691</c:v>
                </c:pt>
                <c:pt idx="310">
                  <c:v>2206.0944398216934</c:v>
                </c:pt>
                <c:pt idx="311">
                  <c:v>2206.3206805349178</c:v>
                </c:pt>
                <c:pt idx="312">
                  <c:v>2206.5469212481421</c:v>
                </c:pt>
                <c:pt idx="313">
                  <c:v>2206.7731619613664</c:v>
                </c:pt>
                <c:pt idx="314">
                  <c:v>2206.9994026745908</c:v>
                </c:pt>
                <c:pt idx="315">
                  <c:v>2207.2256433878151</c:v>
                </c:pt>
                <c:pt idx="316">
                  <c:v>2207.4518841010395</c:v>
                </c:pt>
                <c:pt idx="317">
                  <c:v>2207.6781248142638</c:v>
                </c:pt>
                <c:pt idx="318">
                  <c:v>2207.9043655274886</c:v>
                </c:pt>
                <c:pt idx="319">
                  <c:v>2208.130606240713</c:v>
                </c:pt>
                <c:pt idx="320">
                  <c:v>2208.3568469539373</c:v>
                </c:pt>
                <c:pt idx="321">
                  <c:v>2208.5830876671616</c:v>
                </c:pt>
                <c:pt idx="322">
                  <c:v>2208.809328380386</c:v>
                </c:pt>
                <c:pt idx="323">
                  <c:v>2209.0355690936103</c:v>
                </c:pt>
                <c:pt idx="324">
                  <c:v>2209.2618098068347</c:v>
                </c:pt>
                <c:pt idx="325">
                  <c:v>2209.488050520059</c:v>
                </c:pt>
                <c:pt idx="326">
                  <c:v>2209.7142912332833</c:v>
                </c:pt>
                <c:pt idx="327">
                  <c:v>2209.9405319465077</c:v>
                </c:pt>
                <c:pt idx="328">
                  <c:v>2210.166772659732</c:v>
                </c:pt>
                <c:pt idx="329">
                  <c:v>2210.3930133729564</c:v>
                </c:pt>
                <c:pt idx="330">
                  <c:v>2210.6192540861807</c:v>
                </c:pt>
                <c:pt idx="331">
                  <c:v>2210.8454947994051</c:v>
                </c:pt>
                <c:pt idx="332">
                  <c:v>2211.0717355126294</c:v>
                </c:pt>
                <c:pt idx="333">
                  <c:v>2211.2979762258537</c:v>
                </c:pt>
                <c:pt idx="334">
                  <c:v>2211.5242169390781</c:v>
                </c:pt>
                <c:pt idx="335">
                  <c:v>2211.7504576523024</c:v>
                </c:pt>
                <c:pt idx="336">
                  <c:v>2211.9766983655268</c:v>
                </c:pt>
                <c:pt idx="337">
                  <c:v>2212.2029390787511</c:v>
                </c:pt>
                <c:pt idx="338">
                  <c:v>2212.4291797919759</c:v>
                </c:pt>
                <c:pt idx="339">
                  <c:v>2212.6554205052003</c:v>
                </c:pt>
                <c:pt idx="340">
                  <c:v>2212.8816612184246</c:v>
                </c:pt>
                <c:pt idx="341">
                  <c:v>2213.1079019316489</c:v>
                </c:pt>
                <c:pt idx="342">
                  <c:v>2213.3341426448733</c:v>
                </c:pt>
                <c:pt idx="343">
                  <c:v>2213.5603833580976</c:v>
                </c:pt>
                <c:pt idx="344">
                  <c:v>2213.9590569394963</c:v>
                </c:pt>
                <c:pt idx="345">
                  <c:v>2215.9096263345141</c:v>
                </c:pt>
                <c:pt idx="346">
                  <c:v>2217.8601957295318</c:v>
                </c:pt>
                <c:pt idx="347">
                  <c:v>2219.8107651245496</c:v>
                </c:pt>
                <c:pt idx="348">
                  <c:v>2221.7613345195673</c:v>
                </c:pt>
                <c:pt idx="349">
                  <c:v>2223.711903914585</c:v>
                </c:pt>
                <c:pt idx="350">
                  <c:v>2225.6624733096028</c:v>
                </c:pt>
                <c:pt idx="351">
                  <c:v>2227.6130427046205</c:v>
                </c:pt>
                <c:pt idx="352">
                  <c:v>2229.5636120996382</c:v>
                </c:pt>
                <c:pt idx="353">
                  <c:v>2231.514181494656</c:v>
                </c:pt>
                <c:pt idx="354">
                  <c:v>2233.4647508896737</c:v>
                </c:pt>
                <c:pt idx="355">
                  <c:v>2235.4153202846915</c:v>
                </c:pt>
                <c:pt idx="356">
                  <c:v>2237.3658896797092</c:v>
                </c:pt>
                <c:pt idx="357">
                  <c:v>2239.3164590747269</c:v>
                </c:pt>
                <c:pt idx="358">
                  <c:v>2241.2670284697447</c:v>
                </c:pt>
                <c:pt idx="359">
                  <c:v>2243.2175978647624</c:v>
                </c:pt>
                <c:pt idx="360">
                  <c:v>2245.1681672597801</c:v>
                </c:pt>
                <c:pt idx="361">
                  <c:v>2247.1187366547979</c:v>
                </c:pt>
                <c:pt idx="362">
                  <c:v>2249.0693060498156</c:v>
                </c:pt>
                <c:pt idx="363">
                  <c:v>2251.0198754448334</c:v>
                </c:pt>
                <c:pt idx="364">
                  <c:v>2252.9704448398511</c:v>
                </c:pt>
                <c:pt idx="365">
                  <c:v>2254.9210142348688</c:v>
                </c:pt>
                <c:pt idx="366">
                  <c:v>2256.8715836298866</c:v>
                </c:pt>
                <c:pt idx="367">
                  <c:v>2258.8221530249043</c:v>
                </c:pt>
                <c:pt idx="368">
                  <c:v>2260.772722419922</c:v>
                </c:pt>
                <c:pt idx="369">
                  <c:v>2262.7232918149398</c:v>
                </c:pt>
                <c:pt idx="370">
                  <c:v>2264.6738612099575</c:v>
                </c:pt>
                <c:pt idx="371">
                  <c:v>2266.6244306049753</c:v>
                </c:pt>
                <c:pt idx="372">
                  <c:v>2268.574999999993</c:v>
                </c:pt>
                <c:pt idx="373">
                  <c:v>2269.4161878453006</c:v>
                </c:pt>
                <c:pt idx="374">
                  <c:v>2270.2573756906045</c:v>
                </c:pt>
                <c:pt idx="375">
                  <c:v>2271.0985635359084</c:v>
                </c:pt>
                <c:pt idx="376">
                  <c:v>2271.9397513812123</c:v>
                </c:pt>
                <c:pt idx="377">
                  <c:v>2272.7809392265162</c:v>
                </c:pt>
                <c:pt idx="378">
                  <c:v>2273.6221270718202</c:v>
                </c:pt>
                <c:pt idx="379">
                  <c:v>2274.4633149171236</c:v>
                </c:pt>
                <c:pt idx="380">
                  <c:v>2275.3045027624275</c:v>
                </c:pt>
                <c:pt idx="381">
                  <c:v>2276.1456906077315</c:v>
                </c:pt>
                <c:pt idx="382">
                  <c:v>2276.9868784530354</c:v>
                </c:pt>
                <c:pt idx="383">
                  <c:v>2277.8280662983393</c:v>
                </c:pt>
                <c:pt idx="384">
                  <c:v>2278.6692541436432</c:v>
                </c:pt>
                <c:pt idx="385">
                  <c:v>2279.5104419889467</c:v>
                </c:pt>
                <c:pt idx="386">
                  <c:v>2280.3516298342506</c:v>
                </c:pt>
                <c:pt idx="387">
                  <c:v>2281.1928176795545</c:v>
                </c:pt>
                <c:pt idx="388">
                  <c:v>2282.0340055248585</c:v>
                </c:pt>
                <c:pt idx="389">
                  <c:v>2282.8751933701624</c:v>
                </c:pt>
                <c:pt idx="390">
                  <c:v>2283.7163812154663</c:v>
                </c:pt>
                <c:pt idx="391">
                  <c:v>2284.5575690607702</c:v>
                </c:pt>
                <c:pt idx="392">
                  <c:v>2285.3987569060737</c:v>
                </c:pt>
                <c:pt idx="393">
                  <c:v>2286.2399447513776</c:v>
                </c:pt>
                <c:pt idx="394">
                  <c:v>2287.0811325966815</c:v>
                </c:pt>
                <c:pt idx="395">
                  <c:v>2287.9223204419854</c:v>
                </c:pt>
                <c:pt idx="396">
                  <c:v>2288.7635082872894</c:v>
                </c:pt>
                <c:pt idx="397">
                  <c:v>2289.6046961325933</c:v>
                </c:pt>
                <c:pt idx="398">
                  <c:v>2290.4458839778968</c:v>
                </c:pt>
                <c:pt idx="399">
                  <c:v>2291.2870718232007</c:v>
                </c:pt>
                <c:pt idx="400">
                  <c:v>2292.1282596685046</c:v>
                </c:pt>
                <c:pt idx="401">
                  <c:v>2292.9694475138085</c:v>
                </c:pt>
                <c:pt idx="402">
                  <c:v>2293.8106353591124</c:v>
                </c:pt>
                <c:pt idx="403">
                  <c:v>2294.6518232044164</c:v>
                </c:pt>
                <c:pt idx="404">
                  <c:v>2295.4930110497203</c:v>
                </c:pt>
                <c:pt idx="405">
                  <c:v>2296.3341988950237</c:v>
                </c:pt>
                <c:pt idx="406">
                  <c:v>2297.1753867403277</c:v>
                </c:pt>
                <c:pt idx="407">
                  <c:v>2298.0165745856316</c:v>
                </c:pt>
                <c:pt idx="408">
                  <c:v>2298.8577624309355</c:v>
                </c:pt>
                <c:pt idx="409">
                  <c:v>2298.4742265005689</c:v>
                </c:pt>
                <c:pt idx="410">
                  <c:v>2297.7845096262768</c:v>
                </c:pt>
                <c:pt idx="411">
                  <c:v>2297.0947927519846</c:v>
                </c:pt>
                <c:pt idx="412">
                  <c:v>2296.4050758776925</c:v>
                </c:pt>
                <c:pt idx="413">
                  <c:v>2295.7153590034004</c:v>
                </c:pt>
                <c:pt idx="414">
                  <c:v>2295.0256421291083</c:v>
                </c:pt>
                <c:pt idx="415">
                  <c:v>2294.3359252548162</c:v>
                </c:pt>
                <c:pt idx="416">
                  <c:v>2293.6462083805236</c:v>
                </c:pt>
                <c:pt idx="417">
                  <c:v>2292.9564915062315</c:v>
                </c:pt>
                <c:pt idx="418">
                  <c:v>2292.2667746319394</c:v>
                </c:pt>
                <c:pt idx="419">
                  <c:v>2291.5770577576473</c:v>
                </c:pt>
                <c:pt idx="420">
                  <c:v>2290.8873408833551</c:v>
                </c:pt>
                <c:pt idx="421">
                  <c:v>2290.197624009063</c:v>
                </c:pt>
                <c:pt idx="422">
                  <c:v>2289.5079071347709</c:v>
                </c:pt>
                <c:pt idx="423">
                  <c:v>2288.8181902604788</c:v>
                </c:pt>
                <c:pt idx="424">
                  <c:v>2288.1284733861867</c:v>
                </c:pt>
                <c:pt idx="425">
                  <c:v>2287.4387565118941</c:v>
                </c:pt>
                <c:pt idx="426">
                  <c:v>2286.749039637602</c:v>
                </c:pt>
                <c:pt idx="427">
                  <c:v>2286.0593227633099</c:v>
                </c:pt>
                <c:pt idx="428">
                  <c:v>2285.3696058890177</c:v>
                </c:pt>
                <c:pt idx="429">
                  <c:v>2284.6798890147256</c:v>
                </c:pt>
                <c:pt idx="430">
                  <c:v>2283.9901721404335</c:v>
                </c:pt>
                <c:pt idx="431">
                  <c:v>2283.3004552661414</c:v>
                </c:pt>
                <c:pt idx="432">
                  <c:v>2282.6107383918493</c:v>
                </c:pt>
                <c:pt idx="433">
                  <c:v>2281.9210215175567</c:v>
                </c:pt>
                <c:pt idx="434">
                  <c:v>2281.2313046432646</c:v>
                </c:pt>
                <c:pt idx="435">
                  <c:v>2280.5415877689725</c:v>
                </c:pt>
                <c:pt idx="436">
                  <c:v>2279.8518708946804</c:v>
                </c:pt>
                <c:pt idx="437">
                  <c:v>2279.1621540203882</c:v>
                </c:pt>
                <c:pt idx="438">
                  <c:v>2278.4724371460961</c:v>
                </c:pt>
                <c:pt idx="439">
                  <c:v>2277.782720271804</c:v>
                </c:pt>
                <c:pt idx="440">
                  <c:v>2277.0930033975119</c:v>
                </c:pt>
                <c:pt idx="441">
                  <c:v>2276.4032865232193</c:v>
                </c:pt>
                <c:pt idx="442">
                  <c:v>2275.7135696489272</c:v>
                </c:pt>
                <c:pt idx="443">
                  <c:v>2275.0238527746351</c:v>
                </c:pt>
                <c:pt idx="444">
                  <c:v>2274.334135900343</c:v>
                </c:pt>
                <c:pt idx="445">
                  <c:v>2273.6444190260509</c:v>
                </c:pt>
                <c:pt idx="446">
                  <c:v>2272.9547021517587</c:v>
                </c:pt>
                <c:pt idx="447">
                  <c:v>2272.2649852774666</c:v>
                </c:pt>
                <c:pt idx="448">
                  <c:v>2271.5752684031745</c:v>
                </c:pt>
                <c:pt idx="449">
                  <c:v>2270.8855515288824</c:v>
                </c:pt>
                <c:pt idx="450">
                  <c:v>2270.1958346545898</c:v>
                </c:pt>
                <c:pt idx="451">
                  <c:v>2269.5061177802977</c:v>
                </c:pt>
                <c:pt idx="452">
                  <c:v>2268.8164009060056</c:v>
                </c:pt>
                <c:pt idx="453">
                  <c:v>2268.1266840317135</c:v>
                </c:pt>
                <c:pt idx="454">
                  <c:v>2267.4369671574213</c:v>
                </c:pt>
                <c:pt idx="455">
                  <c:v>2266.7472502831292</c:v>
                </c:pt>
                <c:pt idx="456">
                  <c:v>2266.0575334088371</c:v>
                </c:pt>
                <c:pt idx="457">
                  <c:v>2265.367816534545</c:v>
                </c:pt>
                <c:pt idx="458">
                  <c:v>2264.6780996602524</c:v>
                </c:pt>
                <c:pt idx="459">
                  <c:v>2263.9883827859603</c:v>
                </c:pt>
                <c:pt idx="460">
                  <c:v>2263.2986659116682</c:v>
                </c:pt>
                <c:pt idx="461">
                  <c:v>2262.6089490373761</c:v>
                </c:pt>
                <c:pt idx="462">
                  <c:v>2261.919232163084</c:v>
                </c:pt>
                <c:pt idx="463">
                  <c:v>2261.2295152887918</c:v>
                </c:pt>
                <c:pt idx="464">
                  <c:v>2260.5397984144997</c:v>
                </c:pt>
                <c:pt idx="465">
                  <c:v>2259.8500815402076</c:v>
                </c:pt>
                <c:pt idx="466">
                  <c:v>2259.160364665915</c:v>
                </c:pt>
                <c:pt idx="467">
                  <c:v>2258.4706477916229</c:v>
                </c:pt>
                <c:pt idx="468">
                  <c:v>2257.7809309173308</c:v>
                </c:pt>
                <c:pt idx="469">
                  <c:v>2257.0912140430387</c:v>
                </c:pt>
                <c:pt idx="470">
                  <c:v>2256.4014971687466</c:v>
                </c:pt>
                <c:pt idx="471">
                  <c:v>2255.7117802944545</c:v>
                </c:pt>
                <c:pt idx="472">
                  <c:v>2255.0220634201623</c:v>
                </c:pt>
                <c:pt idx="473">
                  <c:v>2254.3323465458702</c:v>
                </c:pt>
                <c:pt idx="474">
                  <c:v>2253.6426296715781</c:v>
                </c:pt>
                <c:pt idx="475">
                  <c:v>2252.9529127972855</c:v>
                </c:pt>
                <c:pt idx="476">
                  <c:v>2252.2631959229934</c:v>
                </c:pt>
                <c:pt idx="477">
                  <c:v>2251.5734790487013</c:v>
                </c:pt>
                <c:pt idx="478">
                  <c:v>2250.8837621744092</c:v>
                </c:pt>
                <c:pt idx="479">
                  <c:v>2250.1940453001171</c:v>
                </c:pt>
                <c:pt idx="480">
                  <c:v>2249.504328425825</c:v>
                </c:pt>
                <c:pt idx="481">
                  <c:v>2248.8146115515328</c:v>
                </c:pt>
                <c:pt idx="482">
                  <c:v>2248.1248946772407</c:v>
                </c:pt>
                <c:pt idx="483">
                  <c:v>2247.4351778029481</c:v>
                </c:pt>
                <c:pt idx="484">
                  <c:v>2246.745460928656</c:v>
                </c:pt>
                <c:pt idx="485">
                  <c:v>2246.0557440543639</c:v>
                </c:pt>
                <c:pt idx="486">
                  <c:v>2245.3660271800718</c:v>
                </c:pt>
                <c:pt idx="487">
                  <c:v>2244.6763103057797</c:v>
                </c:pt>
                <c:pt idx="488">
                  <c:v>2243.9865934314876</c:v>
                </c:pt>
                <c:pt idx="489">
                  <c:v>2243.2968765571954</c:v>
                </c:pt>
                <c:pt idx="490">
                  <c:v>2242.6071596829033</c:v>
                </c:pt>
                <c:pt idx="491">
                  <c:v>2241.9174428086108</c:v>
                </c:pt>
                <c:pt idx="492">
                  <c:v>2241.2277259343186</c:v>
                </c:pt>
                <c:pt idx="493">
                  <c:v>2240.5380090600265</c:v>
                </c:pt>
                <c:pt idx="494">
                  <c:v>2239.8482921857344</c:v>
                </c:pt>
                <c:pt idx="495">
                  <c:v>2239.1585753114423</c:v>
                </c:pt>
                <c:pt idx="496">
                  <c:v>2238.4688584371502</c:v>
                </c:pt>
                <c:pt idx="497">
                  <c:v>2237.4085300751967</c:v>
                </c:pt>
                <c:pt idx="498">
                  <c:v>2235.9775902255724</c:v>
                </c:pt>
                <c:pt idx="499">
                  <c:v>2234.5466503759485</c:v>
                </c:pt>
                <c:pt idx="500">
                  <c:v>2233.1157105263246</c:v>
                </c:pt>
                <c:pt idx="501">
                  <c:v>2231.6847706767003</c:v>
                </c:pt>
                <c:pt idx="502">
                  <c:v>2230.2538308270764</c:v>
                </c:pt>
                <c:pt idx="503">
                  <c:v>2228.8228909774525</c:v>
                </c:pt>
                <c:pt idx="504">
                  <c:v>2227.3919511278282</c:v>
                </c:pt>
                <c:pt idx="505">
                  <c:v>2225.9610112782043</c:v>
                </c:pt>
                <c:pt idx="506">
                  <c:v>2224.5300714285804</c:v>
                </c:pt>
                <c:pt idx="507">
                  <c:v>2223.0991315789565</c:v>
                </c:pt>
                <c:pt idx="508">
                  <c:v>2221.6681917293322</c:v>
                </c:pt>
                <c:pt idx="509">
                  <c:v>2220.2372518797083</c:v>
                </c:pt>
                <c:pt idx="510">
                  <c:v>2218.8063120300844</c:v>
                </c:pt>
                <c:pt idx="511">
                  <c:v>2217.3753721804601</c:v>
                </c:pt>
                <c:pt idx="512">
                  <c:v>2215.9444323308362</c:v>
                </c:pt>
                <c:pt idx="513">
                  <c:v>2214.5134924812123</c:v>
                </c:pt>
                <c:pt idx="514">
                  <c:v>2213.082552631588</c:v>
                </c:pt>
                <c:pt idx="515">
                  <c:v>2211.6516127819641</c:v>
                </c:pt>
                <c:pt idx="516">
                  <c:v>2210.2206729323402</c:v>
                </c:pt>
                <c:pt idx="517">
                  <c:v>2208.7897330827159</c:v>
                </c:pt>
                <c:pt idx="518">
                  <c:v>2207.358793233092</c:v>
                </c:pt>
                <c:pt idx="519">
                  <c:v>2205.9278533834681</c:v>
                </c:pt>
                <c:pt idx="520">
                  <c:v>2204.4969135338438</c:v>
                </c:pt>
                <c:pt idx="521">
                  <c:v>2203.0659736842199</c:v>
                </c:pt>
                <c:pt idx="522">
                  <c:v>2201.635033834596</c:v>
                </c:pt>
                <c:pt idx="523">
                  <c:v>2200.2040939849721</c:v>
                </c:pt>
                <c:pt idx="524">
                  <c:v>2198.7731541353478</c:v>
                </c:pt>
                <c:pt idx="525">
                  <c:v>2197.3422142857239</c:v>
                </c:pt>
                <c:pt idx="526">
                  <c:v>2195.9112744361</c:v>
                </c:pt>
                <c:pt idx="527">
                  <c:v>2194.4803345864757</c:v>
                </c:pt>
                <c:pt idx="528">
                  <c:v>2193.0493947368518</c:v>
                </c:pt>
                <c:pt idx="529">
                  <c:v>2191.6184548872279</c:v>
                </c:pt>
                <c:pt idx="530">
                  <c:v>2190.1875150376036</c:v>
                </c:pt>
                <c:pt idx="531">
                  <c:v>2188.7565751879797</c:v>
                </c:pt>
                <c:pt idx="532">
                  <c:v>2187.3256353383558</c:v>
                </c:pt>
                <c:pt idx="533">
                  <c:v>2185.8946954887315</c:v>
                </c:pt>
                <c:pt idx="534">
                  <c:v>2184.4637556391076</c:v>
                </c:pt>
                <c:pt idx="535">
                  <c:v>2183.0328157894837</c:v>
                </c:pt>
                <c:pt idx="536">
                  <c:v>2181.6018759398594</c:v>
                </c:pt>
                <c:pt idx="537">
                  <c:v>2180.1709360902355</c:v>
                </c:pt>
                <c:pt idx="538">
                  <c:v>2178.7399962406116</c:v>
                </c:pt>
                <c:pt idx="539">
                  <c:v>2177.3090563909877</c:v>
                </c:pt>
                <c:pt idx="540">
                  <c:v>2175.8781165413634</c:v>
                </c:pt>
                <c:pt idx="541">
                  <c:v>2174.4471766917395</c:v>
                </c:pt>
                <c:pt idx="542">
                  <c:v>2173.0162368421156</c:v>
                </c:pt>
                <c:pt idx="543">
                  <c:v>2171.5852969924913</c:v>
                </c:pt>
                <c:pt idx="544">
                  <c:v>2170.1543571428674</c:v>
                </c:pt>
                <c:pt idx="545">
                  <c:v>2168.7234172932435</c:v>
                </c:pt>
                <c:pt idx="546">
                  <c:v>2167.2924774436192</c:v>
                </c:pt>
                <c:pt idx="547">
                  <c:v>2165.8615375939953</c:v>
                </c:pt>
                <c:pt idx="548">
                  <c:v>2164.4305977443714</c:v>
                </c:pt>
                <c:pt idx="549">
                  <c:v>2162.9996578947471</c:v>
                </c:pt>
                <c:pt idx="550">
                  <c:v>2161.3273898858238</c:v>
                </c:pt>
                <c:pt idx="551">
                  <c:v>2159.0920228385157</c:v>
                </c:pt>
                <c:pt idx="552">
                  <c:v>2156.8566557912072</c:v>
                </c:pt>
                <c:pt idx="553">
                  <c:v>2154.6212887438992</c:v>
                </c:pt>
                <c:pt idx="554">
                  <c:v>2152.3859216965907</c:v>
                </c:pt>
                <c:pt idx="555">
                  <c:v>2150.1505546492826</c:v>
                </c:pt>
                <c:pt idx="556">
                  <c:v>2147.9151876019741</c:v>
                </c:pt>
                <c:pt idx="557">
                  <c:v>2145.6798205546661</c:v>
                </c:pt>
                <c:pt idx="558">
                  <c:v>2143.4444535073576</c:v>
                </c:pt>
                <c:pt idx="559">
                  <c:v>2141.2090864600495</c:v>
                </c:pt>
                <c:pt idx="560">
                  <c:v>2138.973719412741</c:v>
                </c:pt>
                <c:pt idx="561">
                  <c:v>2136.738352365433</c:v>
                </c:pt>
                <c:pt idx="562">
                  <c:v>2134.5029853181245</c:v>
                </c:pt>
                <c:pt idx="563">
                  <c:v>2132.2676182708165</c:v>
                </c:pt>
                <c:pt idx="564">
                  <c:v>2130.032251223508</c:v>
                </c:pt>
                <c:pt idx="565">
                  <c:v>2127.7968841761999</c:v>
                </c:pt>
                <c:pt idx="566">
                  <c:v>2125.5615171288914</c:v>
                </c:pt>
                <c:pt idx="567">
                  <c:v>2123.3261500815834</c:v>
                </c:pt>
                <c:pt idx="568">
                  <c:v>2121.0907830342749</c:v>
                </c:pt>
                <c:pt idx="569">
                  <c:v>2118.8554159869668</c:v>
                </c:pt>
                <c:pt idx="570">
                  <c:v>2116.6200489396583</c:v>
                </c:pt>
                <c:pt idx="571">
                  <c:v>2114.3846818923503</c:v>
                </c:pt>
                <c:pt idx="572">
                  <c:v>2112.1493148450418</c:v>
                </c:pt>
                <c:pt idx="573">
                  <c:v>2109.9139477977337</c:v>
                </c:pt>
                <c:pt idx="574">
                  <c:v>2107.6785807504252</c:v>
                </c:pt>
                <c:pt idx="575">
                  <c:v>2105.4432137031172</c:v>
                </c:pt>
                <c:pt idx="576">
                  <c:v>2103.2078466558087</c:v>
                </c:pt>
                <c:pt idx="577">
                  <c:v>2100.9724796085006</c:v>
                </c:pt>
                <c:pt idx="578">
                  <c:v>2098.7371125611921</c:v>
                </c:pt>
                <c:pt idx="579">
                  <c:v>2096.5017455138841</c:v>
                </c:pt>
                <c:pt idx="580">
                  <c:v>2094.2663784665756</c:v>
                </c:pt>
                <c:pt idx="581">
                  <c:v>2092.0310114192675</c:v>
                </c:pt>
                <c:pt idx="582">
                  <c:v>2089.795644371959</c:v>
                </c:pt>
                <c:pt idx="583">
                  <c:v>2087.560277324651</c:v>
                </c:pt>
                <c:pt idx="584">
                  <c:v>2085.3249102773425</c:v>
                </c:pt>
                <c:pt idx="585">
                  <c:v>2083.0895432300345</c:v>
                </c:pt>
                <c:pt idx="586">
                  <c:v>2080.854176182726</c:v>
                </c:pt>
                <c:pt idx="587">
                  <c:v>2078.6188091354179</c:v>
                </c:pt>
                <c:pt idx="588">
                  <c:v>2076.3834420881094</c:v>
                </c:pt>
                <c:pt idx="589">
                  <c:v>2074.1480750408014</c:v>
                </c:pt>
                <c:pt idx="590">
                  <c:v>2071.9127079934929</c:v>
                </c:pt>
                <c:pt idx="591">
                  <c:v>2069.6773409461848</c:v>
                </c:pt>
                <c:pt idx="592">
                  <c:v>2067.4419738988763</c:v>
                </c:pt>
                <c:pt idx="593">
                  <c:v>2065.2066068515683</c:v>
                </c:pt>
                <c:pt idx="594">
                  <c:v>2062.9712398042598</c:v>
                </c:pt>
                <c:pt idx="595">
                  <c:v>2060.7358727569517</c:v>
                </c:pt>
                <c:pt idx="596">
                  <c:v>2058.5005057096432</c:v>
                </c:pt>
                <c:pt idx="597">
                  <c:v>2056.2651386623352</c:v>
                </c:pt>
                <c:pt idx="598">
                  <c:v>2054.0297716150267</c:v>
                </c:pt>
                <c:pt idx="599">
                  <c:v>2051.7944045677186</c:v>
                </c:pt>
                <c:pt idx="600">
                  <c:v>2049.5590375204101</c:v>
                </c:pt>
                <c:pt idx="601">
                  <c:v>2047.3236704731021</c:v>
                </c:pt>
                <c:pt idx="602">
                  <c:v>2045.0883034257938</c:v>
                </c:pt>
                <c:pt idx="603">
                  <c:v>2042.8529363784855</c:v>
                </c:pt>
                <c:pt idx="604">
                  <c:v>2040.6175693311773</c:v>
                </c:pt>
                <c:pt idx="605">
                  <c:v>2038.382202283869</c:v>
                </c:pt>
                <c:pt idx="606">
                  <c:v>2036.1468352365607</c:v>
                </c:pt>
                <c:pt idx="607">
                  <c:v>2033.9114681892524</c:v>
                </c:pt>
                <c:pt idx="608">
                  <c:v>2031.6761011419442</c:v>
                </c:pt>
                <c:pt idx="609">
                  <c:v>2029.4407340946359</c:v>
                </c:pt>
                <c:pt idx="610">
                  <c:v>2027.2053670473276</c:v>
                </c:pt>
                <c:pt idx="611">
                  <c:v>2024.9700000000194</c:v>
                </c:pt>
                <c:pt idx="612">
                  <c:v>2020.6836656891867</c:v>
                </c:pt>
                <c:pt idx="613">
                  <c:v>2016.3973313783363</c:v>
                </c:pt>
                <c:pt idx="614">
                  <c:v>2012.1109970674859</c:v>
                </c:pt>
                <c:pt idx="615">
                  <c:v>2007.8246627566355</c:v>
                </c:pt>
                <c:pt idx="616">
                  <c:v>2003.5383284457853</c:v>
                </c:pt>
                <c:pt idx="617">
                  <c:v>1999.2519941349349</c:v>
                </c:pt>
                <c:pt idx="618">
                  <c:v>1994.9656598240845</c:v>
                </c:pt>
                <c:pt idx="619">
                  <c:v>1990.6793255132341</c:v>
                </c:pt>
                <c:pt idx="620">
                  <c:v>1986.3929912023837</c:v>
                </c:pt>
                <c:pt idx="621">
                  <c:v>1982.1066568915335</c:v>
                </c:pt>
                <c:pt idx="622">
                  <c:v>1977.8203225806831</c:v>
                </c:pt>
                <c:pt idx="623">
                  <c:v>1973.5339882698327</c:v>
                </c:pt>
                <c:pt idx="624">
                  <c:v>1969.2476539589823</c:v>
                </c:pt>
                <c:pt idx="625">
                  <c:v>1964.9613196481318</c:v>
                </c:pt>
                <c:pt idx="626">
                  <c:v>1960.6749853372817</c:v>
                </c:pt>
                <c:pt idx="627">
                  <c:v>1956.3886510264313</c:v>
                </c:pt>
                <c:pt idx="628">
                  <c:v>1952.1023167155809</c:v>
                </c:pt>
                <c:pt idx="629">
                  <c:v>1947.8159824047304</c:v>
                </c:pt>
                <c:pt idx="630">
                  <c:v>1943.5296480938803</c:v>
                </c:pt>
                <c:pt idx="631">
                  <c:v>1939.2433137830299</c:v>
                </c:pt>
                <c:pt idx="632">
                  <c:v>1934.9569794721795</c:v>
                </c:pt>
                <c:pt idx="633">
                  <c:v>1930.670645161329</c:v>
                </c:pt>
                <c:pt idx="634">
                  <c:v>1926.3843108504786</c:v>
                </c:pt>
                <c:pt idx="635">
                  <c:v>1922.0979765396285</c:v>
                </c:pt>
                <c:pt idx="636">
                  <c:v>1917.8116422287781</c:v>
                </c:pt>
                <c:pt idx="637">
                  <c:v>1913.5253079179276</c:v>
                </c:pt>
                <c:pt idx="638">
                  <c:v>1909.2389736070772</c:v>
                </c:pt>
                <c:pt idx="639">
                  <c:v>1904.9526392962271</c:v>
                </c:pt>
                <c:pt idx="640">
                  <c:v>1900.6663049853767</c:v>
                </c:pt>
                <c:pt idx="641">
                  <c:v>1896.3799706745262</c:v>
                </c:pt>
                <c:pt idx="642">
                  <c:v>1892.0936363636758</c:v>
                </c:pt>
                <c:pt idx="643">
                  <c:v>1887.8073020528254</c:v>
                </c:pt>
                <c:pt idx="644">
                  <c:v>1883.5209677419753</c:v>
                </c:pt>
                <c:pt idx="645">
                  <c:v>1879.2346334311248</c:v>
                </c:pt>
                <c:pt idx="646">
                  <c:v>1869.3981343284554</c:v>
                </c:pt>
                <c:pt idx="647">
                  <c:v>1858.9449502488537</c:v>
                </c:pt>
                <c:pt idx="648">
                  <c:v>1848.4917661692518</c:v>
                </c:pt>
                <c:pt idx="649">
                  <c:v>1838.0385820896502</c:v>
                </c:pt>
                <c:pt idx="650">
                  <c:v>1827.5853980100485</c:v>
                </c:pt>
                <c:pt idx="651">
                  <c:v>1817.1322139304466</c:v>
                </c:pt>
                <c:pt idx="652">
                  <c:v>1806.6790298508449</c:v>
                </c:pt>
                <c:pt idx="653">
                  <c:v>1796.2258457712433</c:v>
                </c:pt>
                <c:pt idx="654">
                  <c:v>1785.7726616916414</c:v>
                </c:pt>
                <c:pt idx="655">
                  <c:v>1775.3194776120397</c:v>
                </c:pt>
                <c:pt idx="656">
                  <c:v>1764.8662935324378</c:v>
                </c:pt>
                <c:pt idx="657">
                  <c:v>1754.4131094528361</c:v>
                </c:pt>
                <c:pt idx="658">
                  <c:v>1743.9599253732345</c:v>
                </c:pt>
                <c:pt idx="659">
                  <c:v>1733.5067412936326</c:v>
                </c:pt>
                <c:pt idx="660">
                  <c:v>1723.0535572140309</c:v>
                </c:pt>
                <c:pt idx="661">
                  <c:v>1712.6003731344292</c:v>
                </c:pt>
                <c:pt idx="662">
                  <c:v>1702.1471890548273</c:v>
                </c:pt>
                <c:pt idx="663">
                  <c:v>1691.6940049752257</c:v>
                </c:pt>
                <c:pt idx="664">
                  <c:v>1681.240820895624</c:v>
                </c:pt>
                <c:pt idx="665">
                  <c:v>1670.7876368160221</c:v>
                </c:pt>
                <c:pt idx="666">
                  <c:v>1648.7293372367776</c:v>
                </c:pt>
                <c:pt idx="667">
                  <c:v>1623.7697587824457</c:v>
                </c:pt>
                <c:pt idx="668">
                  <c:v>1598.8101803281136</c:v>
                </c:pt>
                <c:pt idx="669">
                  <c:v>1573.8506018737814</c:v>
                </c:pt>
                <c:pt idx="670">
                  <c:v>1548.8910234194495</c:v>
                </c:pt>
                <c:pt idx="671">
                  <c:v>1523.9314449651174</c:v>
                </c:pt>
                <c:pt idx="672">
                  <c:v>1498.9718665107855</c:v>
                </c:pt>
                <c:pt idx="673">
                  <c:v>1474.0122880564534</c:v>
                </c:pt>
                <c:pt idx="674">
                  <c:v>1449.0527096021215</c:v>
                </c:pt>
                <c:pt idx="675">
                  <c:v>1424.0931311477893</c:v>
                </c:pt>
                <c:pt idx="676">
                  <c:v>1399.1335526934572</c:v>
                </c:pt>
                <c:pt idx="677">
                  <c:v>1374.1739742391253</c:v>
                </c:pt>
                <c:pt idx="678">
                  <c:v>1349.2143957847932</c:v>
                </c:pt>
                <c:pt idx="679">
                  <c:v>1324.2548173304613</c:v>
                </c:pt>
                <c:pt idx="680">
                  <c:v>1299.2952388761291</c:v>
                </c:pt>
                <c:pt idx="681">
                  <c:v>1274.335660421797</c:v>
                </c:pt>
                <c:pt idx="682">
                  <c:v>1249.3760819674651</c:v>
                </c:pt>
                <c:pt idx="683">
                  <c:v>1224.416503513133</c:v>
                </c:pt>
                <c:pt idx="684">
                  <c:v>1199.4569250588011</c:v>
                </c:pt>
                <c:pt idx="685">
                  <c:v>1174.4973466044689</c:v>
                </c:pt>
                <c:pt idx="686">
                  <c:v>1149.5377681501368</c:v>
                </c:pt>
                <c:pt idx="687">
                  <c:v>1124.5781896958047</c:v>
                </c:pt>
                <c:pt idx="688">
                  <c:v>1099.6186112414728</c:v>
                </c:pt>
                <c:pt idx="689">
                  <c:v>1074.6590327871409</c:v>
                </c:pt>
                <c:pt idx="690">
                  <c:v>1049.6994543328087</c:v>
                </c:pt>
                <c:pt idx="691">
                  <c:v>1024.7398758784766</c:v>
                </c:pt>
                <c:pt idx="692">
                  <c:v>999.78029742414458</c:v>
                </c:pt>
                <c:pt idx="693">
                  <c:v>974.82071896981256</c:v>
                </c:pt>
                <c:pt idx="694">
                  <c:v>949.86114051548054</c:v>
                </c:pt>
                <c:pt idx="695">
                  <c:v>924.90156206114852</c:v>
                </c:pt>
                <c:pt idx="696">
                  <c:v>899.94198360681651</c:v>
                </c:pt>
                <c:pt idx="697">
                  <c:v>874.98240515248438</c:v>
                </c:pt>
                <c:pt idx="698">
                  <c:v>850.02282669815236</c:v>
                </c:pt>
                <c:pt idx="699">
                  <c:v>825.06324824382034</c:v>
                </c:pt>
                <c:pt idx="700">
                  <c:v>800.10366978948832</c:v>
                </c:pt>
                <c:pt idx="701">
                  <c:v>775.1440913351563</c:v>
                </c:pt>
                <c:pt idx="702">
                  <c:v>750.18451288082417</c:v>
                </c:pt>
                <c:pt idx="703">
                  <c:v>725.22493442649215</c:v>
                </c:pt>
                <c:pt idx="704">
                  <c:v>700.26535597216014</c:v>
                </c:pt>
                <c:pt idx="705">
                  <c:v>675.30577751782812</c:v>
                </c:pt>
                <c:pt idx="706">
                  <c:v>650.3461990634961</c:v>
                </c:pt>
                <c:pt idx="707">
                  <c:v>625.38662060916408</c:v>
                </c:pt>
                <c:pt idx="708">
                  <c:v>600.11784848514651</c:v>
                </c:pt>
                <c:pt idx="709">
                  <c:v>572.06633333363197</c:v>
                </c:pt>
                <c:pt idx="710">
                  <c:v>544.01481818211744</c:v>
                </c:pt>
                <c:pt idx="711">
                  <c:v>515.9633030306029</c:v>
                </c:pt>
                <c:pt idx="712">
                  <c:v>487.91178787908837</c:v>
                </c:pt>
                <c:pt idx="713">
                  <c:v>459.86027272757383</c:v>
                </c:pt>
                <c:pt idx="714">
                  <c:v>431.80875757605924</c:v>
                </c:pt>
                <c:pt idx="715">
                  <c:v>403.7572424245447</c:v>
                </c:pt>
                <c:pt idx="716">
                  <c:v>375.70572727303011</c:v>
                </c:pt>
                <c:pt idx="717">
                  <c:v>347.65421212151557</c:v>
                </c:pt>
                <c:pt idx="718">
                  <c:v>319.60269697000103</c:v>
                </c:pt>
                <c:pt idx="719">
                  <c:v>291.5511818184865</c:v>
                </c:pt>
                <c:pt idx="720">
                  <c:v>263.49966666697196</c:v>
                </c:pt>
                <c:pt idx="721">
                  <c:v>235.44815151545743</c:v>
                </c:pt>
                <c:pt idx="722">
                  <c:v>207.39663636394283</c:v>
                </c:pt>
                <c:pt idx="723">
                  <c:v>179.3451212124283</c:v>
                </c:pt>
                <c:pt idx="724">
                  <c:v>151.29360606091376</c:v>
                </c:pt>
                <c:pt idx="725">
                  <c:v>84.043800001025147</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Calculs!$T$4:$T$1004</c:f>
              <c:numCache>
                <c:formatCode>0.00</c:formatCode>
                <c:ptCount val="1001"/>
                <c:pt idx="0">
                  <c:v>196.20000000000002</c:v>
                </c:pt>
                <c:pt idx="1">
                  <c:v>196.18980525561264</c:v>
                </c:pt>
                <c:pt idx="2">
                  <c:v>196.15922102245054</c:v>
                </c:pt>
                <c:pt idx="3">
                  <c:v>196.10824730051371</c:v>
                </c:pt>
                <c:pt idx="4">
                  <c:v>196.03688408980216</c:v>
                </c:pt>
                <c:pt idx="5">
                  <c:v>195.95299077381338</c:v>
                </c:pt>
                <c:pt idx="6">
                  <c:v>195.86442673604489</c:v>
                </c:pt>
                <c:pt idx="7">
                  <c:v>195.77119197649668</c:v>
                </c:pt>
                <c:pt idx="8">
                  <c:v>195.67328649516875</c:v>
                </c:pt>
                <c:pt idx="9">
                  <c:v>195.57284522420292</c:v>
                </c:pt>
                <c:pt idx="10">
                  <c:v>195.47200309574092</c:v>
                </c:pt>
                <c:pt idx="11">
                  <c:v>195.37076010978285</c:v>
                </c:pt>
                <c:pt idx="12">
                  <c:v>195.26911626632864</c:v>
                </c:pt>
                <c:pt idx="13">
                  <c:v>195.16707156537834</c:v>
                </c:pt>
                <c:pt idx="14">
                  <c:v>195.06462600693189</c:v>
                </c:pt>
                <c:pt idx="15">
                  <c:v>194.96177959098935</c:v>
                </c:pt>
                <c:pt idx="16">
                  <c:v>194.85853231755067</c:v>
                </c:pt>
                <c:pt idx="17">
                  <c:v>194.7548841866159</c:v>
                </c:pt>
                <c:pt idx="18">
                  <c:v>194.65083519818498</c:v>
                </c:pt>
                <c:pt idx="19">
                  <c:v>194.54638535225797</c:v>
                </c:pt>
                <c:pt idx="20">
                  <c:v>194.44153464883485</c:v>
                </c:pt>
                <c:pt idx="21">
                  <c:v>194.33643174706532</c:v>
                </c:pt>
                <c:pt idx="22">
                  <c:v>194.23129963567385</c:v>
                </c:pt>
                <c:pt idx="23">
                  <c:v>194.12613831466052</c:v>
                </c:pt>
                <c:pt idx="24">
                  <c:v>194.02094778402531</c:v>
                </c:pt>
                <c:pt idx="25">
                  <c:v>193.91572804376824</c:v>
                </c:pt>
                <c:pt idx="26">
                  <c:v>193.81047909388926</c:v>
                </c:pt>
                <c:pt idx="27">
                  <c:v>193.70520093438842</c:v>
                </c:pt>
                <c:pt idx="28">
                  <c:v>193.59989356526572</c:v>
                </c:pt>
                <c:pt idx="29">
                  <c:v>193.4945569865211</c:v>
                </c:pt>
                <c:pt idx="30">
                  <c:v>193.38919119815463</c:v>
                </c:pt>
                <c:pt idx="31">
                  <c:v>193.28379620016625</c:v>
                </c:pt>
                <c:pt idx="32">
                  <c:v>193.17837199255598</c:v>
                </c:pt>
                <c:pt idx="33">
                  <c:v>193.07291857532385</c:v>
                </c:pt>
                <c:pt idx="34">
                  <c:v>192.96743594846981</c:v>
                </c:pt>
                <c:pt idx="35">
                  <c:v>192.86192411199391</c:v>
                </c:pt>
                <c:pt idx="36">
                  <c:v>192.75638306589616</c:v>
                </c:pt>
                <c:pt idx="37">
                  <c:v>192.65081281017649</c:v>
                </c:pt>
                <c:pt idx="38">
                  <c:v>192.54521334483496</c:v>
                </c:pt>
                <c:pt idx="39">
                  <c:v>192.43958466987155</c:v>
                </c:pt>
                <c:pt idx="40">
                  <c:v>192.33392678528628</c:v>
                </c:pt>
                <c:pt idx="41">
                  <c:v>192.22823969107907</c:v>
                </c:pt>
                <c:pt idx="42">
                  <c:v>192.12252338725</c:v>
                </c:pt>
                <c:pt idx="43">
                  <c:v>192.01677787379904</c:v>
                </c:pt>
                <c:pt idx="44">
                  <c:v>191.9110031507262</c:v>
                </c:pt>
                <c:pt idx="45">
                  <c:v>191.8051992180315</c:v>
                </c:pt>
                <c:pt idx="46">
                  <c:v>191.69933344993825</c:v>
                </c:pt>
                <c:pt idx="47">
                  <c:v>191.59339769000235</c:v>
                </c:pt>
                <c:pt idx="48">
                  <c:v>191.48739193822377</c:v>
                </c:pt>
                <c:pt idx="49">
                  <c:v>191.38131619460253</c:v>
                </c:pt>
                <c:pt idx="50">
                  <c:v>191.27517045913856</c:v>
                </c:pt>
                <c:pt idx="51">
                  <c:v>191.16895473183192</c:v>
                </c:pt>
                <c:pt idx="52">
                  <c:v>191.06266901268259</c:v>
                </c:pt>
                <c:pt idx="53">
                  <c:v>190.95631330169061</c:v>
                </c:pt>
                <c:pt idx="54">
                  <c:v>190.84988759885596</c:v>
                </c:pt>
                <c:pt idx="55">
                  <c:v>190.74339190417857</c:v>
                </c:pt>
                <c:pt idx="56">
                  <c:v>190.63682621765852</c:v>
                </c:pt>
                <c:pt idx="57">
                  <c:v>190.5301905392958</c:v>
                </c:pt>
                <c:pt idx="58">
                  <c:v>190.4234848690904</c:v>
                </c:pt>
                <c:pt idx="59">
                  <c:v>190.31670920704232</c:v>
                </c:pt>
                <c:pt idx="60">
                  <c:v>190.20986355315156</c:v>
                </c:pt>
                <c:pt idx="61">
                  <c:v>190.1029479074181</c:v>
                </c:pt>
                <c:pt idx="62">
                  <c:v>189.99596226984198</c:v>
                </c:pt>
                <c:pt idx="63">
                  <c:v>189.88890664042316</c:v>
                </c:pt>
                <c:pt idx="64">
                  <c:v>189.78178101916168</c:v>
                </c:pt>
                <c:pt idx="65">
                  <c:v>189.67458540605753</c:v>
                </c:pt>
                <c:pt idx="66">
                  <c:v>189.56731980111067</c:v>
                </c:pt>
                <c:pt idx="67">
                  <c:v>189.45998420432113</c:v>
                </c:pt>
                <c:pt idx="68">
                  <c:v>189.35257861568891</c:v>
                </c:pt>
                <c:pt idx="69">
                  <c:v>189.24460187420769</c:v>
                </c:pt>
                <c:pt idx="70">
                  <c:v>189.13583919658902</c:v>
                </c:pt>
                <c:pt idx="71">
                  <c:v>189.02629058283287</c:v>
                </c:pt>
                <c:pt idx="72">
                  <c:v>188.91595603293931</c:v>
                </c:pt>
                <c:pt idx="73">
                  <c:v>188.80483554690829</c:v>
                </c:pt>
                <c:pt idx="74">
                  <c:v>188.69292912473986</c:v>
                </c:pt>
                <c:pt idx="75">
                  <c:v>188.58023676643398</c:v>
                </c:pt>
                <c:pt idx="76">
                  <c:v>188.46675847199063</c:v>
                </c:pt>
                <c:pt idx="77">
                  <c:v>188.35341502503425</c:v>
                </c:pt>
                <c:pt idx="78">
                  <c:v>188.24060104711819</c:v>
                </c:pt>
                <c:pt idx="79">
                  <c:v>188.12831653824239</c:v>
                </c:pt>
                <c:pt idx="80">
                  <c:v>188.01656149840687</c:v>
                </c:pt>
                <c:pt idx="81">
                  <c:v>187.90533592761167</c:v>
                </c:pt>
                <c:pt idx="82">
                  <c:v>187.79463982585673</c:v>
                </c:pt>
                <c:pt idx="83">
                  <c:v>187.68447319314211</c:v>
                </c:pt>
                <c:pt idx="84">
                  <c:v>187.57483602946778</c:v>
                </c:pt>
                <c:pt idx="85">
                  <c:v>187.4657283348337</c:v>
                </c:pt>
                <c:pt idx="86">
                  <c:v>187.35702570262259</c:v>
                </c:pt>
                <c:pt idx="87">
                  <c:v>187.24823050636496</c:v>
                </c:pt>
                <c:pt idx="88">
                  <c:v>187.13934274606078</c:v>
                </c:pt>
                <c:pt idx="89">
                  <c:v>187.03036242171009</c:v>
                </c:pt>
                <c:pt idx="90">
                  <c:v>186.92128953331286</c:v>
                </c:pt>
                <c:pt idx="91">
                  <c:v>186.8121240808691</c:v>
                </c:pt>
                <c:pt idx="92">
                  <c:v>186.70286606437881</c:v>
                </c:pt>
                <c:pt idx="93">
                  <c:v>186.593515483842</c:v>
                </c:pt>
                <c:pt idx="94">
                  <c:v>186.48407233925863</c:v>
                </c:pt>
                <c:pt idx="95">
                  <c:v>186.3745366306288</c:v>
                </c:pt>
                <c:pt idx="96">
                  <c:v>186.26490835795241</c:v>
                </c:pt>
                <c:pt idx="97">
                  <c:v>186.15518752122949</c:v>
                </c:pt>
                <c:pt idx="98">
                  <c:v>186.04537412046002</c:v>
                </c:pt>
                <c:pt idx="99">
                  <c:v>185.93546815564406</c:v>
                </c:pt>
                <c:pt idx="100">
                  <c:v>185.82546962678154</c:v>
                </c:pt>
                <c:pt idx="101">
                  <c:v>185.7153785338725</c:v>
                </c:pt>
                <c:pt idx="102">
                  <c:v>185.60519487691693</c:v>
                </c:pt>
                <c:pt idx="103">
                  <c:v>185.49491865591486</c:v>
                </c:pt>
                <c:pt idx="104">
                  <c:v>185.38454987086621</c:v>
                </c:pt>
                <c:pt idx="105">
                  <c:v>185.27408852177106</c:v>
                </c:pt>
                <c:pt idx="106">
                  <c:v>185.16353460862939</c:v>
                </c:pt>
                <c:pt idx="107">
                  <c:v>185.05288813144119</c:v>
                </c:pt>
                <c:pt idx="108">
                  <c:v>184.94214909020647</c:v>
                </c:pt>
                <c:pt idx="109">
                  <c:v>184.83131748492522</c:v>
                </c:pt>
                <c:pt idx="110">
                  <c:v>184.72039331559742</c:v>
                </c:pt>
                <c:pt idx="111">
                  <c:v>184.60937658222309</c:v>
                </c:pt>
                <c:pt idx="112">
                  <c:v>184.49826728480227</c:v>
                </c:pt>
                <c:pt idx="113">
                  <c:v>184.38706542333489</c:v>
                </c:pt>
                <c:pt idx="114">
                  <c:v>184.27577099782098</c:v>
                </c:pt>
                <c:pt idx="115">
                  <c:v>184.16438400826055</c:v>
                </c:pt>
                <c:pt idx="116">
                  <c:v>184.0529044546536</c:v>
                </c:pt>
                <c:pt idx="117">
                  <c:v>183.94133233700012</c:v>
                </c:pt>
                <c:pt idx="118">
                  <c:v>183.82966765530011</c:v>
                </c:pt>
                <c:pt idx="119">
                  <c:v>183.71791040955358</c:v>
                </c:pt>
                <c:pt idx="120">
                  <c:v>183.6060605997605</c:v>
                </c:pt>
                <c:pt idx="121">
                  <c:v>183.49411822592091</c:v>
                </c:pt>
                <c:pt idx="122">
                  <c:v>183.38208328803478</c:v>
                </c:pt>
                <c:pt idx="123">
                  <c:v>183.26995578610214</c:v>
                </c:pt>
                <c:pt idx="124">
                  <c:v>183.15773572012296</c:v>
                </c:pt>
                <c:pt idx="125">
                  <c:v>183.04542309009724</c:v>
                </c:pt>
                <c:pt idx="126">
                  <c:v>182.93301789602504</c:v>
                </c:pt>
                <c:pt idx="127">
                  <c:v>182.82052013790627</c:v>
                </c:pt>
                <c:pt idx="128">
                  <c:v>182.70792981574098</c:v>
                </c:pt>
                <c:pt idx="129">
                  <c:v>182.59524692952917</c:v>
                </c:pt>
                <c:pt idx="130">
                  <c:v>182.48247147927083</c:v>
                </c:pt>
                <c:pt idx="131">
                  <c:v>182.36960346496593</c:v>
                </c:pt>
                <c:pt idx="132">
                  <c:v>182.25664288661454</c:v>
                </c:pt>
                <c:pt idx="133">
                  <c:v>182.1435897442166</c:v>
                </c:pt>
                <c:pt idx="134">
                  <c:v>182.03044403777216</c:v>
                </c:pt>
                <c:pt idx="135">
                  <c:v>181.91720576728116</c:v>
                </c:pt>
                <c:pt idx="136">
                  <c:v>181.80387493274364</c:v>
                </c:pt>
                <c:pt idx="137">
                  <c:v>181.69045153415962</c:v>
                </c:pt>
                <c:pt idx="138">
                  <c:v>181.57693557152905</c:v>
                </c:pt>
                <c:pt idx="139">
                  <c:v>181.46332704485195</c:v>
                </c:pt>
                <c:pt idx="140">
                  <c:v>181.34962595412833</c:v>
                </c:pt>
                <c:pt idx="141">
                  <c:v>181.23583229935818</c:v>
                </c:pt>
                <c:pt idx="142">
                  <c:v>181.12194608054148</c:v>
                </c:pt>
                <c:pt idx="143">
                  <c:v>181.00796729767828</c:v>
                </c:pt>
                <c:pt idx="144">
                  <c:v>180.89389595076852</c:v>
                </c:pt>
                <c:pt idx="145">
                  <c:v>180.77973203981227</c:v>
                </c:pt>
                <c:pt idx="146">
                  <c:v>180.66547556480947</c:v>
                </c:pt>
                <c:pt idx="147">
                  <c:v>180.55112652576014</c:v>
                </c:pt>
                <c:pt idx="148">
                  <c:v>180.43668492266431</c:v>
                </c:pt>
                <c:pt idx="149">
                  <c:v>180.32215075552193</c:v>
                </c:pt>
                <c:pt idx="150">
                  <c:v>180.20752402433303</c:v>
                </c:pt>
                <c:pt idx="151">
                  <c:v>180.09280472909759</c:v>
                </c:pt>
                <c:pt idx="152">
                  <c:v>179.97799286981564</c:v>
                </c:pt>
                <c:pt idx="153">
                  <c:v>179.86308844648715</c:v>
                </c:pt>
                <c:pt idx="154">
                  <c:v>179.74809145911212</c:v>
                </c:pt>
                <c:pt idx="155">
                  <c:v>179.63300190769058</c:v>
                </c:pt>
                <c:pt idx="156">
                  <c:v>179.5178197922225</c:v>
                </c:pt>
                <c:pt idx="157">
                  <c:v>179.40254511270791</c:v>
                </c:pt>
                <c:pt idx="158">
                  <c:v>179.2871778691468</c:v>
                </c:pt>
                <c:pt idx="159">
                  <c:v>179.17171806153914</c:v>
                </c:pt>
                <c:pt idx="160">
                  <c:v>179.05616568988495</c:v>
                </c:pt>
                <c:pt idx="161">
                  <c:v>178.94052075418426</c:v>
                </c:pt>
                <c:pt idx="162">
                  <c:v>178.82478325443702</c:v>
                </c:pt>
                <c:pt idx="163">
                  <c:v>178.70895319064326</c:v>
                </c:pt>
                <c:pt idx="164">
                  <c:v>178.59303056280294</c:v>
                </c:pt>
                <c:pt idx="165">
                  <c:v>178.47701537091612</c:v>
                </c:pt>
                <c:pt idx="166">
                  <c:v>178.36090761498275</c:v>
                </c:pt>
                <c:pt idx="167">
                  <c:v>178.24470729500288</c:v>
                </c:pt>
                <c:pt idx="168">
                  <c:v>178.12841441097649</c:v>
                </c:pt>
                <c:pt idx="169">
                  <c:v>178.01202896290354</c:v>
                </c:pt>
                <c:pt idx="170">
                  <c:v>177.8955509507841</c:v>
                </c:pt>
                <c:pt idx="171">
                  <c:v>177.7789803746181</c:v>
                </c:pt>
                <c:pt idx="172">
                  <c:v>177.66231723440561</c:v>
                </c:pt>
                <c:pt idx="173">
                  <c:v>177.54556153014653</c:v>
                </c:pt>
                <c:pt idx="174">
                  <c:v>177.42871326184095</c:v>
                </c:pt>
                <c:pt idx="175">
                  <c:v>177.31177242948885</c:v>
                </c:pt>
                <c:pt idx="176">
                  <c:v>177.19473903309023</c:v>
                </c:pt>
                <c:pt idx="177">
                  <c:v>177.07761307264505</c:v>
                </c:pt>
                <c:pt idx="178">
                  <c:v>176.96039454815337</c:v>
                </c:pt>
                <c:pt idx="179">
                  <c:v>176.84308345961517</c:v>
                </c:pt>
                <c:pt idx="180">
                  <c:v>176.72567980703042</c:v>
                </c:pt>
                <c:pt idx="181">
                  <c:v>176.60818359039916</c:v>
                </c:pt>
                <c:pt idx="182">
                  <c:v>176.49059480972136</c:v>
                </c:pt>
                <c:pt idx="183">
                  <c:v>176.37291346499703</c:v>
                </c:pt>
                <c:pt idx="184">
                  <c:v>176.25513955622617</c:v>
                </c:pt>
                <c:pt idx="185">
                  <c:v>176.13727308340879</c:v>
                </c:pt>
                <c:pt idx="186">
                  <c:v>176.01931404654488</c:v>
                </c:pt>
                <c:pt idx="187">
                  <c:v>175.90126244563444</c:v>
                </c:pt>
                <c:pt idx="188">
                  <c:v>175.78311828067748</c:v>
                </c:pt>
                <c:pt idx="189">
                  <c:v>175.664881551674</c:v>
                </c:pt>
                <c:pt idx="190">
                  <c:v>175.54655225862399</c:v>
                </c:pt>
                <c:pt idx="191">
                  <c:v>175.42813040152743</c:v>
                </c:pt>
                <c:pt idx="192">
                  <c:v>175.30961598038436</c:v>
                </c:pt>
                <c:pt idx="193">
                  <c:v>175.19100899519475</c:v>
                </c:pt>
                <c:pt idx="194">
                  <c:v>175.07230944595864</c:v>
                </c:pt>
                <c:pt idx="195">
                  <c:v>174.95351733267594</c:v>
                </c:pt>
                <c:pt idx="196">
                  <c:v>174.83463265534678</c:v>
                </c:pt>
                <c:pt idx="197">
                  <c:v>174.71565541397104</c:v>
                </c:pt>
                <c:pt idx="198">
                  <c:v>174.59658560854879</c:v>
                </c:pt>
                <c:pt idx="199">
                  <c:v>174.47742323908003</c:v>
                </c:pt>
                <c:pt idx="200">
                  <c:v>174.35816830556473</c:v>
                </c:pt>
                <c:pt idx="201">
                  <c:v>174.23882080800291</c:v>
                </c:pt>
                <c:pt idx="202">
                  <c:v>174.11938074639454</c:v>
                </c:pt>
                <c:pt idx="203">
                  <c:v>173.99984812073967</c:v>
                </c:pt>
                <c:pt idx="204">
                  <c:v>173.88022293103825</c:v>
                </c:pt>
                <c:pt idx="205">
                  <c:v>173.76050517729033</c:v>
                </c:pt>
                <c:pt idx="206">
                  <c:v>173.64069485949585</c:v>
                </c:pt>
                <c:pt idx="207">
                  <c:v>173.52079197765485</c:v>
                </c:pt>
                <c:pt idx="208">
                  <c:v>173.4007965317673</c:v>
                </c:pt>
                <c:pt idx="209">
                  <c:v>173.28070852183325</c:v>
                </c:pt>
                <c:pt idx="210">
                  <c:v>173.1605279478527</c:v>
                </c:pt>
                <c:pt idx="211">
                  <c:v>173.04025480982557</c:v>
                </c:pt>
                <c:pt idx="212">
                  <c:v>172.91988910775194</c:v>
                </c:pt>
                <c:pt idx="213">
                  <c:v>172.79943084163179</c:v>
                </c:pt>
                <c:pt idx="214">
                  <c:v>172.67888001146511</c:v>
                </c:pt>
                <c:pt idx="215">
                  <c:v>172.55823661725188</c:v>
                </c:pt>
                <c:pt idx="216">
                  <c:v>172.43750065899212</c:v>
                </c:pt>
                <c:pt idx="217">
                  <c:v>172.31667213668584</c:v>
                </c:pt>
                <c:pt idx="218">
                  <c:v>172.19575105033303</c:v>
                </c:pt>
                <c:pt idx="219">
                  <c:v>172.07473739993372</c:v>
                </c:pt>
                <c:pt idx="220">
                  <c:v>171.95363118548786</c:v>
                </c:pt>
                <c:pt idx="221">
                  <c:v>171.83243240699548</c:v>
                </c:pt>
                <c:pt idx="222">
                  <c:v>171.71114106445657</c:v>
                </c:pt>
                <c:pt idx="223">
                  <c:v>171.58975715787113</c:v>
                </c:pt>
                <c:pt idx="224">
                  <c:v>171.46828068723917</c:v>
                </c:pt>
                <c:pt idx="225">
                  <c:v>171.34671165256066</c:v>
                </c:pt>
                <c:pt idx="226">
                  <c:v>171.22505005383562</c:v>
                </c:pt>
                <c:pt idx="227">
                  <c:v>171.10329589106408</c:v>
                </c:pt>
                <c:pt idx="228">
                  <c:v>170.98144916424599</c:v>
                </c:pt>
                <c:pt idx="229">
                  <c:v>170.85950987338137</c:v>
                </c:pt>
                <c:pt idx="230">
                  <c:v>170.73747801847026</c:v>
                </c:pt>
                <c:pt idx="231">
                  <c:v>170.61535359951259</c:v>
                </c:pt>
                <c:pt idx="232">
                  <c:v>170.49313661650839</c:v>
                </c:pt>
                <c:pt idx="233">
                  <c:v>170.37082706945768</c:v>
                </c:pt>
                <c:pt idx="234">
                  <c:v>170.24842495836043</c:v>
                </c:pt>
                <c:pt idx="235">
                  <c:v>170.12593028321663</c:v>
                </c:pt>
                <c:pt idx="236">
                  <c:v>170.00334304402634</c:v>
                </c:pt>
                <c:pt idx="237">
                  <c:v>169.88066324078949</c:v>
                </c:pt>
                <c:pt idx="238">
                  <c:v>169.75789087350614</c:v>
                </c:pt>
                <c:pt idx="239">
                  <c:v>169.63502594217624</c:v>
                </c:pt>
                <c:pt idx="240">
                  <c:v>169.51206844679982</c:v>
                </c:pt>
                <c:pt idx="241">
                  <c:v>169.38901838737689</c:v>
                </c:pt>
                <c:pt idx="242">
                  <c:v>169.26587576390742</c:v>
                </c:pt>
                <c:pt idx="243">
                  <c:v>169.14264057639141</c:v>
                </c:pt>
                <c:pt idx="244">
                  <c:v>169.01883809485153</c:v>
                </c:pt>
                <c:pt idx="245">
                  <c:v>168.8944683192878</c:v>
                </c:pt>
                <c:pt idx="246">
                  <c:v>168.76953124970021</c:v>
                </c:pt>
                <c:pt idx="247">
                  <c:v>168.64402688608877</c:v>
                </c:pt>
                <c:pt idx="248">
                  <c:v>168.51795522845345</c:v>
                </c:pt>
                <c:pt idx="249">
                  <c:v>168.39131627679424</c:v>
                </c:pt>
                <c:pt idx="250">
                  <c:v>168.26411003111119</c:v>
                </c:pt>
                <c:pt idx="251">
                  <c:v>168.13633649140431</c:v>
                </c:pt>
                <c:pt idx="252">
                  <c:v>168.00799565767352</c:v>
                </c:pt>
                <c:pt idx="253">
                  <c:v>167.87934881520783</c:v>
                </c:pt>
                <c:pt idx="254">
                  <c:v>167.75065724929621</c:v>
                </c:pt>
                <c:pt idx="255">
                  <c:v>167.62192095993862</c:v>
                </c:pt>
                <c:pt idx="256">
                  <c:v>167.49313994713506</c:v>
                </c:pt>
                <c:pt idx="257">
                  <c:v>167.36431421088557</c:v>
                </c:pt>
                <c:pt idx="258">
                  <c:v>167.23544375119013</c:v>
                </c:pt>
                <c:pt idx="259">
                  <c:v>167.10652856804876</c:v>
                </c:pt>
                <c:pt idx="260">
                  <c:v>166.97756866146142</c:v>
                </c:pt>
                <c:pt idx="261">
                  <c:v>166.84856403142814</c:v>
                </c:pt>
                <c:pt idx="262">
                  <c:v>166.71951467794889</c:v>
                </c:pt>
                <c:pt idx="263">
                  <c:v>166.59042060102368</c:v>
                </c:pt>
                <c:pt idx="264">
                  <c:v>166.46128180065253</c:v>
                </c:pt>
                <c:pt idx="265">
                  <c:v>166.33209827683544</c:v>
                </c:pt>
                <c:pt idx="266">
                  <c:v>166.20287002957241</c:v>
                </c:pt>
                <c:pt idx="267">
                  <c:v>166.07359705886341</c:v>
                </c:pt>
                <c:pt idx="268">
                  <c:v>165.94427936470848</c:v>
                </c:pt>
                <c:pt idx="269">
                  <c:v>165.81491694710758</c:v>
                </c:pt>
                <c:pt idx="270">
                  <c:v>165.68550980606071</c:v>
                </c:pt>
                <c:pt idx="271">
                  <c:v>165.5560579415679</c:v>
                </c:pt>
                <c:pt idx="272">
                  <c:v>165.42656135362915</c:v>
                </c:pt>
                <c:pt idx="273">
                  <c:v>165.29702004224447</c:v>
                </c:pt>
                <c:pt idx="274">
                  <c:v>165.16743400741382</c:v>
                </c:pt>
                <c:pt idx="275">
                  <c:v>165.0378032491372</c:v>
                </c:pt>
                <c:pt idx="276">
                  <c:v>164.90812776741461</c:v>
                </c:pt>
                <c:pt idx="277">
                  <c:v>164.77842011281399</c:v>
                </c:pt>
                <c:pt idx="278">
                  <c:v>164.64869911118709</c:v>
                </c:pt>
                <c:pt idx="279">
                  <c:v>164.51896476253393</c:v>
                </c:pt>
                <c:pt idx="280">
                  <c:v>164.38921706685448</c:v>
                </c:pt>
                <c:pt idx="281">
                  <c:v>164.25945602414879</c:v>
                </c:pt>
                <c:pt idx="282">
                  <c:v>164.12968163441684</c:v>
                </c:pt>
                <c:pt idx="283">
                  <c:v>163.99989389765861</c:v>
                </c:pt>
                <c:pt idx="284">
                  <c:v>163.87009281387412</c:v>
                </c:pt>
                <c:pt idx="285">
                  <c:v>163.74027838306336</c:v>
                </c:pt>
                <c:pt idx="286">
                  <c:v>163.61045060522633</c:v>
                </c:pt>
                <c:pt idx="287">
                  <c:v>163.48060948036303</c:v>
                </c:pt>
                <c:pt idx="288">
                  <c:v>163.3507550084735</c:v>
                </c:pt>
                <c:pt idx="289">
                  <c:v>163.22088718955769</c:v>
                </c:pt>
                <c:pt idx="290">
                  <c:v>163.09100602361559</c:v>
                </c:pt>
                <c:pt idx="291">
                  <c:v>162.96111151064724</c:v>
                </c:pt>
                <c:pt idx="292">
                  <c:v>162.83120365065264</c:v>
                </c:pt>
                <c:pt idx="293">
                  <c:v>162.70128244363175</c:v>
                </c:pt>
                <c:pt idx="294">
                  <c:v>162.57134788958462</c:v>
                </c:pt>
                <c:pt idx="295">
                  <c:v>162.44139998851122</c:v>
                </c:pt>
                <c:pt idx="296">
                  <c:v>162.31143874041152</c:v>
                </c:pt>
                <c:pt idx="297">
                  <c:v>162.18146414528559</c:v>
                </c:pt>
                <c:pt idx="298">
                  <c:v>162.05147620313338</c:v>
                </c:pt>
                <c:pt idx="299">
                  <c:v>161.92147491395494</c:v>
                </c:pt>
                <c:pt idx="300">
                  <c:v>161.79146027775019</c:v>
                </c:pt>
                <c:pt idx="301">
                  <c:v>161.66143229451919</c:v>
                </c:pt>
                <c:pt idx="302">
                  <c:v>161.53139096426193</c:v>
                </c:pt>
                <c:pt idx="303">
                  <c:v>161.40133628697839</c:v>
                </c:pt>
                <c:pt idx="304">
                  <c:v>161.2712682626686</c:v>
                </c:pt>
                <c:pt idx="305">
                  <c:v>161.14118689133252</c:v>
                </c:pt>
                <c:pt idx="306">
                  <c:v>161.01109217297019</c:v>
                </c:pt>
                <c:pt idx="307">
                  <c:v>160.88098410758158</c:v>
                </c:pt>
                <c:pt idx="308">
                  <c:v>160.75086269516675</c:v>
                </c:pt>
                <c:pt idx="309">
                  <c:v>160.6207279357256</c:v>
                </c:pt>
                <c:pt idx="310">
                  <c:v>160.49057982925819</c:v>
                </c:pt>
                <c:pt idx="311">
                  <c:v>160.36041837576457</c:v>
                </c:pt>
                <c:pt idx="312">
                  <c:v>160.23024357524466</c:v>
                </c:pt>
                <c:pt idx="313">
                  <c:v>160.10005542769846</c:v>
                </c:pt>
                <c:pt idx="314">
                  <c:v>159.96985393312599</c:v>
                </c:pt>
                <c:pt idx="315">
                  <c:v>159.83963909152729</c:v>
                </c:pt>
                <c:pt idx="316">
                  <c:v>159.70941090290231</c:v>
                </c:pt>
                <c:pt idx="317">
                  <c:v>159.57916936725104</c:v>
                </c:pt>
                <c:pt idx="318">
                  <c:v>159.44891448457355</c:v>
                </c:pt>
                <c:pt idx="319">
                  <c:v>159.31864625486975</c:v>
                </c:pt>
                <c:pt idx="320">
                  <c:v>159.18836467813969</c:v>
                </c:pt>
                <c:pt idx="321">
                  <c:v>159.05806975438341</c:v>
                </c:pt>
                <c:pt idx="322">
                  <c:v>158.92776148360085</c:v>
                </c:pt>
                <c:pt idx="323">
                  <c:v>158.797439865792</c:v>
                </c:pt>
                <c:pt idx="324">
                  <c:v>158.6671049009569</c:v>
                </c:pt>
                <c:pt idx="325">
                  <c:v>158.53675658909555</c:v>
                </c:pt>
                <c:pt idx="326">
                  <c:v>158.40639493020788</c:v>
                </c:pt>
                <c:pt idx="327">
                  <c:v>158.27601992429399</c:v>
                </c:pt>
                <c:pt idx="328">
                  <c:v>158.14563157135382</c:v>
                </c:pt>
                <c:pt idx="329">
                  <c:v>158.01522987138739</c:v>
                </c:pt>
                <c:pt idx="330">
                  <c:v>157.88481482439468</c:v>
                </c:pt>
                <c:pt idx="331">
                  <c:v>157.75438643037572</c:v>
                </c:pt>
                <c:pt idx="332">
                  <c:v>157.62394468933053</c:v>
                </c:pt>
                <c:pt idx="333">
                  <c:v>157.49348960125903</c:v>
                </c:pt>
                <c:pt idx="334">
                  <c:v>157.36302116616127</c:v>
                </c:pt>
                <c:pt idx="335">
                  <c:v>157.23253938403724</c:v>
                </c:pt>
                <c:pt idx="336">
                  <c:v>157.10204425488695</c:v>
                </c:pt>
                <c:pt idx="337">
                  <c:v>156.9715357787104</c:v>
                </c:pt>
                <c:pt idx="338">
                  <c:v>156.84101395550758</c:v>
                </c:pt>
                <c:pt idx="339">
                  <c:v>156.7104787852785</c:v>
                </c:pt>
                <c:pt idx="340">
                  <c:v>156.57993026802316</c:v>
                </c:pt>
                <c:pt idx="341">
                  <c:v>156.44936840374154</c:v>
                </c:pt>
                <c:pt idx="342">
                  <c:v>156.31879319243367</c:v>
                </c:pt>
                <c:pt idx="343">
                  <c:v>156.18820463409952</c:v>
                </c:pt>
                <c:pt idx="344">
                  <c:v>156.05759255609604</c:v>
                </c:pt>
                <c:pt idx="345">
                  <c:v>155.92686540463575</c:v>
                </c:pt>
                <c:pt idx="346">
                  <c:v>155.79602317971862</c:v>
                </c:pt>
                <c:pt idx="347">
                  <c:v>155.66506588134465</c:v>
                </c:pt>
                <c:pt idx="348">
                  <c:v>155.53399350951383</c:v>
                </c:pt>
                <c:pt idx="349">
                  <c:v>155.40280606422618</c:v>
                </c:pt>
                <c:pt idx="350">
                  <c:v>155.27150354548172</c:v>
                </c:pt>
                <c:pt idx="351">
                  <c:v>155.14008595328039</c:v>
                </c:pt>
                <c:pt idx="352">
                  <c:v>155.00855328762225</c:v>
                </c:pt>
                <c:pt idx="353">
                  <c:v>154.87690554850727</c:v>
                </c:pt>
                <c:pt idx="354">
                  <c:v>154.74514273593545</c:v>
                </c:pt>
                <c:pt idx="355">
                  <c:v>154.61326484990681</c:v>
                </c:pt>
                <c:pt idx="356">
                  <c:v>154.48127189042131</c:v>
                </c:pt>
                <c:pt idx="357">
                  <c:v>154.349163857479</c:v>
                </c:pt>
                <c:pt idx="358">
                  <c:v>154.21694075107985</c:v>
                </c:pt>
                <c:pt idx="359">
                  <c:v>154.08460257122385</c:v>
                </c:pt>
                <c:pt idx="360">
                  <c:v>153.95214931791102</c:v>
                </c:pt>
                <c:pt idx="361">
                  <c:v>153.81958099114135</c:v>
                </c:pt>
                <c:pt idx="362">
                  <c:v>153.68689759091487</c:v>
                </c:pt>
                <c:pt idx="363">
                  <c:v>153.55409911723154</c:v>
                </c:pt>
                <c:pt idx="364">
                  <c:v>153.42118557009138</c:v>
                </c:pt>
                <c:pt idx="365">
                  <c:v>153.28815694949438</c:v>
                </c:pt>
                <c:pt idx="366">
                  <c:v>153.15501325544054</c:v>
                </c:pt>
                <c:pt idx="367">
                  <c:v>153.02175448792985</c:v>
                </c:pt>
                <c:pt idx="368">
                  <c:v>152.88838064696236</c:v>
                </c:pt>
                <c:pt idx="369">
                  <c:v>152.75489173253803</c:v>
                </c:pt>
                <c:pt idx="370">
                  <c:v>152.62128774465685</c:v>
                </c:pt>
                <c:pt idx="371">
                  <c:v>152.48756868331884</c:v>
                </c:pt>
                <c:pt idx="372">
                  <c:v>152.35373454852399</c:v>
                </c:pt>
                <c:pt idx="373">
                  <c:v>152.21985078801808</c:v>
                </c:pt>
                <c:pt idx="374">
                  <c:v>152.08591740180111</c:v>
                </c:pt>
                <c:pt idx="375">
                  <c:v>151.95193438987309</c:v>
                </c:pt>
                <c:pt idx="376">
                  <c:v>151.81790175223398</c:v>
                </c:pt>
                <c:pt idx="377">
                  <c:v>151.68381948888381</c:v>
                </c:pt>
                <c:pt idx="378">
                  <c:v>151.54968759982259</c:v>
                </c:pt>
                <c:pt idx="379">
                  <c:v>151.41550608505028</c:v>
                </c:pt>
                <c:pt idx="380">
                  <c:v>151.28127494456692</c:v>
                </c:pt>
                <c:pt idx="381">
                  <c:v>151.14699417837249</c:v>
                </c:pt>
                <c:pt idx="382">
                  <c:v>151.01266378646704</c:v>
                </c:pt>
                <c:pt idx="383">
                  <c:v>150.87828376885048</c:v>
                </c:pt>
                <c:pt idx="384">
                  <c:v>150.74385412552286</c:v>
                </c:pt>
                <c:pt idx="385">
                  <c:v>150.60937485648421</c:v>
                </c:pt>
                <c:pt idx="386">
                  <c:v>150.47484596173447</c:v>
                </c:pt>
                <c:pt idx="387">
                  <c:v>150.34026744127365</c:v>
                </c:pt>
                <c:pt idx="388">
                  <c:v>150.2056392951018</c:v>
                </c:pt>
                <c:pt idx="389">
                  <c:v>150.07096152321887</c:v>
                </c:pt>
                <c:pt idx="390">
                  <c:v>149.93623412562488</c:v>
                </c:pt>
                <c:pt idx="391">
                  <c:v>149.80145710231983</c:v>
                </c:pt>
                <c:pt idx="392">
                  <c:v>149.6666304533037</c:v>
                </c:pt>
                <c:pt idx="393">
                  <c:v>149.53175417857653</c:v>
                </c:pt>
                <c:pt idx="394">
                  <c:v>149.39682827813826</c:v>
                </c:pt>
                <c:pt idx="395">
                  <c:v>149.26185275198895</c:v>
                </c:pt>
                <c:pt idx="396">
                  <c:v>149.12682760012859</c:v>
                </c:pt>
                <c:pt idx="397">
                  <c:v>148.99175282255715</c:v>
                </c:pt>
                <c:pt idx="398">
                  <c:v>148.85662841927464</c:v>
                </c:pt>
                <c:pt idx="399">
                  <c:v>148.72145439028108</c:v>
                </c:pt>
                <c:pt idx="400">
                  <c:v>148.58623073557644</c:v>
                </c:pt>
                <c:pt idx="401">
                  <c:v>148.45095745516076</c:v>
                </c:pt>
                <c:pt idx="402">
                  <c:v>148.315634549034</c:v>
                </c:pt>
                <c:pt idx="403">
                  <c:v>148.18026201719618</c:v>
                </c:pt>
                <c:pt idx="404">
                  <c:v>148.04483985964728</c:v>
                </c:pt>
                <c:pt idx="405">
                  <c:v>147.90936807638735</c:v>
                </c:pt>
                <c:pt idx="406">
                  <c:v>147.77384666741634</c:v>
                </c:pt>
                <c:pt idx="407">
                  <c:v>147.63827563273426</c:v>
                </c:pt>
                <c:pt idx="408">
                  <c:v>147.50265497234111</c:v>
                </c:pt>
                <c:pt idx="409">
                  <c:v>147.36705693857456</c:v>
                </c:pt>
                <c:pt idx="410">
                  <c:v>147.23149959451902</c:v>
                </c:pt>
                <c:pt idx="411">
                  <c:v>147.09598294017445</c:v>
                </c:pt>
                <c:pt idx="412">
                  <c:v>146.96050697554088</c:v>
                </c:pt>
                <c:pt idx="413">
                  <c:v>146.82507170061831</c:v>
                </c:pt>
                <c:pt idx="414">
                  <c:v>146.68967711540674</c:v>
                </c:pt>
                <c:pt idx="415">
                  <c:v>146.55432321990617</c:v>
                </c:pt>
                <c:pt idx="416">
                  <c:v>146.41901001411659</c:v>
                </c:pt>
                <c:pt idx="417">
                  <c:v>146.28373749803802</c:v>
                </c:pt>
                <c:pt idx="418">
                  <c:v>146.14850567167045</c:v>
                </c:pt>
                <c:pt idx="419">
                  <c:v>146.01331453501385</c:v>
                </c:pt>
                <c:pt idx="420">
                  <c:v>145.87816408806825</c:v>
                </c:pt>
                <c:pt idx="421">
                  <c:v>145.74305433083367</c:v>
                </c:pt>
                <c:pt idx="422">
                  <c:v>145.60798526331007</c:v>
                </c:pt>
                <c:pt idx="423">
                  <c:v>145.47295688549747</c:v>
                </c:pt>
                <c:pt idx="424">
                  <c:v>145.33796919739586</c:v>
                </c:pt>
                <c:pt idx="425">
                  <c:v>145.20302219900526</c:v>
                </c:pt>
                <c:pt idx="426">
                  <c:v>145.06811589032566</c:v>
                </c:pt>
                <c:pt idx="427">
                  <c:v>144.93325027135705</c:v>
                </c:pt>
                <c:pt idx="428">
                  <c:v>144.79842534209942</c:v>
                </c:pt>
                <c:pt idx="429">
                  <c:v>144.66364110255282</c:v>
                </c:pt>
                <c:pt idx="430">
                  <c:v>144.52889755271718</c:v>
                </c:pt>
                <c:pt idx="431">
                  <c:v>144.39419469259258</c:v>
                </c:pt>
                <c:pt idx="432">
                  <c:v>144.25953252217892</c:v>
                </c:pt>
                <c:pt idx="433">
                  <c:v>144.12491104147628</c:v>
                </c:pt>
                <c:pt idx="434">
                  <c:v>143.99033025048465</c:v>
                </c:pt>
                <c:pt idx="435">
                  <c:v>143.85579014920401</c:v>
                </c:pt>
                <c:pt idx="436">
                  <c:v>143.72129073763438</c:v>
                </c:pt>
                <c:pt idx="437">
                  <c:v>143.58683201577571</c:v>
                </c:pt>
                <c:pt idx="438">
                  <c:v>143.45241398362808</c:v>
                </c:pt>
                <c:pt idx="439">
                  <c:v>143.31803664119141</c:v>
                </c:pt>
                <c:pt idx="440">
                  <c:v>143.18369998846578</c:v>
                </c:pt>
                <c:pt idx="441">
                  <c:v>143.04940402545111</c:v>
                </c:pt>
                <c:pt idx="442">
                  <c:v>142.91514875214745</c:v>
                </c:pt>
                <c:pt idx="443">
                  <c:v>142.78093416855478</c:v>
                </c:pt>
                <c:pt idx="444">
                  <c:v>142.64676027467311</c:v>
                </c:pt>
                <c:pt idx="445">
                  <c:v>142.51262707050245</c:v>
                </c:pt>
                <c:pt idx="446">
                  <c:v>142.37853455604275</c:v>
                </c:pt>
                <c:pt idx="447">
                  <c:v>142.24448273129408</c:v>
                </c:pt>
                <c:pt idx="448">
                  <c:v>142.11047159625639</c:v>
                </c:pt>
                <c:pt idx="449">
                  <c:v>141.97650115092972</c:v>
                </c:pt>
                <c:pt idx="450">
                  <c:v>141.84257139531402</c:v>
                </c:pt>
                <c:pt idx="451">
                  <c:v>141.70868232940933</c:v>
                </c:pt>
                <c:pt idx="452">
                  <c:v>141.57483395321563</c:v>
                </c:pt>
                <c:pt idx="453">
                  <c:v>141.44102626673293</c:v>
                </c:pt>
                <c:pt idx="454">
                  <c:v>141.30725926996124</c:v>
                </c:pt>
                <c:pt idx="455">
                  <c:v>141.17353296290051</c:v>
                </c:pt>
                <c:pt idx="456">
                  <c:v>141.03984734555081</c:v>
                </c:pt>
                <c:pt idx="457">
                  <c:v>140.90620241791211</c:v>
                </c:pt>
                <c:pt idx="458">
                  <c:v>140.77259817998439</c:v>
                </c:pt>
                <c:pt idx="459">
                  <c:v>140.63903463176766</c:v>
                </c:pt>
                <c:pt idx="460">
                  <c:v>140.50551177326193</c:v>
                </c:pt>
                <c:pt idx="461">
                  <c:v>140.3720296044672</c:v>
                </c:pt>
                <c:pt idx="462">
                  <c:v>140.23858812538347</c:v>
                </c:pt>
                <c:pt idx="463">
                  <c:v>140.10518733601074</c:v>
                </c:pt>
                <c:pt idx="464">
                  <c:v>139.97182723634901</c:v>
                </c:pt>
                <c:pt idx="465">
                  <c:v>139.83850782639828</c:v>
                </c:pt>
                <c:pt idx="466">
                  <c:v>139.70522910615855</c:v>
                </c:pt>
                <c:pt idx="467">
                  <c:v>139.5719910756298</c:v>
                </c:pt>
                <c:pt idx="468">
                  <c:v>139.43879373481204</c:v>
                </c:pt>
                <c:pt idx="469">
                  <c:v>139.30563708370531</c:v>
                </c:pt>
                <c:pt idx="470">
                  <c:v>139.17252112230955</c:v>
                </c:pt>
                <c:pt idx="471">
                  <c:v>139.03944585062479</c:v>
                </c:pt>
                <c:pt idx="472">
                  <c:v>138.90641126865103</c:v>
                </c:pt>
                <c:pt idx="473">
                  <c:v>138.77341737638824</c:v>
                </c:pt>
                <c:pt idx="474">
                  <c:v>138.64046417383648</c:v>
                </c:pt>
                <c:pt idx="475">
                  <c:v>138.50755166099569</c:v>
                </c:pt>
                <c:pt idx="476">
                  <c:v>138.37467983786593</c:v>
                </c:pt>
                <c:pt idx="477">
                  <c:v>138.24184870444716</c:v>
                </c:pt>
                <c:pt idx="478">
                  <c:v>138.10905826073937</c:v>
                </c:pt>
                <c:pt idx="479">
                  <c:v>137.97630850674258</c:v>
                </c:pt>
                <c:pt idx="480">
                  <c:v>137.84359944245679</c:v>
                </c:pt>
                <c:pt idx="481">
                  <c:v>137.710931067882</c:v>
                </c:pt>
                <c:pt idx="482">
                  <c:v>137.57830338301821</c:v>
                </c:pt>
                <c:pt idx="483">
                  <c:v>137.44571638786542</c:v>
                </c:pt>
                <c:pt idx="484">
                  <c:v>137.3131700824236</c:v>
                </c:pt>
                <c:pt idx="485">
                  <c:v>137.1806644666928</c:v>
                </c:pt>
                <c:pt idx="486">
                  <c:v>137.04819954067301</c:v>
                </c:pt>
                <c:pt idx="487">
                  <c:v>136.91577530436419</c:v>
                </c:pt>
                <c:pt idx="488">
                  <c:v>136.78339175776637</c:v>
                </c:pt>
                <c:pt idx="489">
                  <c:v>136.65104890087954</c:v>
                </c:pt>
                <c:pt idx="490">
                  <c:v>136.51874673370372</c:v>
                </c:pt>
                <c:pt idx="491">
                  <c:v>136.3864852562389</c:v>
                </c:pt>
                <c:pt idx="492">
                  <c:v>136.25426446848508</c:v>
                </c:pt>
                <c:pt idx="493">
                  <c:v>136.12208437044222</c:v>
                </c:pt>
                <c:pt idx="494">
                  <c:v>135.9899449621104</c:v>
                </c:pt>
                <c:pt idx="495">
                  <c:v>135.85784624348955</c:v>
                </c:pt>
                <c:pt idx="496">
                  <c:v>135.72578821457972</c:v>
                </c:pt>
                <c:pt idx="497">
                  <c:v>135.59379273953252</c:v>
                </c:pt>
                <c:pt idx="498">
                  <c:v>135.46188168249958</c:v>
                </c:pt>
                <c:pt idx="499">
                  <c:v>135.33005504348088</c:v>
                </c:pt>
                <c:pt idx="500">
                  <c:v>135.19831282247648</c:v>
                </c:pt>
                <c:pt idx="501">
                  <c:v>135.06665501948635</c:v>
                </c:pt>
                <c:pt idx="502">
                  <c:v>134.93508163451048</c:v>
                </c:pt>
                <c:pt idx="503">
                  <c:v>134.80359266754888</c:v>
                </c:pt>
                <c:pt idx="504">
                  <c:v>134.67218811860155</c:v>
                </c:pt>
                <c:pt idx="505">
                  <c:v>134.54086798766846</c:v>
                </c:pt>
                <c:pt idx="506">
                  <c:v>134.40963227474967</c:v>
                </c:pt>
                <c:pt idx="507">
                  <c:v>134.27848097984514</c:v>
                </c:pt>
                <c:pt idx="508">
                  <c:v>134.14741410295488</c:v>
                </c:pt>
                <c:pt idx="509">
                  <c:v>134.01643164407889</c:v>
                </c:pt>
                <c:pt idx="510">
                  <c:v>133.88553360321717</c:v>
                </c:pt>
                <c:pt idx="511">
                  <c:v>133.75471998036969</c:v>
                </c:pt>
                <c:pt idx="512">
                  <c:v>133.6239907755365</c:v>
                </c:pt>
                <c:pt idx="513">
                  <c:v>133.49334598871758</c:v>
                </c:pt>
                <c:pt idx="514">
                  <c:v>133.36278561991293</c:v>
                </c:pt>
                <c:pt idx="515">
                  <c:v>133.23230966912254</c:v>
                </c:pt>
                <c:pt idx="516">
                  <c:v>133.10191813634643</c:v>
                </c:pt>
                <c:pt idx="517">
                  <c:v>132.97161102158458</c:v>
                </c:pt>
                <c:pt idx="518">
                  <c:v>132.841388324837</c:v>
                </c:pt>
                <c:pt idx="519">
                  <c:v>132.71125004610366</c:v>
                </c:pt>
                <c:pt idx="520">
                  <c:v>132.58119618538461</c:v>
                </c:pt>
                <c:pt idx="521">
                  <c:v>132.45122674267986</c:v>
                </c:pt>
                <c:pt idx="522">
                  <c:v>132.32134171798933</c:v>
                </c:pt>
                <c:pt idx="523">
                  <c:v>132.19154111131309</c:v>
                </c:pt>
                <c:pt idx="524">
                  <c:v>132.06182492265114</c:v>
                </c:pt>
                <c:pt idx="525">
                  <c:v>131.93219315200341</c:v>
                </c:pt>
                <c:pt idx="526">
                  <c:v>131.80264579937</c:v>
                </c:pt>
                <c:pt idx="527">
                  <c:v>131.6731828647508</c:v>
                </c:pt>
                <c:pt idx="528">
                  <c:v>131.5438043481459</c:v>
                </c:pt>
                <c:pt idx="529">
                  <c:v>131.41451024955526</c:v>
                </c:pt>
                <c:pt idx="530">
                  <c:v>131.2853005689789</c:v>
                </c:pt>
                <c:pt idx="531">
                  <c:v>131.1561753064168</c:v>
                </c:pt>
                <c:pt idx="532">
                  <c:v>131.02713446186897</c:v>
                </c:pt>
                <c:pt idx="533">
                  <c:v>130.89817803533541</c:v>
                </c:pt>
                <c:pt idx="534">
                  <c:v>130.76930602681611</c:v>
                </c:pt>
                <c:pt idx="535">
                  <c:v>130.64051843631108</c:v>
                </c:pt>
                <c:pt idx="536">
                  <c:v>130.51181526382032</c:v>
                </c:pt>
                <c:pt idx="537">
                  <c:v>130.38319650934383</c:v>
                </c:pt>
                <c:pt idx="538">
                  <c:v>130.25466217288161</c:v>
                </c:pt>
                <c:pt idx="539">
                  <c:v>130.12621225443365</c:v>
                </c:pt>
                <c:pt idx="540">
                  <c:v>129.99784675399997</c:v>
                </c:pt>
                <c:pt idx="541">
                  <c:v>129.86956567158055</c:v>
                </c:pt>
                <c:pt idx="542">
                  <c:v>129.74136900717539</c:v>
                </c:pt>
                <c:pt idx="543">
                  <c:v>129.61325676078451</c:v>
                </c:pt>
                <c:pt idx="544">
                  <c:v>129.48522893240789</c:v>
                </c:pt>
                <c:pt idx="545">
                  <c:v>129.35728552204554</c:v>
                </c:pt>
                <c:pt idx="546">
                  <c:v>129.22942652969746</c:v>
                </c:pt>
                <c:pt idx="547">
                  <c:v>129.10165195536365</c:v>
                </c:pt>
                <c:pt idx="548">
                  <c:v>128.9739617990441</c:v>
                </c:pt>
                <c:pt idx="549">
                  <c:v>128.84635606073883</c:v>
                </c:pt>
                <c:pt idx="550">
                  <c:v>128.71884897755498</c:v>
                </c:pt>
                <c:pt idx="551">
                  <c:v>128.59147376940933</c:v>
                </c:pt>
                <c:pt idx="552">
                  <c:v>128.46423043630185</c:v>
                </c:pt>
                <c:pt idx="553">
                  <c:v>128.33711897823252</c:v>
                </c:pt>
                <c:pt idx="554">
                  <c:v>128.2101393952014</c:v>
                </c:pt>
                <c:pt idx="555">
                  <c:v>128.0832916872084</c:v>
                </c:pt>
                <c:pt idx="556">
                  <c:v>127.95657585425361</c:v>
                </c:pt>
                <c:pt idx="557">
                  <c:v>127.82999189633699</c:v>
                </c:pt>
                <c:pt idx="558">
                  <c:v>127.70353981345855</c:v>
                </c:pt>
                <c:pt idx="559">
                  <c:v>127.57721960561827</c:v>
                </c:pt>
                <c:pt idx="560">
                  <c:v>127.45103127281617</c:v>
                </c:pt>
                <c:pt idx="561">
                  <c:v>127.32497481505224</c:v>
                </c:pt>
                <c:pt idx="562">
                  <c:v>127.19905023232648</c:v>
                </c:pt>
                <c:pt idx="563">
                  <c:v>127.07325752463892</c:v>
                </c:pt>
                <c:pt idx="564">
                  <c:v>126.9475966919895</c:v>
                </c:pt>
                <c:pt idx="565">
                  <c:v>126.82206773437828</c:v>
                </c:pt>
                <c:pt idx="566">
                  <c:v>126.69667065180523</c:v>
                </c:pt>
                <c:pt idx="567">
                  <c:v>126.57140544427034</c:v>
                </c:pt>
                <c:pt idx="568">
                  <c:v>126.44627211177364</c:v>
                </c:pt>
                <c:pt idx="569">
                  <c:v>126.32127065431511</c:v>
                </c:pt>
                <c:pt idx="570">
                  <c:v>126.19640107189475</c:v>
                </c:pt>
                <c:pt idx="571">
                  <c:v>126.07166336451256</c:v>
                </c:pt>
                <c:pt idx="572">
                  <c:v>125.94705753216856</c:v>
                </c:pt>
                <c:pt idx="573">
                  <c:v>125.82258357486272</c:v>
                </c:pt>
                <c:pt idx="574">
                  <c:v>125.69824149259506</c:v>
                </c:pt>
                <c:pt idx="575">
                  <c:v>125.57403128536558</c:v>
                </c:pt>
                <c:pt idx="576">
                  <c:v>125.44995295317426</c:v>
                </c:pt>
                <c:pt idx="577">
                  <c:v>125.32600649602112</c:v>
                </c:pt>
                <c:pt idx="578">
                  <c:v>125.20219191390616</c:v>
                </c:pt>
                <c:pt idx="579">
                  <c:v>125.07850920682937</c:v>
                </c:pt>
                <c:pt idx="580">
                  <c:v>124.95495837479075</c:v>
                </c:pt>
                <c:pt idx="581">
                  <c:v>124.8315394177903</c:v>
                </c:pt>
                <c:pt idx="582">
                  <c:v>124.70825233582802</c:v>
                </c:pt>
                <c:pt idx="583">
                  <c:v>124.58509712890393</c:v>
                </c:pt>
                <c:pt idx="584">
                  <c:v>124.46207379701799</c:v>
                </c:pt>
                <c:pt idx="585">
                  <c:v>124.33918234017024</c:v>
                </c:pt>
                <c:pt idx="586">
                  <c:v>124.21642275836066</c:v>
                </c:pt>
                <c:pt idx="587">
                  <c:v>124.09379505158925</c:v>
                </c:pt>
                <c:pt idx="588">
                  <c:v>123.97129921985604</c:v>
                </c:pt>
                <c:pt idx="589">
                  <c:v>123.84893526316098</c:v>
                </c:pt>
                <c:pt idx="590">
                  <c:v>123.72670318150409</c:v>
                </c:pt>
                <c:pt idx="591">
                  <c:v>123.6046029748854</c:v>
                </c:pt>
                <c:pt idx="592">
                  <c:v>123.48263464330486</c:v>
                </c:pt>
                <c:pt idx="593">
                  <c:v>123.36079818676249</c:v>
                </c:pt>
                <c:pt idx="594">
                  <c:v>123.23909360525832</c:v>
                </c:pt>
                <c:pt idx="595">
                  <c:v>123.11752089879231</c:v>
                </c:pt>
                <c:pt idx="596">
                  <c:v>122.99608006736447</c:v>
                </c:pt>
                <c:pt idx="597">
                  <c:v>122.87477111097481</c:v>
                </c:pt>
                <c:pt idx="598">
                  <c:v>122.75359402962333</c:v>
                </c:pt>
                <c:pt idx="599">
                  <c:v>122.63254882331</c:v>
                </c:pt>
                <c:pt idx="600">
                  <c:v>122.51163549203487</c:v>
                </c:pt>
                <c:pt idx="601">
                  <c:v>122.39085403579791</c:v>
                </c:pt>
                <c:pt idx="602">
                  <c:v>122.27020445459911</c:v>
                </c:pt>
                <c:pt idx="603">
                  <c:v>122.1496867484385</c:v>
                </c:pt>
                <c:pt idx="604">
                  <c:v>122.02930091731604</c:v>
                </c:pt>
                <c:pt idx="605">
                  <c:v>121.90904696123177</c:v>
                </c:pt>
                <c:pt idx="606">
                  <c:v>121.78892488018568</c:v>
                </c:pt>
                <c:pt idx="607">
                  <c:v>121.66893467417775</c:v>
                </c:pt>
                <c:pt idx="608">
                  <c:v>121.54907634320799</c:v>
                </c:pt>
                <c:pt idx="609">
                  <c:v>121.42934988727642</c:v>
                </c:pt>
                <c:pt idx="610">
                  <c:v>121.30975530638301</c:v>
                </c:pt>
                <c:pt idx="611">
                  <c:v>121.19029260052778</c:v>
                </c:pt>
                <c:pt idx="612">
                  <c:v>121.07108276612001</c:v>
                </c:pt>
                <c:pt idx="613">
                  <c:v>120.95212580315972</c:v>
                </c:pt>
                <c:pt idx="614">
                  <c:v>120.83342171164688</c:v>
                </c:pt>
                <c:pt idx="615">
                  <c:v>120.71497049158151</c:v>
                </c:pt>
                <c:pt idx="616">
                  <c:v>120.59677214296362</c:v>
                </c:pt>
                <c:pt idx="617">
                  <c:v>120.47882666579318</c:v>
                </c:pt>
                <c:pt idx="618">
                  <c:v>120.3611340600702</c:v>
                </c:pt>
                <c:pt idx="619">
                  <c:v>120.24369432579469</c:v>
                </c:pt>
                <c:pt idx="620">
                  <c:v>120.12650746296666</c:v>
                </c:pt>
                <c:pt idx="621">
                  <c:v>120.00957347158608</c:v>
                </c:pt>
                <c:pt idx="622">
                  <c:v>119.89289235165299</c:v>
                </c:pt>
                <c:pt idx="623">
                  <c:v>119.77646410316734</c:v>
                </c:pt>
                <c:pt idx="624">
                  <c:v>119.66028872612917</c:v>
                </c:pt>
                <c:pt idx="625">
                  <c:v>119.54436622053845</c:v>
                </c:pt>
                <c:pt idx="626">
                  <c:v>119.4286965863952</c:v>
                </c:pt>
                <c:pt idx="627">
                  <c:v>119.31327982369943</c:v>
                </c:pt>
                <c:pt idx="628">
                  <c:v>119.19811593245112</c:v>
                </c:pt>
                <c:pt idx="629">
                  <c:v>119.08320491265026</c:v>
                </c:pt>
                <c:pt idx="630">
                  <c:v>118.96854676429689</c:v>
                </c:pt>
                <c:pt idx="631">
                  <c:v>118.85414148739096</c:v>
                </c:pt>
                <c:pt idx="632">
                  <c:v>118.73998908193252</c:v>
                </c:pt>
                <c:pt idx="633">
                  <c:v>118.62608954792152</c:v>
                </c:pt>
                <c:pt idx="634">
                  <c:v>118.512442885358</c:v>
                </c:pt>
                <c:pt idx="635">
                  <c:v>118.39904909424195</c:v>
                </c:pt>
                <c:pt idx="636">
                  <c:v>118.28590817457335</c:v>
                </c:pt>
                <c:pt idx="637">
                  <c:v>118.17302012635224</c:v>
                </c:pt>
                <c:pt idx="638">
                  <c:v>118.06038494957858</c:v>
                </c:pt>
                <c:pt idx="639">
                  <c:v>117.94800264425237</c:v>
                </c:pt>
                <c:pt idx="640">
                  <c:v>117.83587321037365</c:v>
                </c:pt>
                <c:pt idx="641">
                  <c:v>117.72399664794239</c:v>
                </c:pt>
                <c:pt idx="642">
                  <c:v>117.61237295695858</c:v>
                </c:pt>
                <c:pt idx="643">
                  <c:v>117.50100213742225</c:v>
                </c:pt>
                <c:pt idx="644">
                  <c:v>117.38988418933337</c:v>
                </c:pt>
                <c:pt idx="645">
                  <c:v>117.27901911269198</c:v>
                </c:pt>
                <c:pt idx="646">
                  <c:v>117.16873433837551</c:v>
                </c:pt>
                <c:pt idx="647">
                  <c:v>117.05906624759263</c:v>
                </c:pt>
                <c:pt idx="648">
                  <c:v>116.95001484034329</c:v>
                </c:pt>
                <c:pt idx="649">
                  <c:v>116.84158011662751</c:v>
                </c:pt>
                <c:pt idx="650">
                  <c:v>116.7337620764453</c:v>
                </c:pt>
                <c:pt idx="651">
                  <c:v>116.62656071979664</c:v>
                </c:pt>
                <c:pt idx="652">
                  <c:v>116.51997604668156</c:v>
                </c:pt>
                <c:pt idx="653">
                  <c:v>116.41400805710003</c:v>
                </c:pt>
                <c:pt idx="654">
                  <c:v>116.30865675105204</c:v>
                </c:pt>
                <c:pt idx="655">
                  <c:v>116.20392212853761</c:v>
                </c:pt>
                <c:pt idx="656">
                  <c:v>116.09980418955675</c:v>
                </c:pt>
                <c:pt idx="657">
                  <c:v>115.99630293410945</c:v>
                </c:pt>
                <c:pt idx="658">
                  <c:v>115.89341836219572</c:v>
                </c:pt>
                <c:pt idx="659">
                  <c:v>115.79115047381553</c:v>
                </c:pt>
                <c:pt idx="660">
                  <c:v>115.68949926896892</c:v>
                </c:pt>
                <c:pt idx="661">
                  <c:v>115.58846474765586</c:v>
                </c:pt>
                <c:pt idx="662">
                  <c:v>115.48804690987636</c:v>
                </c:pt>
                <c:pt idx="663">
                  <c:v>115.38824575563044</c:v>
                </c:pt>
                <c:pt idx="664">
                  <c:v>115.28906128491803</c:v>
                </c:pt>
                <c:pt idx="665">
                  <c:v>115.19049349773921</c:v>
                </c:pt>
                <c:pt idx="666">
                  <c:v>115.0932270355945</c:v>
                </c:pt>
                <c:pt idx="667">
                  <c:v>114.99743305885902</c:v>
                </c:pt>
                <c:pt idx="668">
                  <c:v>114.90311156753279</c:v>
                </c:pt>
                <c:pt idx="669">
                  <c:v>114.81026256161582</c:v>
                </c:pt>
                <c:pt idx="670">
                  <c:v>114.71888604110806</c:v>
                </c:pt>
                <c:pt idx="671">
                  <c:v>114.62898200600958</c:v>
                </c:pt>
                <c:pt idx="672">
                  <c:v>114.54055045632033</c:v>
                </c:pt>
                <c:pt idx="673">
                  <c:v>114.45359139204034</c:v>
                </c:pt>
                <c:pt idx="674">
                  <c:v>114.36810481316958</c:v>
                </c:pt>
                <c:pt idx="675">
                  <c:v>114.28409071970808</c:v>
                </c:pt>
                <c:pt idx="676">
                  <c:v>114.20154911165581</c:v>
                </c:pt>
                <c:pt idx="677">
                  <c:v>114.12047998901278</c:v>
                </c:pt>
                <c:pt idx="678">
                  <c:v>114.04088335177902</c:v>
                </c:pt>
                <c:pt idx="679">
                  <c:v>113.96275919995448</c:v>
                </c:pt>
                <c:pt idx="680">
                  <c:v>113.88610753353919</c:v>
                </c:pt>
                <c:pt idx="681">
                  <c:v>113.81092835253317</c:v>
                </c:pt>
                <c:pt idx="682">
                  <c:v>113.73722165693637</c:v>
                </c:pt>
                <c:pt idx="683">
                  <c:v>113.66498744674884</c:v>
                </c:pt>
                <c:pt idx="684">
                  <c:v>113.59422572197053</c:v>
                </c:pt>
                <c:pt idx="685">
                  <c:v>113.52493648260149</c:v>
                </c:pt>
                <c:pt idx="686">
                  <c:v>113.45711972864167</c:v>
                </c:pt>
                <c:pt idx="687">
                  <c:v>113.39077546009112</c:v>
                </c:pt>
                <c:pt idx="688">
                  <c:v>113.32590367694981</c:v>
                </c:pt>
                <c:pt idx="689">
                  <c:v>113.26250437921773</c:v>
                </c:pt>
                <c:pt idx="690">
                  <c:v>113.20057756689491</c:v>
                </c:pt>
                <c:pt idx="691">
                  <c:v>113.14012323998134</c:v>
                </c:pt>
                <c:pt idx="692">
                  <c:v>113.081141398477</c:v>
                </c:pt>
                <c:pt idx="693">
                  <c:v>113.02363204238192</c:v>
                </c:pt>
                <c:pt idx="694">
                  <c:v>112.96759517169608</c:v>
                </c:pt>
                <c:pt idx="695">
                  <c:v>112.91303078641948</c:v>
                </c:pt>
                <c:pt idx="696">
                  <c:v>112.85993888655213</c:v>
                </c:pt>
                <c:pt idx="697">
                  <c:v>112.80831947209404</c:v>
                </c:pt>
                <c:pt idx="698">
                  <c:v>112.75817254304518</c:v>
                </c:pt>
                <c:pt idx="699">
                  <c:v>112.70949809940556</c:v>
                </c:pt>
                <c:pt idx="700">
                  <c:v>112.6622961411752</c:v>
                </c:pt>
                <c:pt idx="701">
                  <c:v>112.61656666835408</c:v>
                </c:pt>
                <c:pt idx="702">
                  <c:v>112.57230968094221</c:v>
                </c:pt>
                <c:pt idx="703">
                  <c:v>112.52952517893959</c:v>
                </c:pt>
                <c:pt idx="704">
                  <c:v>112.4882131623462</c:v>
                </c:pt>
                <c:pt idx="705">
                  <c:v>112.44837363116207</c:v>
                </c:pt>
                <c:pt idx="706">
                  <c:v>112.41000658538718</c:v>
                </c:pt>
                <c:pt idx="707">
                  <c:v>112.37311202502153</c:v>
                </c:pt>
                <c:pt idx="708">
                  <c:v>112.3377081908847</c:v>
                </c:pt>
                <c:pt idx="709">
                  <c:v>112.30395925035289</c:v>
                </c:pt>
                <c:pt idx="710">
                  <c:v>112.27186520342607</c:v>
                </c:pt>
                <c:pt idx="711">
                  <c:v>112.24142605010427</c:v>
                </c:pt>
                <c:pt idx="712">
                  <c:v>112.21264179038748</c:v>
                </c:pt>
                <c:pt idx="713">
                  <c:v>112.18551242427571</c:v>
                </c:pt>
                <c:pt idx="714">
                  <c:v>112.16003795176896</c:v>
                </c:pt>
                <c:pt idx="715">
                  <c:v>112.13621837286721</c:v>
                </c:pt>
                <c:pt idx="716">
                  <c:v>112.11405368757045</c:v>
                </c:pt>
                <c:pt idx="717">
                  <c:v>112.09354389587872</c:v>
                </c:pt>
                <c:pt idx="718">
                  <c:v>112.07468899779199</c:v>
                </c:pt>
                <c:pt idx="719">
                  <c:v>112.05748899331029</c:v>
                </c:pt>
                <c:pt idx="720">
                  <c:v>112.0419438824336</c:v>
                </c:pt>
                <c:pt idx="721">
                  <c:v>112.02805366516192</c:v>
                </c:pt>
                <c:pt idx="722">
                  <c:v>112.01581834149523</c:v>
                </c:pt>
                <c:pt idx="723">
                  <c:v>112.00523791143355</c:v>
                </c:pt>
                <c:pt idx="724">
                  <c:v>111.9963123749769</c:v>
                </c:pt>
                <c:pt idx="725">
                  <c:v>111.99135422756807</c:v>
                </c:pt>
                <c:pt idx="726">
                  <c:v>111.99135422756807</c:v>
                </c:pt>
                <c:pt idx="727">
                  <c:v>111.99135422756807</c:v>
                </c:pt>
                <c:pt idx="728">
                  <c:v>111.99135422756807</c:v>
                </c:pt>
                <c:pt idx="729">
                  <c:v>111.99135422756807</c:v>
                </c:pt>
                <c:pt idx="730">
                  <c:v>111.99135422756807</c:v>
                </c:pt>
                <c:pt idx="731">
                  <c:v>111.99135422756807</c:v>
                </c:pt>
                <c:pt idx="732">
                  <c:v>111.99135422756807</c:v>
                </c:pt>
                <c:pt idx="733">
                  <c:v>111.99135422756807</c:v>
                </c:pt>
                <c:pt idx="734">
                  <c:v>111.99135422756807</c:v>
                </c:pt>
                <c:pt idx="735">
                  <c:v>111.99135422756807</c:v>
                </c:pt>
                <c:pt idx="736">
                  <c:v>111.99135422756807</c:v>
                </c:pt>
                <c:pt idx="737">
                  <c:v>111.99135422756807</c:v>
                </c:pt>
                <c:pt idx="738">
                  <c:v>111.99135422756807</c:v>
                </c:pt>
                <c:pt idx="739">
                  <c:v>111.99135422756807</c:v>
                </c:pt>
                <c:pt idx="740">
                  <c:v>111.99135422756807</c:v>
                </c:pt>
                <c:pt idx="741">
                  <c:v>111.99135422756807</c:v>
                </c:pt>
                <c:pt idx="742">
                  <c:v>111.99135422756807</c:v>
                </c:pt>
                <c:pt idx="743">
                  <c:v>111.99135422756807</c:v>
                </c:pt>
                <c:pt idx="744">
                  <c:v>111.99135422756807</c:v>
                </c:pt>
                <c:pt idx="745">
                  <c:v>111.99135422756807</c:v>
                </c:pt>
                <c:pt idx="746">
                  <c:v>111.99135422756807</c:v>
                </c:pt>
                <c:pt idx="747">
                  <c:v>111.99135422756807</c:v>
                </c:pt>
                <c:pt idx="748">
                  <c:v>111.99135422756807</c:v>
                </c:pt>
                <c:pt idx="749">
                  <c:v>111.99135422756807</c:v>
                </c:pt>
                <c:pt idx="750">
                  <c:v>111.99135422756807</c:v>
                </c:pt>
                <c:pt idx="751">
                  <c:v>111.99135422756807</c:v>
                </c:pt>
                <c:pt idx="752">
                  <c:v>111.99135422756807</c:v>
                </c:pt>
                <c:pt idx="753">
                  <c:v>111.99135422756807</c:v>
                </c:pt>
                <c:pt idx="754">
                  <c:v>111.99135422756807</c:v>
                </c:pt>
                <c:pt idx="755">
                  <c:v>111.99135422756807</c:v>
                </c:pt>
                <c:pt idx="756">
                  <c:v>111.99135422756807</c:v>
                </c:pt>
                <c:pt idx="757">
                  <c:v>111.99135422756807</c:v>
                </c:pt>
                <c:pt idx="758">
                  <c:v>111.99135422756807</c:v>
                </c:pt>
                <c:pt idx="759">
                  <c:v>111.99135422756807</c:v>
                </c:pt>
                <c:pt idx="760">
                  <c:v>111.99135422756807</c:v>
                </c:pt>
                <c:pt idx="761">
                  <c:v>111.99135422756807</c:v>
                </c:pt>
                <c:pt idx="762">
                  <c:v>111.99135422756807</c:v>
                </c:pt>
                <c:pt idx="763">
                  <c:v>111.99135422756807</c:v>
                </c:pt>
                <c:pt idx="764">
                  <c:v>111.99135422756807</c:v>
                </c:pt>
                <c:pt idx="765">
                  <c:v>111.99135422756807</c:v>
                </c:pt>
                <c:pt idx="766">
                  <c:v>111.99135422756807</c:v>
                </c:pt>
                <c:pt idx="767">
                  <c:v>111.99135422756807</c:v>
                </c:pt>
                <c:pt idx="768">
                  <c:v>111.99135422756807</c:v>
                </c:pt>
                <c:pt idx="769">
                  <c:v>111.99135422756807</c:v>
                </c:pt>
                <c:pt idx="770">
                  <c:v>111.99135422756807</c:v>
                </c:pt>
                <c:pt idx="771">
                  <c:v>111.99135422756807</c:v>
                </c:pt>
                <c:pt idx="772">
                  <c:v>111.99135422756807</c:v>
                </c:pt>
                <c:pt idx="773">
                  <c:v>111.99135422756807</c:v>
                </c:pt>
                <c:pt idx="774">
                  <c:v>111.99135422756807</c:v>
                </c:pt>
                <c:pt idx="775">
                  <c:v>111.99135422756807</c:v>
                </c:pt>
                <c:pt idx="776">
                  <c:v>111.99135422756807</c:v>
                </c:pt>
                <c:pt idx="777">
                  <c:v>111.99135422756807</c:v>
                </c:pt>
                <c:pt idx="778">
                  <c:v>111.99135422756807</c:v>
                </c:pt>
                <c:pt idx="779">
                  <c:v>111.99135422756807</c:v>
                </c:pt>
                <c:pt idx="780">
                  <c:v>111.99135422756807</c:v>
                </c:pt>
                <c:pt idx="781">
                  <c:v>111.99135422756807</c:v>
                </c:pt>
                <c:pt idx="782">
                  <c:v>111.99135422756807</c:v>
                </c:pt>
                <c:pt idx="783">
                  <c:v>111.99135422756807</c:v>
                </c:pt>
                <c:pt idx="784">
                  <c:v>111.99135422756807</c:v>
                </c:pt>
                <c:pt idx="785">
                  <c:v>111.99135422756807</c:v>
                </c:pt>
                <c:pt idx="786">
                  <c:v>111.99135422756807</c:v>
                </c:pt>
                <c:pt idx="787">
                  <c:v>111.99135422756807</c:v>
                </c:pt>
                <c:pt idx="788">
                  <c:v>111.99135422756807</c:v>
                </c:pt>
                <c:pt idx="789">
                  <c:v>111.99135422756807</c:v>
                </c:pt>
                <c:pt idx="790">
                  <c:v>111.99135422756807</c:v>
                </c:pt>
                <c:pt idx="791">
                  <c:v>111.99135422756807</c:v>
                </c:pt>
                <c:pt idx="792">
                  <c:v>111.99135422756807</c:v>
                </c:pt>
                <c:pt idx="793">
                  <c:v>111.99135422756807</c:v>
                </c:pt>
                <c:pt idx="794">
                  <c:v>111.99135422756807</c:v>
                </c:pt>
                <c:pt idx="795">
                  <c:v>111.99135422756807</c:v>
                </c:pt>
                <c:pt idx="796">
                  <c:v>111.99135422756807</c:v>
                </c:pt>
                <c:pt idx="797">
                  <c:v>111.99135422756807</c:v>
                </c:pt>
                <c:pt idx="798">
                  <c:v>111.99135422756807</c:v>
                </c:pt>
                <c:pt idx="799">
                  <c:v>111.99135422756807</c:v>
                </c:pt>
                <c:pt idx="800">
                  <c:v>111.99135422756807</c:v>
                </c:pt>
                <c:pt idx="801">
                  <c:v>111.99135422756807</c:v>
                </c:pt>
                <c:pt idx="802">
                  <c:v>111.99135422756807</c:v>
                </c:pt>
                <c:pt idx="803">
                  <c:v>111.99135422756807</c:v>
                </c:pt>
                <c:pt idx="804">
                  <c:v>111.99135422756807</c:v>
                </c:pt>
                <c:pt idx="805">
                  <c:v>111.99135422756807</c:v>
                </c:pt>
                <c:pt idx="806">
                  <c:v>111.99135422756807</c:v>
                </c:pt>
                <c:pt idx="807">
                  <c:v>111.99135422756807</c:v>
                </c:pt>
                <c:pt idx="808">
                  <c:v>111.99135422756807</c:v>
                </c:pt>
                <c:pt idx="809">
                  <c:v>111.99135422756807</c:v>
                </c:pt>
                <c:pt idx="810">
                  <c:v>111.99135422756807</c:v>
                </c:pt>
                <c:pt idx="811">
                  <c:v>111.99135422756807</c:v>
                </c:pt>
                <c:pt idx="812">
                  <c:v>111.99135422756807</c:v>
                </c:pt>
                <c:pt idx="813">
                  <c:v>111.99135422756807</c:v>
                </c:pt>
                <c:pt idx="814">
                  <c:v>111.99135422756807</c:v>
                </c:pt>
                <c:pt idx="815">
                  <c:v>111.99135422756807</c:v>
                </c:pt>
                <c:pt idx="816">
                  <c:v>111.99135422756807</c:v>
                </c:pt>
                <c:pt idx="817">
                  <c:v>111.99135422756807</c:v>
                </c:pt>
                <c:pt idx="818">
                  <c:v>111.99135422756807</c:v>
                </c:pt>
                <c:pt idx="819">
                  <c:v>111.99135422756807</c:v>
                </c:pt>
                <c:pt idx="820">
                  <c:v>111.99135422756807</c:v>
                </c:pt>
                <c:pt idx="821">
                  <c:v>111.99135422756807</c:v>
                </c:pt>
                <c:pt idx="822">
                  <c:v>111.99135422756807</c:v>
                </c:pt>
                <c:pt idx="823">
                  <c:v>111.99135422756807</c:v>
                </c:pt>
                <c:pt idx="824">
                  <c:v>111.99135422756807</c:v>
                </c:pt>
                <c:pt idx="825">
                  <c:v>111.99135422756807</c:v>
                </c:pt>
                <c:pt idx="826">
                  <c:v>111.99135422756807</c:v>
                </c:pt>
                <c:pt idx="827">
                  <c:v>111.99135422756807</c:v>
                </c:pt>
                <c:pt idx="828">
                  <c:v>111.99135422756807</c:v>
                </c:pt>
                <c:pt idx="829">
                  <c:v>111.99135422756807</c:v>
                </c:pt>
                <c:pt idx="830">
                  <c:v>111.99135422756807</c:v>
                </c:pt>
                <c:pt idx="831">
                  <c:v>111.99135422756807</c:v>
                </c:pt>
                <c:pt idx="832">
                  <c:v>111.99135422756807</c:v>
                </c:pt>
                <c:pt idx="833">
                  <c:v>111.99135422756807</c:v>
                </c:pt>
                <c:pt idx="834">
                  <c:v>111.99135422756807</c:v>
                </c:pt>
                <c:pt idx="835">
                  <c:v>111.99135422756807</c:v>
                </c:pt>
                <c:pt idx="836">
                  <c:v>111.99135422756807</c:v>
                </c:pt>
                <c:pt idx="837">
                  <c:v>111.99135422756807</c:v>
                </c:pt>
                <c:pt idx="838">
                  <c:v>111.99135422756807</c:v>
                </c:pt>
                <c:pt idx="839">
                  <c:v>111.99135422756807</c:v>
                </c:pt>
                <c:pt idx="840">
                  <c:v>111.99135422756807</c:v>
                </c:pt>
                <c:pt idx="841">
                  <c:v>111.99135422756807</c:v>
                </c:pt>
                <c:pt idx="842">
                  <c:v>111.99135422756807</c:v>
                </c:pt>
                <c:pt idx="843">
                  <c:v>111.99135422756807</c:v>
                </c:pt>
                <c:pt idx="844">
                  <c:v>111.99135422756807</c:v>
                </c:pt>
                <c:pt idx="845">
                  <c:v>111.99135422756807</c:v>
                </c:pt>
                <c:pt idx="846">
                  <c:v>111.99135422756807</c:v>
                </c:pt>
                <c:pt idx="847">
                  <c:v>111.99135422756807</c:v>
                </c:pt>
                <c:pt idx="848">
                  <c:v>111.99135422756807</c:v>
                </c:pt>
                <c:pt idx="849">
                  <c:v>111.99135422756807</c:v>
                </c:pt>
                <c:pt idx="850">
                  <c:v>111.99135422756807</c:v>
                </c:pt>
                <c:pt idx="851">
                  <c:v>111.99135422756807</c:v>
                </c:pt>
                <c:pt idx="852">
                  <c:v>111.99135422756807</c:v>
                </c:pt>
                <c:pt idx="853">
                  <c:v>111.99135422756807</c:v>
                </c:pt>
                <c:pt idx="854">
                  <c:v>111.99135422756807</c:v>
                </c:pt>
                <c:pt idx="855">
                  <c:v>111.99135422756807</c:v>
                </c:pt>
                <c:pt idx="856">
                  <c:v>111.99135422756807</c:v>
                </c:pt>
                <c:pt idx="857">
                  <c:v>111.99135422756807</c:v>
                </c:pt>
                <c:pt idx="858">
                  <c:v>111.99135422756807</c:v>
                </c:pt>
                <c:pt idx="859">
                  <c:v>111.99135422756807</c:v>
                </c:pt>
                <c:pt idx="860">
                  <c:v>111.99135422756807</c:v>
                </c:pt>
                <c:pt idx="861">
                  <c:v>111.99135422756807</c:v>
                </c:pt>
                <c:pt idx="862">
                  <c:v>111.99135422756807</c:v>
                </c:pt>
                <c:pt idx="863">
                  <c:v>111.99135422756807</c:v>
                </c:pt>
                <c:pt idx="864">
                  <c:v>111.99135422756807</c:v>
                </c:pt>
                <c:pt idx="865">
                  <c:v>111.99135422756807</c:v>
                </c:pt>
                <c:pt idx="866">
                  <c:v>111.99135422756807</c:v>
                </c:pt>
                <c:pt idx="867">
                  <c:v>111.99135422756807</c:v>
                </c:pt>
                <c:pt idx="868">
                  <c:v>111.99135422756807</c:v>
                </c:pt>
                <c:pt idx="869">
                  <c:v>111.99135422756807</c:v>
                </c:pt>
                <c:pt idx="870">
                  <c:v>111.99135422756807</c:v>
                </c:pt>
                <c:pt idx="871">
                  <c:v>111.99135422756807</c:v>
                </c:pt>
                <c:pt idx="872">
                  <c:v>111.99135422756807</c:v>
                </c:pt>
                <c:pt idx="873">
                  <c:v>111.99135422756807</c:v>
                </c:pt>
                <c:pt idx="874">
                  <c:v>111.99135422756807</c:v>
                </c:pt>
                <c:pt idx="875">
                  <c:v>111.99135422756807</c:v>
                </c:pt>
                <c:pt idx="876">
                  <c:v>111.99135422756807</c:v>
                </c:pt>
                <c:pt idx="877">
                  <c:v>111.99135422756807</c:v>
                </c:pt>
                <c:pt idx="878">
                  <c:v>111.99135422756807</c:v>
                </c:pt>
                <c:pt idx="879">
                  <c:v>111.99135422756807</c:v>
                </c:pt>
                <c:pt idx="880">
                  <c:v>111.99135422756807</c:v>
                </c:pt>
                <c:pt idx="881">
                  <c:v>111.99135422756807</c:v>
                </c:pt>
                <c:pt idx="882">
                  <c:v>111.99135422756807</c:v>
                </c:pt>
                <c:pt idx="883">
                  <c:v>111.99135422756807</c:v>
                </c:pt>
                <c:pt idx="884">
                  <c:v>111.99135422756807</c:v>
                </c:pt>
                <c:pt idx="885">
                  <c:v>111.99135422756807</c:v>
                </c:pt>
                <c:pt idx="886">
                  <c:v>111.99135422756807</c:v>
                </c:pt>
                <c:pt idx="887">
                  <c:v>111.99135422756807</c:v>
                </c:pt>
                <c:pt idx="888">
                  <c:v>111.99135422756807</c:v>
                </c:pt>
                <c:pt idx="889">
                  <c:v>111.99135422756807</c:v>
                </c:pt>
                <c:pt idx="890">
                  <c:v>111.99135422756807</c:v>
                </c:pt>
                <c:pt idx="891">
                  <c:v>111.99135422756807</c:v>
                </c:pt>
                <c:pt idx="892">
                  <c:v>111.99135422756807</c:v>
                </c:pt>
                <c:pt idx="893">
                  <c:v>111.99135422756807</c:v>
                </c:pt>
                <c:pt idx="894">
                  <c:v>111.99135422756807</c:v>
                </c:pt>
                <c:pt idx="895">
                  <c:v>111.99135422756807</c:v>
                </c:pt>
                <c:pt idx="896">
                  <c:v>111.99135422756807</c:v>
                </c:pt>
                <c:pt idx="897">
                  <c:v>111.99135422756807</c:v>
                </c:pt>
                <c:pt idx="898">
                  <c:v>111.99135422756807</c:v>
                </c:pt>
                <c:pt idx="899">
                  <c:v>111.99135422756807</c:v>
                </c:pt>
                <c:pt idx="900">
                  <c:v>111.99135422756807</c:v>
                </c:pt>
                <c:pt idx="901">
                  <c:v>111.99135422756807</c:v>
                </c:pt>
                <c:pt idx="902">
                  <c:v>111.99135422756807</c:v>
                </c:pt>
                <c:pt idx="903">
                  <c:v>111.99135422756807</c:v>
                </c:pt>
                <c:pt idx="904">
                  <c:v>111.99135422756807</c:v>
                </c:pt>
                <c:pt idx="905">
                  <c:v>111.99135422756807</c:v>
                </c:pt>
                <c:pt idx="906">
                  <c:v>111.99135422756807</c:v>
                </c:pt>
                <c:pt idx="907">
                  <c:v>111.99135422756807</c:v>
                </c:pt>
                <c:pt idx="908">
                  <c:v>111.99135422756807</c:v>
                </c:pt>
                <c:pt idx="909">
                  <c:v>111.99135422756807</c:v>
                </c:pt>
                <c:pt idx="910">
                  <c:v>111.99135422756807</c:v>
                </c:pt>
                <c:pt idx="911">
                  <c:v>111.99135422756807</c:v>
                </c:pt>
                <c:pt idx="912">
                  <c:v>111.99135422756807</c:v>
                </c:pt>
                <c:pt idx="913">
                  <c:v>111.99135422756807</c:v>
                </c:pt>
                <c:pt idx="914">
                  <c:v>111.99135422756807</c:v>
                </c:pt>
                <c:pt idx="915">
                  <c:v>111.99135422756807</c:v>
                </c:pt>
                <c:pt idx="916">
                  <c:v>111.99135422756807</c:v>
                </c:pt>
                <c:pt idx="917">
                  <c:v>111.99135422756807</c:v>
                </c:pt>
                <c:pt idx="918">
                  <c:v>111.99135422756807</c:v>
                </c:pt>
                <c:pt idx="919">
                  <c:v>111.99135422756807</c:v>
                </c:pt>
                <c:pt idx="920">
                  <c:v>111.99135422756807</c:v>
                </c:pt>
                <c:pt idx="921">
                  <c:v>111.99135422756807</c:v>
                </c:pt>
                <c:pt idx="922">
                  <c:v>111.99135422756807</c:v>
                </c:pt>
                <c:pt idx="923">
                  <c:v>111.99135422756807</c:v>
                </c:pt>
                <c:pt idx="924">
                  <c:v>111.99135422756807</c:v>
                </c:pt>
                <c:pt idx="925">
                  <c:v>111.99135422756807</c:v>
                </c:pt>
                <c:pt idx="926">
                  <c:v>111.99135422756807</c:v>
                </c:pt>
                <c:pt idx="927">
                  <c:v>111.99135422756807</c:v>
                </c:pt>
                <c:pt idx="928">
                  <c:v>111.99135422756807</c:v>
                </c:pt>
                <c:pt idx="929">
                  <c:v>111.99135422756807</c:v>
                </c:pt>
                <c:pt idx="930">
                  <c:v>111.99135422756807</c:v>
                </c:pt>
                <c:pt idx="931">
                  <c:v>111.99135422756807</c:v>
                </c:pt>
                <c:pt idx="932">
                  <c:v>111.99135422756807</c:v>
                </c:pt>
                <c:pt idx="933">
                  <c:v>111.99135422756807</c:v>
                </c:pt>
                <c:pt idx="934">
                  <c:v>111.99135422756807</c:v>
                </c:pt>
                <c:pt idx="935">
                  <c:v>111.99135422756807</c:v>
                </c:pt>
                <c:pt idx="936">
                  <c:v>111.99135422756807</c:v>
                </c:pt>
                <c:pt idx="937">
                  <c:v>111.99135422756807</c:v>
                </c:pt>
                <c:pt idx="938">
                  <c:v>111.99135422756807</c:v>
                </c:pt>
                <c:pt idx="939">
                  <c:v>111.99135422756807</c:v>
                </c:pt>
                <c:pt idx="940">
                  <c:v>111.99135422756807</c:v>
                </c:pt>
                <c:pt idx="941">
                  <c:v>111.99135422756807</c:v>
                </c:pt>
                <c:pt idx="942">
                  <c:v>111.99135422756807</c:v>
                </c:pt>
                <c:pt idx="943">
                  <c:v>111.99135422756807</c:v>
                </c:pt>
                <c:pt idx="944">
                  <c:v>111.99135422756807</c:v>
                </c:pt>
                <c:pt idx="945">
                  <c:v>111.99135422756807</c:v>
                </c:pt>
                <c:pt idx="946">
                  <c:v>111.99135422756807</c:v>
                </c:pt>
                <c:pt idx="947">
                  <c:v>111.99135422756807</c:v>
                </c:pt>
                <c:pt idx="948">
                  <c:v>111.99135422756807</c:v>
                </c:pt>
                <c:pt idx="949">
                  <c:v>111.99135422756807</c:v>
                </c:pt>
                <c:pt idx="950">
                  <c:v>111.99135422756807</c:v>
                </c:pt>
                <c:pt idx="951">
                  <c:v>111.99135422756807</c:v>
                </c:pt>
                <c:pt idx="952">
                  <c:v>111.99135422756807</c:v>
                </c:pt>
                <c:pt idx="953">
                  <c:v>111.99135422756807</c:v>
                </c:pt>
                <c:pt idx="954">
                  <c:v>111.99135422756807</c:v>
                </c:pt>
                <c:pt idx="955">
                  <c:v>111.99135422756807</c:v>
                </c:pt>
                <c:pt idx="956">
                  <c:v>111.99135422756807</c:v>
                </c:pt>
                <c:pt idx="957">
                  <c:v>111.99135422756807</c:v>
                </c:pt>
                <c:pt idx="958">
                  <c:v>111.99135422756807</c:v>
                </c:pt>
                <c:pt idx="959">
                  <c:v>111.99135422756807</c:v>
                </c:pt>
                <c:pt idx="960">
                  <c:v>111.99135422756807</c:v>
                </c:pt>
                <c:pt idx="961">
                  <c:v>111.99135422756807</c:v>
                </c:pt>
                <c:pt idx="962">
                  <c:v>111.99135422756807</c:v>
                </c:pt>
                <c:pt idx="963">
                  <c:v>111.99135422756807</c:v>
                </c:pt>
                <c:pt idx="964">
                  <c:v>111.99135422756807</c:v>
                </c:pt>
                <c:pt idx="965">
                  <c:v>111.99135422756807</c:v>
                </c:pt>
                <c:pt idx="966">
                  <c:v>111.99135422756807</c:v>
                </c:pt>
                <c:pt idx="967">
                  <c:v>111.99135422756807</c:v>
                </c:pt>
                <c:pt idx="968">
                  <c:v>111.99135422756807</c:v>
                </c:pt>
                <c:pt idx="969">
                  <c:v>111.99135422756807</c:v>
                </c:pt>
                <c:pt idx="970">
                  <c:v>111.99135422756807</c:v>
                </c:pt>
                <c:pt idx="971">
                  <c:v>111.99135422756807</c:v>
                </c:pt>
                <c:pt idx="972">
                  <c:v>111.99135422756807</c:v>
                </c:pt>
                <c:pt idx="973">
                  <c:v>111.99135422756807</c:v>
                </c:pt>
                <c:pt idx="974">
                  <c:v>111.99135422756807</c:v>
                </c:pt>
                <c:pt idx="975">
                  <c:v>111.99135422756807</c:v>
                </c:pt>
                <c:pt idx="976">
                  <c:v>111.99135422756807</c:v>
                </c:pt>
                <c:pt idx="977">
                  <c:v>111.99135422756807</c:v>
                </c:pt>
                <c:pt idx="978">
                  <c:v>111.99135422756807</c:v>
                </c:pt>
                <c:pt idx="979">
                  <c:v>111.99135422756807</c:v>
                </c:pt>
                <c:pt idx="980">
                  <c:v>111.99135422756807</c:v>
                </c:pt>
                <c:pt idx="981">
                  <c:v>111.99135422756807</c:v>
                </c:pt>
                <c:pt idx="982">
                  <c:v>111.99135422756807</c:v>
                </c:pt>
                <c:pt idx="983">
                  <c:v>111.99135422756807</c:v>
                </c:pt>
                <c:pt idx="984">
                  <c:v>111.99135422756807</c:v>
                </c:pt>
                <c:pt idx="985">
                  <c:v>111.99135422756807</c:v>
                </c:pt>
                <c:pt idx="986">
                  <c:v>111.99135422756807</c:v>
                </c:pt>
                <c:pt idx="987">
                  <c:v>111.99135422756807</c:v>
                </c:pt>
                <c:pt idx="988">
                  <c:v>111.99135422756807</c:v>
                </c:pt>
                <c:pt idx="989">
                  <c:v>111.99135422756807</c:v>
                </c:pt>
                <c:pt idx="990">
                  <c:v>111.99135422756807</c:v>
                </c:pt>
                <c:pt idx="991">
                  <c:v>111.99135422756807</c:v>
                </c:pt>
                <c:pt idx="992">
                  <c:v>111.99135422756807</c:v>
                </c:pt>
                <c:pt idx="993">
                  <c:v>111.99135422756807</c:v>
                </c:pt>
                <c:pt idx="994">
                  <c:v>111.99135422756807</c:v>
                </c:pt>
                <c:pt idx="995">
                  <c:v>111.99135422756807</c:v>
                </c:pt>
                <c:pt idx="996">
                  <c:v>111.99135422756807</c:v>
                </c:pt>
                <c:pt idx="997">
                  <c:v>111.99135422756807</c:v>
                </c:pt>
                <c:pt idx="998">
                  <c:v>111.99135422756807</c:v>
                </c:pt>
                <c:pt idx="999">
                  <c:v>111.99135422756807</c:v>
                </c:pt>
                <c:pt idx="1000">
                  <c:v>111.99135422756807</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Calculs!$W$4:$W$1004</c:f>
              <c:numCache>
                <c:formatCode>0.00</c:formatCode>
                <c:ptCount val="1001"/>
                <c:pt idx="0">
                  <c:v>0</c:v>
                </c:pt>
                <c:pt idx="1">
                  <c:v>0</c:v>
                </c:pt>
                <c:pt idx="2">
                  <c:v>1.8768771102791465E-4</c:v>
                </c:pt>
                <c:pt idx="3">
                  <c:v>1.7475128098905456E-3</c:v>
                </c:pt>
                <c:pt idx="4">
                  <c:v>7.1103161953368537E-3</c:v>
                </c:pt>
                <c:pt idx="5">
                  <c:v>1.8419489450087614E-2</c:v>
                </c:pt>
                <c:pt idx="6">
                  <c:v>3.6268400457186954E-2</c:v>
                </c:pt>
                <c:pt idx="7">
                  <c:v>6.175205589076832E-2</c:v>
                </c:pt>
                <c:pt idx="8">
                  <c:v>9.6034138169209263E-2</c:v>
                </c:pt>
                <c:pt idx="9">
                  <c:v>0.13921646493004136</c:v>
                </c:pt>
                <c:pt idx="10">
                  <c:v>0.19067121567581299</c:v>
                </c:pt>
                <c:pt idx="11">
                  <c:v>0.250519858088944</c:v>
                </c:pt>
                <c:pt idx="12">
                  <c:v>0.31888449308279199</c:v>
                </c:pt>
                <c:pt idx="13">
                  <c:v>0.39588785247890124</c:v>
                </c:pt>
                <c:pt idx="14">
                  <c:v>0.48165329661605311</c:v>
                </c:pt>
                <c:pt idx="15">
                  <c:v>0.57630481189058802</c:v>
                </c:pt>
                <c:pt idx="16">
                  <c:v>0.67996700822746281</c:v>
                </c:pt>
                <c:pt idx="17">
                  <c:v>0.79276511648152548</c:v>
                </c:pt>
                <c:pt idx="18">
                  <c:v>0.91482498576847937</c:v>
                </c:pt>
                <c:pt idx="19">
                  <c:v>1.0462730807250171</c:v>
                </c:pt>
                <c:pt idx="20">
                  <c:v>1.1872364786976142</c:v>
                </c:pt>
                <c:pt idx="21">
                  <c:v>1.3375977099069907</c:v>
                </c:pt>
                <c:pt idx="22">
                  <c:v>1.4970526540900702</c:v>
                </c:pt>
                <c:pt idx="23">
                  <c:v>1.665621871189952</c:v>
                </c:pt>
                <c:pt idx="24">
                  <c:v>1.8433257241030001</c:v>
                </c:pt>
                <c:pt idx="25">
                  <c:v>2.0301843772445172</c:v>
                </c:pt>
                <c:pt idx="26">
                  <c:v>2.2262177951209536</c:v>
                </c:pt>
                <c:pt idx="27">
                  <c:v>2.4314457409087815</c:v>
                </c:pt>
                <c:pt idx="28">
                  <c:v>2.645887775040165</c:v>
                </c:pt>
                <c:pt idx="29">
                  <c:v>2.8695632537955862</c:v>
                </c:pt>
                <c:pt idx="30">
                  <c:v>3.1024913279035551</c:v>
                </c:pt>
                <c:pt idx="31">
                  <c:v>3.3446909411475372</c:v>
                </c:pt>
                <c:pt idx="32">
                  <c:v>3.5961808289802524</c:v>
                </c:pt>
                <c:pt idx="33">
                  <c:v>3.856979517145473</c:v>
                </c:pt>
                <c:pt idx="34">
                  <c:v>4.1271053203074608</c:v>
                </c:pt>
                <c:pt idx="35">
                  <c:v>4.4065763406881899</c:v>
                </c:pt>
                <c:pt idx="36">
                  <c:v>4.6954104667124845</c:v>
                </c:pt>
                <c:pt idx="37">
                  <c:v>4.9936296990875038</c:v>
                </c:pt>
                <c:pt idx="38">
                  <c:v>5.3012565853528049</c:v>
                </c:pt>
                <c:pt idx="39">
                  <c:v>5.6183089665390185</c:v>
                </c:pt>
                <c:pt idx="40">
                  <c:v>5.9448044525023596</c:v>
                </c:pt>
                <c:pt idx="41">
                  <c:v>6.2807604211552572</c:v>
                </c:pt>
                <c:pt idx="42">
                  <c:v>6.6261940177162568</c:v>
                </c:pt>
                <c:pt idx="43">
                  <c:v>6.9811221539277533</c:v>
                </c:pt>
                <c:pt idx="44">
                  <c:v>7.345561507245514</c:v>
                </c:pt>
                <c:pt idx="45">
                  <c:v>7.7195285200037524</c:v>
                </c:pt>
                <c:pt idx="46">
                  <c:v>8.1031736026567707</c:v>
                </c:pt>
                <c:pt idx="47">
                  <c:v>8.4965569367506362</c:v>
                </c:pt>
                <c:pt idx="48">
                  <c:v>8.8997065876580699</c:v>
                </c:pt>
                <c:pt idx="49">
                  <c:v>9.3126504211087671</c:v>
                </c:pt>
                <c:pt idx="50">
                  <c:v>9.7354161016885588</c:v>
                </c:pt>
                <c:pt idx="51">
                  <c:v>10.168031091324414</c:v>
                </c:pt>
                <c:pt idx="52">
                  <c:v>10.610522647757033</c:v>
                </c:pt>
                <c:pt idx="53">
                  <c:v>11.062917823002453</c:v>
                </c:pt>
                <c:pt idx="54">
                  <c:v>11.525243461804051</c:v>
                </c:pt>
                <c:pt idx="55">
                  <c:v>11.997526200076253</c:v>
                </c:pt>
                <c:pt idx="56">
                  <c:v>12.479792463341028</c:v>
                </c:pt>
                <c:pt idx="57">
                  <c:v>12.97206846515828</c:v>
                </c:pt>
                <c:pt idx="58">
                  <c:v>13.474380205551162</c:v>
                </c:pt>
                <c:pt idx="59">
                  <c:v>13.986753469427093</c:v>
                </c:pt>
                <c:pt idx="60">
                  <c:v>14.509213824995516</c:v>
                </c:pt>
                <c:pt idx="61">
                  <c:v>15.041786622183063</c:v>
                </c:pt>
                <c:pt idx="62">
                  <c:v>15.584496991046812</c:v>
                </c:pt>
                <c:pt idx="63">
                  <c:v>16.137369840186601</c:v>
                </c:pt>
                <c:pt idx="64">
                  <c:v>16.700429855156667</c:v>
                </c:pt>
                <c:pt idx="65">
                  <c:v>17.273701496877582</c:v>
                </c:pt>
                <c:pt idx="66">
                  <c:v>17.857209000048805</c:v>
                </c:pt>
                <c:pt idx="67">
                  <c:v>18.4509763715626</c:v>
                </c:pt>
                <c:pt idx="68">
                  <c:v>19.055027388919584</c:v>
                </c:pt>
                <c:pt idx="69">
                  <c:v>19.672637672484463</c:v>
                </c:pt>
                <c:pt idx="70">
                  <c:v>20.305405898833811</c:v>
                </c:pt>
                <c:pt idx="71">
                  <c:v>20.95358396315903</c:v>
                </c:pt>
                <c:pt idx="72">
                  <c:v>21.617425908546746</c:v>
                </c:pt>
                <c:pt idx="73">
                  <c:v>22.297187923535876</c:v>
                </c:pt>
                <c:pt idx="74">
                  <c:v>22.993128339482297</c:v>
                </c:pt>
                <c:pt idx="75">
                  <c:v>23.705507627727993</c:v>
                </c:pt>
                <c:pt idx="76">
                  <c:v>24.434588396571648</c:v>
                </c:pt>
                <c:pt idx="77">
                  <c:v>25.173844881438963</c:v>
                </c:pt>
                <c:pt idx="78">
                  <c:v>25.920276938835169</c:v>
                </c:pt>
                <c:pt idx="79">
                  <c:v>26.673706605342019</c:v>
                </c:pt>
                <c:pt idx="80">
                  <c:v>27.433956276073097</c:v>
                </c:pt>
                <c:pt idx="81">
                  <c:v>28.200848720796699</c:v>
                </c:pt>
                <c:pt idx="82">
                  <c:v>28.974207099953361</c:v>
                </c:pt>
                <c:pt idx="83">
                  <c:v>29.753854980566434</c:v>
                </c:pt>
                <c:pt idx="84">
                  <c:v>30.539616352043694</c:v>
                </c:pt>
                <c:pt idx="85">
                  <c:v>31.331315641868819</c:v>
                </c:pt>
                <c:pt idx="86">
                  <c:v>32.129819339123081</c:v>
                </c:pt>
                <c:pt idx="87">
                  <c:v>32.939213595873596</c:v>
                </c:pt>
                <c:pt idx="88">
                  <c:v>33.759524457864174</c:v>
                </c:pt>
                <c:pt idx="89">
                  <c:v>34.590777728219059</c:v>
                </c:pt>
                <c:pt idx="90">
                  <c:v>35.432998965628492</c:v>
                </c:pt>
                <c:pt idx="91">
                  <c:v>36.286213482540674</c:v>
                </c:pt>
                <c:pt idx="92">
                  <c:v>37.150446343360606</c:v>
                </c:pt>
                <c:pt idx="93">
                  <c:v>38.025722362656012</c:v>
                </c:pt>
                <c:pt idx="94">
                  <c:v>38.912066103370591</c:v>
                </c:pt>
                <c:pt idx="95">
                  <c:v>39.809501875044788</c:v>
                </c:pt>
                <c:pt idx="96">
                  <c:v>40.718053732044538</c:v>
                </c:pt>
                <c:pt idx="97">
                  <c:v>41.637745471797714</c:v>
                </c:pt>
                <c:pt idx="98">
                  <c:v>42.568600633039324</c:v>
                </c:pt>
                <c:pt idx="99">
                  <c:v>43.510642494064854</c:v>
                </c:pt>
                <c:pt idx="100">
                  <c:v>44.463894070992453</c:v>
                </c:pt>
                <c:pt idx="101">
                  <c:v>45.428378116034267</c:v>
                </c:pt>
                <c:pt idx="102">
                  <c:v>46.4041171157767</c:v>
                </c:pt>
                <c:pt idx="103">
                  <c:v>47.391133289470325</c:v>
                </c:pt>
                <c:pt idx="104">
                  <c:v>48.389448587329355</c:v>
                </c:pt>
                <c:pt idx="105">
                  <c:v>49.399084688840908</c:v>
                </c:pt>
                <c:pt idx="106">
                  <c:v>50.420063001084571</c:v>
                </c:pt>
                <c:pt idx="107">
                  <c:v>51.452404657062061</c:v>
                </c:pt>
                <c:pt idx="108">
                  <c:v>52.496130514037517</c:v>
                </c:pt>
                <c:pt idx="109">
                  <c:v>53.551261151888475</c:v>
                </c:pt>
                <c:pt idx="110">
                  <c:v>54.617816871467788</c:v>
                </c:pt>
                <c:pt idx="111">
                  <c:v>55.695817692976824</c:v>
                </c:pt>
                <c:pt idx="112">
                  <c:v>56.785283354349865</c:v>
                </c:pt>
                <c:pt idx="113">
                  <c:v>57.886233309650059</c:v>
                </c:pt>
                <c:pt idx="114">
                  <c:v>58.998686727477448</c:v>
                </c:pt>
                <c:pt idx="115">
                  <c:v>60.12266248938856</c:v>
                </c:pt>
                <c:pt idx="116">
                  <c:v>61.258179188328405</c:v>
                </c:pt>
                <c:pt idx="117">
                  <c:v>62.405255127074966</c:v>
                </c:pt>
                <c:pt idx="118">
                  <c:v>63.563908316696143</c:v>
                </c:pt>
                <c:pt idx="119">
                  <c:v>64.734156475019233</c:v>
                </c:pt>
                <c:pt idx="120">
                  <c:v>65.916017025113931</c:v>
                </c:pt>
                <c:pt idx="121">
                  <c:v>67.109507093788096</c:v>
                </c:pt>
                <c:pt idx="122">
                  <c:v>68.314643510097028</c:v>
                </c:pt>
                <c:pt idx="123">
                  <c:v>69.531442803866184</c:v>
                </c:pt>
                <c:pt idx="124">
                  <c:v>70.759921204227936</c:v>
                </c:pt>
                <c:pt idx="125">
                  <c:v>72.000094638171987</c:v>
                </c:pt>
                <c:pt idx="126">
                  <c:v>73.251978729109851</c:v>
                </c:pt>
                <c:pt idx="127">
                  <c:v>74.515588795454207</c:v>
                </c:pt>
                <c:pt idx="128">
                  <c:v>75.790939849212066</c:v>
                </c:pt>
                <c:pt idx="129">
                  <c:v>77.078046594592962</c:v>
                </c:pt>
                <c:pt idx="130">
                  <c:v>78.376923426632118</c:v>
                </c:pt>
                <c:pt idx="131">
                  <c:v>79.687584429828433</c:v>
                </c:pt>
                <c:pt idx="132">
                  <c:v>81.010043376797825</c:v>
                </c:pt>
                <c:pt idx="133">
                  <c:v>82.344313726942062</c:v>
                </c:pt>
                <c:pt idx="134">
                  <c:v>83.690408625132875</c:v>
                </c:pt>
                <c:pt idx="135">
                  <c:v>85.048340900412384</c:v>
                </c:pt>
                <c:pt idx="136">
                  <c:v>86.418123064708766</c:v>
                </c:pt>
                <c:pt idx="137">
                  <c:v>87.799767311568814</c:v>
                </c:pt>
                <c:pt idx="138">
                  <c:v>89.193285514905966</c:v>
                </c:pt>
                <c:pt idx="139">
                  <c:v>90.598689227765519</c:v>
                </c:pt>
                <c:pt idx="140">
                  <c:v>92.015989681106134</c:v>
                </c:pt>
                <c:pt idx="141">
                  <c:v>93.445197782597916</c:v>
                </c:pt>
                <c:pt idx="142">
                  <c:v>94.88632411543793</c:v>
                </c:pt>
                <c:pt idx="143">
                  <c:v>96.339378937182516</c:v>
                </c:pt>
                <c:pt idx="144">
                  <c:v>97.804372178597035</c:v>
                </c:pt>
                <c:pt idx="145">
                  <c:v>99.281313442523015</c:v>
                </c:pt>
                <c:pt idx="146">
                  <c:v>100.77021200276258</c:v>
                </c:pt>
                <c:pt idx="147">
                  <c:v>102.27107680298157</c:v>
                </c:pt>
                <c:pt idx="148">
                  <c:v>103.78391645562932</c:v>
                </c:pt>
                <c:pt idx="149">
                  <c:v>105.30873924087767</c:v>
                </c:pt>
                <c:pt idx="150">
                  <c:v>106.84555310557734</c:v>
                </c:pt>
                <c:pt idx="151">
                  <c:v>108.39436566223324</c:v>
                </c:pt>
                <c:pt idx="152">
                  <c:v>109.95518418799801</c:v>
                </c:pt>
                <c:pt idx="153">
                  <c:v>111.5280156236844</c:v>
                </c:pt>
                <c:pt idx="154">
                  <c:v>113.11286657279626</c:v>
                </c:pt>
                <c:pt idx="155">
                  <c:v>114.70974330057884</c:v>
                </c:pt>
                <c:pt idx="156">
                  <c:v>116.3186517330878</c:v>
                </c:pt>
                <c:pt idx="157">
                  <c:v>117.9395974562778</c:v>
                </c:pt>
                <c:pt idx="158">
                  <c:v>119.57258571511029</c:v>
                </c:pt>
                <c:pt idx="159">
                  <c:v>121.2176214126808</c:v>
                </c:pt>
                <c:pt idx="160">
                  <c:v>122.87470910936614</c:v>
                </c:pt>
                <c:pt idx="161">
                  <c:v>124.54385302199107</c:v>
                </c:pt>
                <c:pt idx="162">
                  <c:v>126.22505702301504</c:v>
                </c:pt>
                <c:pt idx="163">
                  <c:v>127.91832463973914</c:v>
                </c:pt>
                <c:pt idx="164">
                  <c:v>129.62365905353295</c:v>
                </c:pt>
                <c:pt idx="165">
                  <c:v>131.34106309908182</c:v>
                </c:pt>
                <c:pt idx="166">
                  <c:v>133.07053926365455</c:v>
                </c:pt>
                <c:pt idx="167">
                  <c:v>134.81208968639177</c:v>
                </c:pt>
                <c:pt idx="168">
                  <c:v>136.56571615761484</c:v>
                </c:pt>
                <c:pt idx="169">
                  <c:v>138.33142011815559</c:v>
                </c:pt>
                <c:pt idx="170">
                  <c:v>140.10920265870698</c:v>
                </c:pt>
                <c:pt idx="171">
                  <c:v>141.89906451919438</c:v>
                </c:pt>
                <c:pt idx="172">
                  <c:v>143.70100608816912</c:v>
                </c:pt>
                <c:pt idx="173">
                  <c:v>145.51502740222168</c:v>
                </c:pt>
                <c:pt idx="174">
                  <c:v>147.34112814541757</c:v>
                </c:pt>
                <c:pt idx="175">
                  <c:v>149.17930764875416</c:v>
                </c:pt>
                <c:pt idx="176">
                  <c:v>151.02956488963872</c:v>
                </c:pt>
                <c:pt idx="177">
                  <c:v>152.89189849138853</c:v>
                </c:pt>
                <c:pt idx="178">
                  <c:v>154.76630672275297</c:v>
                </c:pt>
                <c:pt idx="179">
                  <c:v>156.65278749745684</c:v>
                </c:pt>
                <c:pt idx="180">
                  <c:v>158.55133837376576</c:v>
                </c:pt>
                <c:pt idx="181">
                  <c:v>160.46195655407456</c:v>
                </c:pt>
                <c:pt idx="182">
                  <c:v>162.38463888451602</c:v>
                </c:pt>
                <c:pt idx="183">
                  <c:v>164.31938185459339</c:v>
                </c:pt>
                <c:pt idx="184">
                  <c:v>166.26618159683443</c:v>
                </c:pt>
                <c:pt idx="185">
                  <c:v>168.22503388646828</c:v>
                </c:pt>
                <c:pt idx="186">
                  <c:v>170.1959341411241</c:v>
                </c:pt>
                <c:pt idx="187">
                  <c:v>172.17887742055311</c:v>
                </c:pt>
                <c:pt idx="188">
                  <c:v>174.17385842637259</c:v>
                </c:pt>
                <c:pt idx="189">
                  <c:v>176.18087150183274</c:v>
                </c:pt>
                <c:pt idx="190">
                  <c:v>178.19991063160666</c:v>
                </c:pt>
                <c:pt idx="191">
                  <c:v>180.23096944160218</c:v>
                </c:pt>
                <c:pt idx="192">
                  <c:v>182.27404119879813</c:v>
                </c:pt>
                <c:pt idx="193">
                  <c:v>184.32911881110215</c:v>
                </c:pt>
                <c:pt idx="194">
                  <c:v>186.39619482723174</c:v>
                </c:pt>
                <c:pt idx="195">
                  <c:v>188.47526143661958</c:v>
                </c:pt>
                <c:pt idx="196">
                  <c:v>190.56631046934035</c:v>
                </c:pt>
                <c:pt idx="197">
                  <c:v>192.6693333960616</c:v>
                </c:pt>
                <c:pt idx="198">
                  <c:v>194.78432132801788</c:v>
                </c:pt>
                <c:pt idx="199">
                  <c:v>196.91126501700833</c:v>
                </c:pt>
                <c:pt idx="200">
                  <c:v>199.05015485541614</c:v>
                </c:pt>
                <c:pt idx="201">
                  <c:v>201.20098087625414</c:v>
                </c:pt>
                <c:pt idx="202">
                  <c:v>203.36373275323066</c:v>
                </c:pt>
                <c:pt idx="203">
                  <c:v>205.53839980084123</c:v>
                </c:pt>
                <c:pt idx="204">
                  <c:v>207.7249709744828</c:v>
                </c:pt>
                <c:pt idx="205">
                  <c:v>209.92343487059162</c:v>
                </c:pt>
                <c:pt idx="206">
                  <c:v>212.13377972680394</c:v>
                </c:pt>
                <c:pt idx="207">
                  <c:v>214.35599342214206</c:v>
                </c:pt>
                <c:pt idx="208">
                  <c:v>216.59006347722246</c:v>
                </c:pt>
                <c:pt idx="209">
                  <c:v>218.83597705448767</c:v>
                </c:pt>
                <c:pt idx="210">
                  <c:v>221.09372095846271</c:v>
                </c:pt>
                <c:pt idx="211">
                  <c:v>223.36328163603432</c:v>
                </c:pt>
                <c:pt idx="212">
                  <c:v>225.6446451767541</c:v>
                </c:pt>
                <c:pt idx="213">
                  <c:v>227.93779731316585</c:v>
                </c:pt>
                <c:pt idx="214">
                  <c:v>230.24272342115574</c:v>
                </c:pt>
                <c:pt idx="215">
                  <c:v>232.55940852032688</c:v>
                </c:pt>
                <c:pt idx="216">
                  <c:v>234.88783727439747</c:v>
                </c:pt>
                <c:pt idx="217">
                  <c:v>237.22799399162241</c:v>
                </c:pt>
                <c:pt idx="218">
                  <c:v>239.57986262523877</c:v>
                </c:pt>
                <c:pt idx="219">
                  <c:v>241.94342677393487</c:v>
                </c:pt>
                <c:pt idx="220">
                  <c:v>244.31866968234402</c:v>
                </c:pt>
                <c:pt idx="221">
                  <c:v>246.70557424156007</c:v>
                </c:pt>
                <c:pt idx="222">
                  <c:v>249.10412298967833</c:v>
                </c:pt>
                <c:pt idx="223">
                  <c:v>251.51429811235957</c:v>
                </c:pt>
                <c:pt idx="224">
                  <c:v>253.93608144341718</c:v>
                </c:pt>
                <c:pt idx="225">
                  <c:v>256.36945446542933</c:v>
                </c:pt>
                <c:pt idx="226">
                  <c:v>258.81439831037284</c:v>
                </c:pt>
                <c:pt idx="227">
                  <c:v>261.27089376028255</c:v>
                </c:pt>
                <c:pt idx="228">
                  <c:v>263.73892124793286</c:v>
                </c:pt>
                <c:pt idx="229">
                  <c:v>266.21846085754356</c:v>
                </c:pt>
                <c:pt idx="230">
                  <c:v>268.70949232550885</c:v>
                </c:pt>
                <c:pt idx="231">
                  <c:v>271.2119950411502</c:v>
                </c:pt>
                <c:pt idx="232">
                  <c:v>273.72594804749156</c:v>
                </c:pt>
                <c:pt idx="233">
                  <c:v>276.25133004205952</c:v>
                </c:pt>
                <c:pt idx="234">
                  <c:v>278.78811937770558</c:v>
                </c:pt>
                <c:pt idx="235">
                  <c:v>281.33629406345278</c:v>
                </c:pt>
                <c:pt idx="236">
                  <c:v>283.89583176536411</c:v>
                </c:pt>
                <c:pt idx="237">
                  <c:v>286.46670980743522</c:v>
                </c:pt>
                <c:pt idx="238">
                  <c:v>289.04890517251113</c:v>
                </c:pt>
                <c:pt idx="239">
                  <c:v>291.6423945032227</c:v>
                </c:pt>
                <c:pt idx="240">
                  <c:v>294.24715410295039</c:v>
                </c:pt>
                <c:pt idx="241">
                  <c:v>296.86315993680819</c:v>
                </c:pt>
                <c:pt idx="242">
                  <c:v>299.49038763265105</c:v>
                </c:pt>
                <c:pt idx="243">
                  <c:v>302.1288124821051</c:v>
                </c:pt>
                <c:pt idx="244">
                  <c:v>304.79183921727946</c:v>
                </c:pt>
                <c:pt idx="245">
                  <c:v>307.47961916466068</c:v>
                </c:pt>
                <c:pt idx="246">
                  <c:v>310.19230394557906</c:v>
                </c:pt>
                <c:pt idx="247">
                  <c:v>312.93004546653316</c:v>
                </c:pt>
                <c:pt idx="248">
                  <c:v>315.69299590943712</c:v>
                </c:pt>
                <c:pt idx="249">
                  <c:v>318.48130772179348</c:v>
                </c:pt>
                <c:pt idx="250">
                  <c:v>321.29513360678936</c:v>
                </c:pt>
                <c:pt idx="251">
                  <c:v>324.13462651331633</c:v>
                </c:pt>
                <c:pt idx="252">
                  <c:v>326.99993962591549</c:v>
                </c:pt>
                <c:pt idx="253">
                  <c:v>329.88349114264537</c:v>
                </c:pt>
                <c:pt idx="254">
                  <c:v>332.77755811192816</c:v>
                </c:pt>
                <c:pt idx="255">
                  <c:v>335.68208947450188</c:v>
                </c:pt>
                <c:pt idx="256">
                  <c:v>338.59703385524324</c:v>
                </c:pt>
                <c:pt idx="257">
                  <c:v>341.52233956603988</c:v>
                </c:pt>
                <c:pt idx="258">
                  <c:v>344.45795460868402</c:v>
                </c:pt>
                <c:pt idx="259">
                  <c:v>347.40382667778704</c:v>
                </c:pt>
                <c:pt idx="260">
                  <c:v>350.35990316371419</c:v>
                </c:pt>
                <c:pt idx="261">
                  <c:v>353.32613115553909</c:v>
                </c:pt>
                <c:pt idx="262">
                  <c:v>356.30245744401867</c:v>
                </c:pt>
                <c:pt idx="263">
                  <c:v>359.28882852458781</c:v>
                </c:pt>
                <c:pt idx="264">
                  <c:v>362.28519060037127</c:v>
                </c:pt>
                <c:pt idx="265">
                  <c:v>365.29148958521711</c:v>
                </c:pt>
                <c:pt idx="266">
                  <c:v>368.30767110674708</c:v>
                </c:pt>
                <c:pt idx="267">
                  <c:v>371.33368050942499</c:v>
                </c:pt>
                <c:pt idx="268">
                  <c:v>374.36946285764481</c:v>
                </c:pt>
                <c:pt idx="269">
                  <c:v>377.41496293883444</c:v>
                </c:pt>
                <c:pt idx="270">
                  <c:v>380.47012526657778</c:v>
                </c:pt>
                <c:pt idx="271">
                  <c:v>383.53489408375367</c:v>
                </c:pt>
                <c:pt idx="272">
                  <c:v>386.60921336569163</c:v>
                </c:pt>
                <c:pt idx="273">
                  <c:v>389.69302682334398</c:v>
                </c:pt>
                <c:pt idx="274">
                  <c:v>392.78627790647312</c:v>
                </c:pt>
                <c:pt idx="275">
                  <c:v>395.88890980685642</c:v>
                </c:pt>
                <c:pt idx="276">
                  <c:v>399.00086546150379</c:v>
                </c:pt>
                <c:pt idx="277">
                  <c:v>402.12167072394016</c:v>
                </c:pt>
                <c:pt idx="278">
                  <c:v>405.25063516219478</c:v>
                </c:pt>
                <c:pt idx="279">
                  <c:v>408.38768907363271</c:v>
                </c:pt>
                <c:pt idx="280">
                  <c:v>411.53276257347557</c:v>
                </c:pt>
                <c:pt idx="281">
                  <c:v>414.68578559888397</c:v>
                </c:pt>
                <c:pt idx="282">
                  <c:v>417.84668791304631</c:v>
                </c:pt>
                <c:pt idx="283">
                  <c:v>421.01539910927136</c:v>
                </c:pt>
                <c:pt idx="284">
                  <c:v>424.19184861508887</c:v>
                </c:pt>
                <c:pt idx="285">
                  <c:v>427.37596569635343</c:v>
                </c:pt>
                <c:pt idx="286">
                  <c:v>430.56767946135204</c:v>
                </c:pt>
                <c:pt idx="287">
                  <c:v>433.76691886491909</c:v>
                </c:pt>
                <c:pt idx="288">
                  <c:v>436.97361271255153</c:v>
                </c:pt>
                <c:pt idx="289">
                  <c:v>440.18768966452978</c:v>
                </c:pt>
                <c:pt idx="290">
                  <c:v>443.40907824003904</c:v>
                </c:pt>
                <c:pt idx="291">
                  <c:v>446.63770682129689</c:v>
                </c:pt>
                <c:pt idx="292">
                  <c:v>449.87350365767776</c:v>
                </c:pt>
                <c:pt idx="293">
                  <c:v>453.11639686984392</c:v>
                </c:pt>
                <c:pt idx="294">
                  <c:v>456.36631445387542</c:v>
                </c:pt>
                <c:pt idx="295">
                  <c:v>459.62318428539817</c:v>
                </c:pt>
                <c:pt idx="296">
                  <c:v>462.88693412371907</c:v>
                </c:pt>
                <c:pt idx="297">
                  <c:v>466.15749161595386</c:v>
                </c:pt>
                <c:pt idx="298">
                  <c:v>469.43478430115954</c:v>
                </c:pt>
                <c:pt idx="299">
                  <c:v>472.71873961446295</c:v>
                </c:pt>
                <c:pt idx="300">
                  <c:v>476.00928489118996</c:v>
                </c:pt>
                <c:pt idx="301">
                  <c:v>479.30634737099189</c:v>
                </c:pt>
                <c:pt idx="302">
                  <c:v>482.60985420196914</c:v>
                </c:pt>
                <c:pt idx="303">
                  <c:v>485.91973244479493</c:v>
                </c:pt>
                <c:pt idx="304">
                  <c:v>489.23590907683212</c:v>
                </c:pt>
                <c:pt idx="305">
                  <c:v>492.55831099625146</c:v>
                </c:pt>
                <c:pt idx="306">
                  <c:v>495.8868650261407</c:v>
                </c:pt>
                <c:pt idx="307">
                  <c:v>499.2214979186146</c:v>
                </c:pt>
                <c:pt idx="308">
                  <c:v>502.56213635891783</c:v>
                </c:pt>
                <c:pt idx="309">
                  <c:v>505.90870696952152</c:v>
                </c:pt>
                <c:pt idx="310">
                  <c:v>509.26113631421885</c:v>
                </c:pt>
                <c:pt idx="311">
                  <c:v>512.61935090220959</c:v>
                </c:pt>
                <c:pt idx="312">
                  <c:v>515.98327719218253</c:v>
                </c:pt>
                <c:pt idx="313">
                  <c:v>519.35284159639002</c:v>
                </c:pt>
                <c:pt idx="314">
                  <c:v>522.72797048471557</c:v>
                </c:pt>
                <c:pt idx="315">
                  <c:v>526.10859018873373</c:v>
                </c:pt>
                <c:pt idx="316">
                  <c:v>529.49462700576237</c:v>
                </c:pt>
                <c:pt idx="317">
                  <c:v>532.88600720290867</c:v>
                </c:pt>
                <c:pt idx="318">
                  <c:v>536.2826570211032</c:v>
                </c:pt>
                <c:pt idx="319">
                  <c:v>539.68450267912885</c:v>
                </c:pt>
                <c:pt idx="320">
                  <c:v>543.09147037763853</c:v>
                </c:pt>
                <c:pt idx="321">
                  <c:v>546.50348630316273</c:v>
                </c:pt>
                <c:pt idx="322">
                  <c:v>549.92047663210974</c:v>
                </c:pt>
                <c:pt idx="323">
                  <c:v>553.34236753475193</c:v>
                </c:pt>
                <c:pt idx="324">
                  <c:v>556.76908517920424</c:v>
                </c:pt>
                <c:pt idx="325">
                  <c:v>560.20055573539241</c:v>
                </c:pt>
                <c:pt idx="326">
                  <c:v>563.63670537900498</c:v>
                </c:pt>
                <c:pt idx="327">
                  <c:v>567.07746029543841</c:v>
                </c:pt>
                <c:pt idx="328">
                  <c:v>570.52274668372911</c:v>
                </c:pt>
                <c:pt idx="329">
                  <c:v>573.97249076047024</c:v>
                </c:pt>
                <c:pt idx="330">
                  <c:v>577.42661876371949</c:v>
                </c:pt>
                <c:pt idx="331">
                  <c:v>580.88505695689105</c:v>
                </c:pt>
                <c:pt idx="332">
                  <c:v>584.3477316326356</c:v>
                </c:pt>
                <c:pt idx="333">
                  <c:v>587.81456911670557</c:v>
                </c:pt>
                <c:pt idx="334">
                  <c:v>591.28549577180604</c:v>
                </c:pt>
                <c:pt idx="335">
                  <c:v>594.76043800143225</c:v>
                </c:pt>
                <c:pt idx="336">
                  <c:v>598.23932225369163</c:v>
                </c:pt>
                <c:pt idx="337">
                  <c:v>601.72207502511037</c:v>
                </c:pt>
                <c:pt idx="338">
                  <c:v>605.20862286442559</c:v>
                </c:pt>
                <c:pt idx="339">
                  <c:v>608.69889237636005</c:v>
                </c:pt>
                <c:pt idx="340">
                  <c:v>612.19281022538155</c:v>
                </c:pt>
                <c:pt idx="341">
                  <c:v>615.69030313944677</c:v>
                </c:pt>
                <c:pt idx="342">
                  <c:v>619.19129791372825</c:v>
                </c:pt>
                <c:pt idx="343">
                  <c:v>622.69572141432104</c:v>
                </c:pt>
                <c:pt idx="344">
                  <c:v>626.20394185186126</c:v>
                </c:pt>
                <c:pt idx="345">
                  <c:v>629.71987488236618</c:v>
                </c:pt>
                <c:pt idx="346">
                  <c:v>633.24348077516936</c:v>
                </c:pt>
                <c:pt idx="347">
                  <c:v>636.77471964316271</c:v>
                </c:pt>
                <c:pt idx="348">
                  <c:v>640.31355144478789</c:v>
                </c:pt>
                <c:pt idx="349">
                  <c:v>643.85993598603704</c:v>
                </c:pt>
                <c:pt idx="350">
                  <c:v>647.4138329224578</c:v>
                </c:pt>
                <c:pt idx="351">
                  <c:v>650.97520176116655</c:v>
                </c:pt>
                <c:pt idx="352">
                  <c:v>654.54400186287205</c:v>
                </c:pt>
                <c:pt idx="353">
                  <c:v>658.12019244389933</c:v>
                </c:pt>
                <c:pt idx="354">
                  <c:v>661.70373257822712</c:v>
                </c:pt>
                <c:pt idx="355">
                  <c:v>665.29458119952642</c:v>
                </c:pt>
                <c:pt idx="356">
                  <c:v>668.89269710321025</c:v>
                </c:pt>
                <c:pt idx="357">
                  <c:v>672.49803894848367</c:v>
                </c:pt>
                <c:pt idx="358">
                  <c:v>676.11056526040659</c:v>
                </c:pt>
                <c:pt idx="359">
                  <c:v>679.73023443195723</c:v>
                </c:pt>
                <c:pt idx="360">
                  <c:v>683.35700472610199</c:v>
                </c:pt>
                <c:pt idx="361">
                  <c:v>686.99083427787434</c:v>
                </c:pt>
                <c:pt idx="362">
                  <c:v>690.63168109645551</c:v>
                </c:pt>
                <c:pt idx="363">
                  <c:v>694.27950306726029</c:v>
                </c:pt>
                <c:pt idx="364">
                  <c:v>697.93425795402959</c:v>
                </c:pt>
                <c:pt idx="365">
                  <c:v>701.59590340092734</c:v>
                </c:pt>
                <c:pt idx="366">
                  <c:v>705.26439693464079</c:v>
                </c:pt>
                <c:pt idx="367">
                  <c:v>708.93969596648753</c:v>
                </c:pt>
                <c:pt idx="368">
                  <c:v>712.62175779452332</c:v>
                </c:pt>
                <c:pt idx="369">
                  <c:v>716.3105396056593</c:v>
                </c:pt>
                <c:pt idx="370">
                  <c:v>720.00599847777448</c:v>
                </c:pt>
                <c:pt idx="371">
                  <c:v>723.70809138184427</c:v>
                </c:pt>
                <c:pt idx="372">
                  <c:v>727.41677518405891</c:v>
                </c:pt>
                <c:pt idx="373">
                  <c:v>731.12887545203648</c:v>
                </c:pt>
                <c:pt idx="374">
                  <c:v>734.84432842811691</c:v>
                </c:pt>
                <c:pt idx="375">
                  <c:v>738.5630704209309</c:v>
                </c:pt>
                <c:pt idx="376">
                  <c:v>742.28503780843539</c:v>
                </c:pt>
                <c:pt idx="377">
                  <c:v>746.01016704092933</c:v>
                </c:pt>
                <c:pt idx="378">
                  <c:v>749.73839464406126</c:v>
                </c:pt>
                <c:pt idx="379">
                  <c:v>753.46965722181619</c:v>
                </c:pt>
                <c:pt idx="380">
                  <c:v>757.20389145949173</c:v>
                </c:pt>
                <c:pt idx="381">
                  <c:v>760.94103412665618</c:v>
                </c:pt>
                <c:pt idx="382">
                  <c:v>764.68102208009179</c:v>
                </c:pt>
                <c:pt idx="383">
                  <c:v>768.4237922667229</c:v>
                </c:pt>
                <c:pt idx="384">
                  <c:v>772.16928172652649</c:v>
                </c:pt>
                <c:pt idx="385">
                  <c:v>775.91742759543035</c:v>
                </c:pt>
                <c:pt idx="386">
                  <c:v>779.66816710818853</c:v>
                </c:pt>
                <c:pt idx="387">
                  <c:v>783.42143760124657</c:v>
                </c:pt>
                <c:pt idx="388">
                  <c:v>787.17717651558758</c:v>
                </c:pt>
                <c:pt idx="389">
                  <c:v>790.93532139955676</c:v>
                </c:pt>
                <c:pt idx="390">
                  <c:v>794.69580991167948</c:v>
                </c:pt>
                <c:pt idx="391">
                  <c:v>798.4585798234483</c:v>
                </c:pt>
                <c:pt idx="392">
                  <c:v>802.22356902210674</c:v>
                </c:pt>
                <c:pt idx="393">
                  <c:v>805.99071551340319</c:v>
                </c:pt>
                <c:pt idx="394">
                  <c:v>809.75995742433315</c:v>
                </c:pt>
                <c:pt idx="395">
                  <c:v>813.53123300586356</c:v>
                </c:pt>
                <c:pt idx="396">
                  <c:v>817.30448063563676</c:v>
                </c:pt>
                <c:pt idx="397">
                  <c:v>821.07963882065496</c:v>
                </c:pt>
                <c:pt idx="398">
                  <c:v>824.85664619995168</c:v>
                </c:pt>
                <c:pt idx="399">
                  <c:v>828.63544154723559</c:v>
                </c:pt>
                <c:pt idx="400">
                  <c:v>832.41596377352607</c:v>
                </c:pt>
                <c:pt idx="401">
                  <c:v>836.19815192976057</c:v>
                </c:pt>
                <c:pt idx="402">
                  <c:v>839.98194520938534</c:v>
                </c:pt>
                <c:pt idx="403">
                  <c:v>843.76728295093153</c:v>
                </c:pt>
                <c:pt idx="404">
                  <c:v>847.55410464056422</c:v>
                </c:pt>
                <c:pt idx="405">
                  <c:v>851.34234991461756</c:v>
                </c:pt>
                <c:pt idx="406">
                  <c:v>855.13195856210689</c:v>
                </c:pt>
                <c:pt idx="407">
                  <c:v>858.9228705272219</c:v>
                </c:pt>
                <c:pt idx="408">
                  <c:v>862.7150259118016</c:v>
                </c:pt>
                <c:pt idx="409">
                  <c:v>866.50450097115174</c:v>
                </c:pt>
                <c:pt idx="410">
                  <c:v>870.29024751169607</c:v>
                </c:pt>
                <c:pt idx="411">
                  <c:v>874.07218169043699</c:v>
                </c:pt>
                <c:pt idx="412">
                  <c:v>877.85022016979156</c:v>
                </c:pt>
                <c:pt idx="413">
                  <c:v>881.62428012016676</c:v>
                </c:pt>
                <c:pt idx="414">
                  <c:v>885.39427922247546</c:v>
                </c:pt>
                <c:pt idx="415">
                  <c:v>889.16013567059622</c:v>
                </c:pt>
                <c:pt idx="416">
                  <c:v>892.92176817377867</c:v>
                </c:pt>
                <c:pt idx="417">
                  <c:v>896.67909595898425</c:v>
                </c:pt>
                <c:pt idx="418">
                  <c:v>900.43203877317808</c:v>
                </c:pt>
                <c:pt idx="419">
                  <c:v>904.18051688555795</c:v>
                </c:pt>
                <c:pt idx="420">
                  <c:v>907.92445108973072</c:v>
                </c:pt>
                <c:pt idx="421">
                  <c:v>911.663762705826</c:v>
                </c:pt>
                <c:pt idx="422">
                  <c:v>915.39837358256148</c:v>
                </c:pt>
                <c:pt idx="423">
                  <c:v>919.12820609924336</c:v>
                </c:pt>
                <c:pt idx="424">
                  <c:v>922.85318316771702</c:v>
                </c:pt>
                <c:pt idx="425">
                  <c:v>926.57322823425591</c:v>
                </c:pt>
                <c:pt idx="426">
                  <c:v>930.28826528140053</c:v>
                </c:pt>
                <c:pt idx="427">
                  <c:v>933.99821882973481</c:v>
                </c:pt>
                <c:pt idx="428">
                  <c:v>937.70301393961336</c:v>
                </c:pt>
                <c:pt idx="429">
                  <c:v>941.40257621282706</c:v>
                </c:pt>
                <c:pt idx="430">
                  <c:v>945.09683179421825</c:v>
                </c:pt>
                <c:pt idx="431">
                  <c:v>948.78570737323912</c:v>
                </c:pt>
                <c:pt idx="432">
                  <c:v>952.4691301854524</c:v>
                </c:pt>
                <c:pt idx="433">
                  <c:v>956.14702801398278</c:v>
                </c:pt>
                <c:pt idx="434">
                  <c:v>959.81932919090821</c:v>
                </c:pt>
                <c:pt idx="435">
                  <c:v>963.48596259860312</c:v>
                </c:pt>
                <c:pt idx="436">
                  <c:v>967.14685767101923</c:v>
                </c:pt>
                <c:pt idx="437">
                  <c:v>970.80194439492186</c:v>
                </c:pt>
                <c:pt idx="438">
                  <c:v>974.45115331106581</c:v>
                </c:pt>
                <c:pt idx="439">
                  <c:v>978.09441551531938</c:v>
                </c:pt>
                <c:pt idx="440">
                  <c:v>981.73166265973964</c:v>
                </c:pt>
                <c:pt idx="441">
                  <c:v>985.36282695358705</c:v>
                </c:pt>
                <c:pt idx="442">
                  <c:v>988.98784116429579</c:v>
                </c:pt>
                <c:pt idx="443">
                  <c:v>992.60663861838418</c:v>
                </c:pt>
                <c:pt idx="444">
                  <c:v>996.21915320232051</c:v>
                </c:pt>
                <c:pt idx="445">
                  <c:v>999.82531936332884</c:v>
                </c:pt>
                <c:pt idx="446">
                  <c:v>1003.4250721101532</c:v>
                </c:pt>
                <c:pt idx="447">
                  <c:v>1007.0183470137615</c:v>
                </c:pt>
                <c:pt idx="448">
                  <c:v>1010.6050802080016</c:v>
                </c:pt>
                <c:pt idx="449">
                  <c:v>1014.1852083902108</c:v>
                </c:pt>
                <c:pt idx="450">
                  <c:v>1017.7586688217708</c:v>
                </c:pt>
                <c:pt idx="451">
                  <c:v>1021.3253993286089</c:v>
                </c:pt>
                <c:pt idx="452">
                  <c:v>1024.8853383016624</c:v>
                </c:pt>
                <c:pt idx="453">
                  <c:v>1028.4384246972779</c:v>
                </c:pt>
                <c:pt idx="454">
                  <c:v>1031.9845980375744</c:v>
                </c:pt>
                <c:pt idx="455">
                  <c:v>1035.5237984107484</c:v>
                </c:pt>
                <c:pt idx="456">
                  <c:v>1039.0559664713383</c:v>
                </c:pt>
                <c:pt idx="457">
                  <c:v>1042.5810434404332</c:v>
                </c:pt>
                <c:pt idx="458">
                  <c:v>1046.098971105841</c:v>
                </c:pt>
                <c:pt idx="459">
                  <c:v>1049.6096918222058</c:v>
                </c:pt>
                <c:pt idx="460">
                  <c:v>1053.1131485110736</c:v>
                </c:pt>
                <c:pt idx="461">
                  <c:v>1056.609284660924</c:v>
                </c:pt>
                <c:pt idx="462">
                  <c:v>1060.0980443271408</c:v>
                </c:pt>
                <c:pt idx="463">
                  <c:v>1063.5793721319478</c:v>
                </c:pt>
                <c:pt idx="464">
                  <c:v>1067.0532132642911</c:v>
                </c:pt>
                <c:pt idx="465">
                  <c:v>1070.519513479685</c:v>
                </c:pt>
                <c:pt idx="466">
                  <c:v>1073.9782190999995</c:v>
                </c:pt>
                <c:pt idx="467">
                  <c:v>1077.4292770132215</c:v>
                </c:pt>
                <c:pt idx="468">
                  <c:v>1080.8726346731532</c:v>
                </c:pt>
                <c:pt idx="469">
                  <c:v>1084.3082400990795</c:v>
                </c:pt>
                <c:pt idx="470">
                  <c:v>1087.7360418753883</c:v>
                </c:pt>
                <c:pt idx="471">
                  <c:v>1091.155989151144</c:v>
                </c:pt>
                <c:pt idx="472">
                  <c:v>1094.5680316396265</c:v>
                </c:pt>
                <c:pt idx="473">
                  <c:v>1097.9721196178177</c:v>
                </c:pt>
                <c:pt idx="474">
                  <c:v>1101.3682039258549</c:v>
                </c:pt>
                <c:pt idx="475">
                  <c:v>1104.7562359664391</c:v>
                </c:pt>
                <c:pt idx="476">
                  <c:v>1108.1361677042012</c:v>
                </c:pt>
                <c:pt idx="477">
                  <c:v>1111.5079516650296</c:v>
                </c:pt>
                <c:pt idx="478">
                  <c:v>1114.8715409353549</c:v>
                </c:pt>
                <c:pt idx="479">
                  <c:v>1118.226889161399</c:v>
                </c:pt>
                <c:pt idx="480">
                  <c:v>1121.5739505483805</c:v>
                </c:pt>
                <c:pt idx="481">
                  <c:v>1124.9126798596833</c:v>
                </c:pt>
                <c:pt idx="482">
                  <c:v>1128.2430324159836</c:v>
                </c:pt>
                <c:pt idx="483">
                  <c:v>1131.5649640943436</c:v>
                </c:pt>
                <c:pt idx="484">
                  <c:v>1134.8784313272627</c:v>
                </c:pt>
                <c:pt idx="485">
                  <c:v>1138.1833911016934</c:v>
                </c:pt>
                <c:pt idx="486">
                  <c:v>1141.4798009580193</c:v>
                </c:pt>
                <c:pt idx="487">
                  <c:v>1144.7676189889985</c:v>
                </c:pt>
                <c:pt idx="488">
                  <c:v>1148.0468038386659</c:v>
                </c:pt>
                <c:pt idx="489">
                  <c:v>1151.3173147012046</c:v>
                </c:pt>
                <c:pt idx="490">
                  <c:v>1154.5791113197811</c:v>
                </c:pt>
                <c:pt idx="491">
                  <c:v>1157.8321539853432</c:v>
                </c:pt>
                <c:pt idx="492">
                  <c:v>1161.0764035353834</c:v>
                </c:pt>
                <c:pt idx="493">
                  <c:v>1164.3118213526709</c:v>
                </c:pt>
                <c:pt idx="494">
                  <c:v>1167.5383693639492</c:v>
                </c:pt>
                <c:pt idx="495">
                  <c:v>1170.7560100385949</c:v>
                </c:pt>
                <c:pt idx="496">
                  <c:v>1173.9647063872542</c:v>
                </c:pt>
                <c:pt idx="497">
                  <c:v>1177.1629653247335</c:v>
                </c:pt>
                <c:pt idx="498">
                  <c:v>1180.3492887125642</c:v>
                </c:pt>
                <c:pt idx="499">
                  <c:v>1183.5236363221434</c:v>
                </c:pt>
                <c:pt idx="500">
                  <c:v>1186.685968658694</c:v>
                </c:pt>
                <c:pt idx="501">
                  <c:v>1189.836246958582</c:v>
                </c:pt>
                <c:pt idx="502">
                  <c:v>1192.9744331865863</c:v>
                </c:pt>
                <c:pt idx="503">
                  <c:v>1196.1004900331391</c:v>
                </c:pt>
                <c:pt idx="504">
                  <c:v>1199.2143809115089</c:v>
                </c:pt>
                <c:pt idx="505">
                  <c:v>1202.3160699549571</c:v>
                </c:pt>
                <c:pt idx="506">
                  <c:v>1205.405522013845</c:v>
                </c:pt>
                <c:pt idx="507">
                  <c:v>1208.4827026527053</c:v>
                </c:pt>
                <c:pt idx="508">
                  <c:v>1211.5475781472796</c:v>
                </c:pt>
                <c:pt idx="509">
                  <c:v>1214.6001154815028</c:v>
                </c:pt>
                <c:pt idx="510">
                  <c:v>1217.6402823444735</c:v>
                </c:pt>
                <c:pt idx="511">
                  <c:v>1220.6680471273667</c:v>
                </c:pt>
                <c:pt idx="512">
                  <c:v>1223.6833789203213</c:v>
                </c:pt>
                <c:pt idx="513">
                  <c:v>1226.6862475092946</c:v>
                </c:pt>
                <c:pt idx="514">
                  <c:v>1229.6766233728733</c:v>
                </c:pt>
                <c:pt idx="515">
                  <c:v>1232.6544776790606</c:v>
                </c:pt>
                <c:pt idx="516">
                  <c:v>1235.6197822820222</c:v>
                </c:pt>
                <c:pt idx="517">
                  <c:v>1238.5725097188076</c:v>
                </c:pt>
                <c:pt idx="518">
                  <c:v>1241.5126332060318</c:v>
                </c:pt>
                <c:pt idx="519">
                  <c:v>1244.4401266365355</c:v>
                </c:pt>
                <c:pt idx="520">
                  <c:v>1247.3549645760068</c:v>
                </c:pt>
                <c:pt idx="521">
                  <c:v>1250.2571222595736</c:v>
                </c:pt>
                <c:pt idx="522">
                  <c:v>1253.1465755883805</c:v>
                </c:pt>
                <c:pt idx="523">
                  <c:v>1256.0233011261128</c:v>
                </c:pt>
                <c:pt idx="524">
                  <c:v>1258.8872760955207</c:v>
                </c:pt>
                <c:pt idx="525">
                  <c:v>1261.7384783748948</c:v>
                </c:pt>
                <c:pt idx="526">
                  <c:v>1264.5768864945255</c:v>
                </c:pt>
                <c:pt idx="527">
                  <c:v>1267.4024796331396</c:v>
                </c:pt>
                <c:pt idx="528">
                  <c:v>1270.2152376143026</c:v>
                </c:pt>
                <c:pt idx="529">
                  <c:v>1273.0151409028033</c:v>
                </c:pt>
                <c:pt idx="530">
                  <c:v>1275.8021706010147</c:v>
                </c:pt>
                <c:pt idx="531">
                  <c:v>1278.5763084452296</c:v>
                </c:pt>
                <c:pt idx="532">
                  <c:v>1281.3375368019765</c:v>
                </c:pt>
                <c:pt idx="533">
                  <c:v>1284.085838664311</c:v>
                </c:pt>
                <c:pt idx="534">
                  <c:v>1286.8211976480859</c:v>
                </c:pt>
                <c:pt idx="535">
                  <c:v>1289.5435979882079</c:v>
                </c:pt>
                <c:pt idx="536">
                  <c:v>1292.253024534863</c:v>
                </c:pt>
                <c:pt idx="537">
                  <c:v>1294.949462749734</c:v>
                </c:pt>
                <c:pt idx="538">
                  <c:v>1297.6328987021911</c:v>
                </c:pt>
                <c:pt idx="539">
                  <c:v>1300.3033190654705</c:v>
                </c:pt>
                <c:pt idx="540">
                  <c:v>1302.9607111128321</c:v>
                </c:pt>
                <c:pt idx="541">
                  <c:v>1305.605062713699</c:v>
                </c:pt>
                <c:pt idx="542">
                  <c:v>1308.2363623297881</c:v>
                </c:pt>
                <c:pt idx="543">
                  <c:v>1310.8545990112191</c:v>
                </c:pt>
                <c:pt idx="544">
                  <c:v>1313.4597623926065</c:v>
                </c:pt>
                <c:pt idx="545">
                  <c:v>1316.0518426891472</c:v>
                </c:pt>
                <c:pt idx="546">
                  <c:v>1318.6308306926817</c:v>
                </c:pt>
                <c:pt idx="547">
                  <c:v>1321.1967177677534</c:v>
                </c:pt>
                <c:pt idx="548">
                  <c:v>1323.7494958476475</c:v>
                </c:pt>
                <c:pt idx="549">
                  <c:v>1326.2891574304213</c:v>
                </c:pt>
                <c:pt idx="550">
                  <c:v>1328.8146459233278</c:v>
                </c:pt>
                <c:pt idx="551">
                  <c:v>1331.3235015937958</c:v>
                </c:pt>
                <c:pt idx="552">
                  <c:v>1333.8157188857588</c:v>
                </c:pt>
                <c:pt idx="553">
                  <c:v>1336.2912930101018</c:v>
                </c:pt>
                <c:pt idx="554">
                  <c:v>1338.7502199385681</c:v>
                </c:pt>
                <c:pt idx="555">
                  <c:v>1341.1924963976485</c:v>
                </c:pt>
                <c:pt idx="556">
                  <c:v>1343.6181198624629</c:v>
                </c:pt>
                <c:pt idx="557">
                  <c:v>1346.0270885506279</c:v>
                </c:pt>
                <c:pt idx="558">
                  <c:v>1348.4194014161151</c:v>
                </c:pt>
                <c:pt idx="559">
                  <c:v>1350.7950581431012</c:v>
                </c:pt>
                <c:pt idx="560">
                  <c:v>1353.1540591398082</c:v>
                </c:pt>
                <c:pt idx="561">
                  <c:v>1355.4964055323378</c:v>
                </c:pt>
                <c:pt idx="562">
                  <c:v>1357.8220991584976</c:v>
                </c:pt>
                <c:pt idx="563">
                  <c:v>1360.1311425616227</c:v>
                </c:pt>
                <c:pt idx="564">
                  <c:v>1362.4235389843893</c:v>
                </c:pt>
                <c:pt idx="565">
                  <c:v>1364.6992923626303</c:v>
                </c:pt>
                <c:pt idx="566">
                  <c:v>1366.9584073191427</c:v>
                </c:pt>
                <c:pt idx="567">
                  <c:v>1369.2008891574903</c:v>
                </c:pt>
                <c:pt idx="568">
                  <c:v>1371.426743855812</c:v>
                </c:pt>
                <c:pt idx="569">
                  <c:v>1373.6359780606251</c:v>
                </c:pt>
                <c:pt idx="570">
                  <c:v>1375.8285990806248</c:v>
                </c:pt>
                <c:pt idx="571">
                  <c:v>1378.0046148804918</c:v>
                </c:pt>
                <c:pt idx="572">
                  <c:v>1380.1640340746933</c:v>
                </c:pt>
                <c:pt idx="573">
                  <c:v>1382.3068659212956</c:v>
                </c:pt>
                <c:pt idx="574">
                  <c:v>1384.4331203157665</c:v>
                </c:pt>
                <c:pt idx="575">
                  <c:v>1386.542807784796</c:v>
                </c:pt>
                <c:pt idx="576">
                  <c:v>1388.6359394801095</c:v>
                </c:pt>
                <c:pt idx="577">
                  <c:v>1390.7125271722937</c:v>
                </c:pt>
                <c:pt idx="578">
                  <c:v>1392.7725832446201</c:v>
                </c:pt>
                <c:pt idx="579">
                  <c:v>1394.8161206868824</c:v>
                </c:pt>
                <c:pt idx="580">
                  <c:v>1396.8431530892419</c:v>
                </c:pt>
                <c:pt idx="581">
                  <c:v>1398.8536946360684</c:v>
                </c:pt>
                <c:pt idx="582">
                  <c:v>1400.8477600998044</c:v>
                </c:pt>
                <c:pt idx="583">
                  <c:v>1402.8253648348305</c:v>
                </c:pt>
                <c:pt idx="584">
                  <c:v>1404.7865247713385</c:v>
                </c:pt>
                <c:pt idx="585">
                  <c:v>1406.7312564092224</c:v>
                </c:pt>
                <c:pt idx="586">
                  <c:v>1408.6595768119716</c:v>
                </c:pt>
                <c:pt idx="587">
                  <c:v>1410.5715036005829</c:v>
                </c:pt>
                <c:pt idx="588">
                  <c:v>1412.4670549474797</c:v>
                </c:pt>
                <c:pt idx="589">
                  <c:v>1414.3462495704437</c:v>
                </c:pt>
                <c:pt idx="590">
                  <c:v>1416.2091067265683</c:v>
                </c:pt>
                <c:pt idx="591">
                  <c:v>1418.0556462062111</c:v>
                </c:pt>
                <c:pt idx="592">
                  <c:v>1419.8858883269736</c:v>
                </c:pt>
                <c:pt idx="593">
                  <c:v>1421.6998539276904</c:v>
                </c:pt>
                <c:pt idx="594">
                  <c:v>1423.4975643624332</c:v>
                </c:pt>
                <c:pt idx="595">
                  <c:v>1425.2790414945339</c:v>
                </c:pt>
                <c:pt idx="596">
                  <c:v>1427.044307690622</c:v>
                </c:pt>
                <c:pt idx="597">
                  <c:v>1428.7933858146789</c:v>
                </c:pt>
                <c:pt idx="598">
                  <c:v>1430.5262992221108</c:v>
                </c:pt>
                <c:pt idx="599">
                  <c:v>1432.2430717538382</c:v>
                </c:pt>
                <c:pt idx="600">
                  <c:v>1433.943727730408</c:v>
                </c:pt>
                <c:pt idx="601">
                  <c:v>1435.6282919461166</c:v>
                </c:pt>
                <c:pt idx="602">
                  <c:v>1437.2967896631635</c:v>
                </c:pt>
                <c:pt idx="603">
                  <c:v>1438.9492466058123</c:v>
                </c:pt>
                <c:pt idx="604">
                  <c:v>1440.5856889545835</c:v>
                </c:pt>
                <c:pt idx="605">
                  <c:v>1442.2061433404606</c:v>
                </c:pt>
                <c:pt idx="606">
                  <c:v>1443.8106368391202</c:v>
                </c:pt>
                <c:pt idx="607">
                  <c:v>1445.3991969651854</c:v>
                </c:pt>
                <c:pt idx="608">
                  <c:v>1446.9718516664964</c:v>
                </c:pt>
                <c:pt idx="609">
                  <c:v>1448.5286293184083</c:v>
                </c:pt>
                <c:pt idx="610">
                  <c:v>1450.069558718111</c:v>
                </c:pt>
                <c:pt idx="611">
                  <c:v>1451.594669078969</c:v>
                </c:pt>
                <c:pt idx="612">
                  <c:v>1453.0942112708285</c:v>
                </c:pt>
                <c:pt idx="613">
                  <c:v>1454.5682341876397</c:v>
                </c:pt>
                <c:pt idx="614">
                  <c:v>1456.0167876941284</c:v>
                </c:pt>
                <c:pt idx="615">
                  <c:v>1457.4399226120474</c:v>
                </c:pt>
                <c:pt idx="616">
                  <c:v>1458.8376907064771</c:v>
                </c:pt>
                <c:pt idx="617">
                  <c:v>1460.2101446721879</c:v>
                </c:pt>
                <c:pt idx="618">
                  <c:v>1461.5573381200484</c:v>
                </c:pt>
                <c:pt idx="619">
                  <c:v>1462.8793255635012</c:v>
                </c:pt>
                <c:pt idx="620">
                  <c:v>1464.1761624050889</c:v>
                </c:pt>
                <c:pt idx="621">
                  <c:v>1465.4479049230479</c:v>
                </c:pt>
                <c:pt idx="622">
                  <c:v>1466.6946102579557</c:v>
                </c:pt>
                <c:pt idx="623">
                  <c:v>1467.9163363994451</c:v>
                </c:pt>
                <c:pt idx="624">
                  <c:v>1469.1131421729806</c:v>
                </c:pt>
                <c:pt idx="625">
                  <c:v>1470.2850872267024</c:v>
                </c:pt>
                <c:pt idx="626">
                  <c:v>1471.4322320183292</c:v>
                </c:pt>
                <c:pt idx="627">
                  <c:v>1472.5546378021356</c:v>
                </c:pt>
                <c:pt idx="628">
                  <c:v>1473.6523666159951</c:v>
                </c:pt>
                <c:pt idx="629">
                  <c:v>1474.7254812684876</c:v>
                </c:pt>
                <c:pt idx="630">
                  <c:v>1475.774045326086</c:v>
                </c:pt>
                <c:pt idx="631">
                  <c:v>1476.7981231004044</c:v>
                </c:pt>
                <c:pt idx="632">
                  <c:v>1477.7977796355249</c:v>
                </c:pt>
                <c:pt idx="633">
                  <c:v>1478.7730806953941</c:v>
                </c:pt>
                <c:pt idx="634">
                  <c:v>1479.7240927512967</c:v>
                </c:pt>
                <c:pt idx="635">
                  <c:v>1480.650882969398</c:v>
                </c:pt>
                <c:pt idx="636">
                  <c:v>1481.5535191983699</c:v>
                </c:pt>
                <c:pt idx="637">
                  <c:v>1482.432069957084</c:v>
                </c:pt>
                <c:pt idx="638">
                  <c:v>1483.2866044223929</c:v>
                </c:pt>
                <c:pt idx="639">
                  <c:v>1484.1171924169778</c:v>
                </c:pt>
                <c:pt idx="640">
                  <c:v>1484.9239043972841</c:v>
                </c:pt>
                <c:pt idx="641">
                  <c:v>1485.7068114415317</c:v>
                </c:pt>
                <c:pt idx="642">
                  <c:v>1486.4659852378059</c:v>
                </c:pt>
                <c:pt idx="643">
                  <c:v>1487.2014980722306</c:v>
                </c:pt>
                <c:pt idx="644">
                  <c:v>1487.9134228172195</c:v>
                </c:pt>
                <c:pt idx="645">
                  <c:v>1488.6018329198155</c:v>
                </c:pt>
                <c:pt idx="646">
                  <c:v>1489.2393428439345</c:v>
                </c:pt>
                <c:pt idx="647">
                  <c:v>1489.8230617772952</c:v>
                </c:pt>
                <c:pt idx="648">
                  <c:v>1490.35316580925</c:v>
                </c:pt>
                <c:pt idx="649">
                  <c:v>1490.8298343358147</c:v>
                </c:pt>
                <c:pt idx="650">
                  <c:v>1491.2532499996173</c:v>
                </c:pt>
                <c:pt idx="651">
                  <c:v>1491.6235986301513</c:v>
                </c:pt>
                <c:pt idx="652">
                  <c:v>1491.941069184342</c:v>
                </c:pt>
                <c:pt idx="653">
                  <c:v>1492.2058536874545</c:v>
                </c:pt>
                <c:pt idx="654">
                  <c:v>1492.4181471743154</c:v>
                </c:pt>
                <c:pt idx="655">
                  <c:v>1492.5781476308989</c:v>
                </c:pt>
                <c:pt idx="656">
                  <c:v>1492.6860559362565</c:v>
                </c:pt>
                <c:pt idx="657">
                  <c:v>1492.7420758048133</c:v>
                </c:pt>
                <c:pt idx="658">
                  <c:v>1492.7464137290362</c:v>
                </c:pt>
                <c:pt idx="659">
                  <c:v>1492.6992789224796</c:v>
                </c:pt>
                <c:pt idx="660">
                  <c:v>1492.6008832632144</c:v>
                </c:pt>
                <c:pt idx="661">
                  <c:v>1492.4514412376627</c:v>
                </c:pt>
                <c:pt idx="662">
                  <c:v>1492.2511698848202</c:v>
                </c:pt>
                <c:pt idx="663">
                  <c:v>1492.0002887408982</c:v>
                </c:pt>
                <c:pt idx="664">
                  <c:v>1491.6990197843763</c:v>
                </c:pt>
                <c:pt idx="665">
                  <c:v>1491.3475873814787</c:v>
                </c:pt>
                <c:pt idx="666">
                  <c:v>1490.8880173581849</c:v>
                </c:pt>
                <c:pt idx="667">
                  <c:v>1490.3062590176628</c:v>
                </c:pt>
                <c:pt idx="668">
                  <c:v>1489.6029028336934</c:v>
                </c:pt>
                <c:pt idx="669">
                  <c:v>1488.7785559246138</c:v>
                </c:pt>
                <c:pt idx="670">
                  <c:v>1487.833841717136</c:v>
                </c:pt>
                <c:pt idx="671">
                  <c:v>1486.7693996112721</c:v>
                </c:pt>
                <c:pt idx="672">
                  <c:v>1485.5858846464953</c:v>
                </c:pt>
                <c:pt idx="673">
                  <c:v>1484.2839671692732</c:v>
                </c:pt>
                <c:pt idx="674">
                  <c:v>1482.8643325020714</c:v>
                </c:pt>
                <c:pt idx="675">
                  <c:v>1481.3276806139791</c:v>
                </c:pt>
                <c:pt idx="676">
                  <c:v>1479.6747257930438</c:v>
                </c:pt>
                <c:pt idx="677">
                  <c:v>1477.9061963204463</c:v>
                </c:pt>
                <c:pt idx="678">
                  <c:v>1476.0228341466118</c:v>
                </c:pt>
                <c:pt idx="679">
                  <c:v>1474.025394569376</c:v>
                </c:pt>
                <c:pt idx="680">
                  <c:v>1471.9146459142898</c:v>
                </c:pt>
                <c:pt idx="681">
                  <c:v>1469.6913692171761</c:v>
                </c:pt>
                <c:pt idx="682">
                  <c:v>1467.3563579090294</c:v>
                </c:pt>
                <c:pt idx="683">
                  <c:v>1464.9104175033422</c:v>
                </c:pt>
                <c:pt idx="684">
                  <c:v>1462.3543652859553</c:v>
                </c:pt>
                <c:pt idx="685">
                  <c:v>1459.6890300075108</c:v>
                </c:pt>
                <c:pt idx="686">
                  <c:v>1456.9152515785895</c:v>
                </c:pt>
                <c:pt idx="687">
                  <c:v>1454.0338807676133</c:v>
                </c:pt>
                <c:pt idx="688">
                  <c:v>1451.0457789015823</c:v>
                </c:pt>
                <c:pt idx="689">
                  <c:v>1447.9518175697197</c:v>
                </c:pt>
                <c:pt idx="690">
                  <c:v>1444.7528783300963</c:v>
                </c:pt>
                <c:pt idx="691">
                  <c:v>1441.4498524192898</c:v>
                </c:pt>
                <c:pt idx="692">
                  <c:v>1438.0436404651527</c:v>
                </c:pt>
                <c:pt idx="693">
                  <c:v>1434.5351522027329</c:v>
                </c:pt>
                <c:pt idx="694">
                  <c:v>1430.9253061934166</c:v>
                </c:pt>
                <c:pt idx="695">
                  <c:v>1427.2150295473346</c:v>
                </c:pt>
                <c:pt idx="696">
                  <c:v>1423.4052576490878</c:v>
                </c:pt>
                <c:pt idx="697">
                  <c:v>1419.4969338868375</c:v>
                </c:pt>
                <c:pt idx="698">
                  <c:v>1415.4910093847996</c:v>
                </c:pt>
                <c:pt idx="699">
                  <c:v>1411.3884427391881</c:v>
                </c:pt>
                <c:pt idx="700">
                  <c:v>1407.1901997576449</c:v>
                </c:pt>
                <c:pt idx="701">
                  <c:v>1402.8972532021896</c:v>
                </c:pt>
                <c:pt idx="702">
                  <c:v>1398.5105825357246</c:v>
                </c:pt>
                <c:pt idx="703">
                  <c:v>1394.0311736721171</c:v>
                </c:pt>
                <c:pt idx="704">
                  <c:v>1389.4600187299009</c:v>
                </c:pt>
                <c:pt idx="705">
                  <c:v>1384.7981157896063</c:v>
                </c:pt>
                <c:pt idx="706">
                  <c:v>1380.0464686547525</c:v>
                </c:pt>
                <c:pt idx="707">
                  <c:v>1375.2060866165134</c:v>
                </c:pt>
                <c:pt idx="708">
                  <c:v>1370.2764769307182</c:v>
                </c:pt>
                <c:pt idx="709">
                  <c:v>1365.2451344104611</c:v>
                </c:pt>
                <c:pt idx="710">
                  <c:v>1360.1132532946915</c:v>
                </c:pt>
                <c:pt idx="711">
                  <c:v>1354.8820353442502</c:v>
                </c:pt>
                <c:pt idx="712">
                  <c:v>1349.5526895349055</c:v>
                </c:pt>
                <c:pt idx="713">
                  <c:v>1344.1264317552648</c:v>
                </c:pt>
                <c:pt idx="714">
                  <c:v>1338.6044845095905</c:v>
                </c:pt>
                <c:pt idx="715">
                  <c:v>1332.9880766255396</c:v>
                </c:pt>
                <c:pt idx="716">
                  <c:v>1327.278442966847</c:v>
                </c:pt>
                <c:pt idx="717">
                  <c:v>1321.4768241509785</c:v>
                </c:pt>
                <c:pt idx="718">
                  <c:v>1315.584466271752</c:v>
                </c:pt>
                <c:pt idx="719">
                  <c:v>1309.6026206269553</c:v>
                </c:pt>
                <c:pt idx="720">
                  <c:v>1303.5325434509562</c:v>
                </c:pt>
                <c:pt idx="721">
                  <c:v>1297.3754956523167</c:v>
                </c:pt>
                <c:pt idx="722">
                  <c:v>1291.1327425564066</c:v>
                </c:pt>
                <c:pt idx="723">
                  <c:v>1284.8055536530312</c:v>
                </c:pt>
                <c:pt idx="724">
                  <c:v>1278.3952023490458</c:v>
                </c:pt>
                <c:pt idx="725">
                  <c:v>1271.7190504823866</c:v>
                </c:pt>
                <c:pt idx="726">
                  <c:v>1264.7024298111073</c:v>
                </c:pt>
                <c:pt idx="727">
                  <c:v>1257.7423863598799</c:v>
                </c:pt>
                <c:pt idx="728">
                  <c:v>1250.8383072362469</c:v>
                </c:pt>
                <c:pt idx="729">
                  <c:v>1243.989587880279</c:v>
                </c:pt>
                <c:pt idx="730">
                  <c:v>1237.1956319284157</c:v>
                </c:pt>
                <c:pt idx="731">
                  <c:v>1230.4558510799022</c:v>
                </c:pt>
                <c:pt idx="732">
                  <c:v>1223.7696649657657</c:v>
                </c:pt>
                <c:pt idx="733">
                  <c:v>1217.1365010202771</c:v>
                </c:pt>
                <c:pt idx="734">
                  <c:v>1210.5557943548413</c:v>
                </c:pt>
                <c:pt idx="735">
                  <c:v>1204.0269876342722</c:v>
                </c:pt>
                <c:pt idx="736">
                  <c:v>1197.5495309553894</c:v>
                </c:pt>
                <c:pt idx="737">
                  <c:v>1191.1228817278948</c:v>
                </c:pt>
                <c:pt idx="738">
                  <c:v>1184.7465045574754</c:v>
                </c:pt>
                <c:pt idx="739">
                  <c:v>1178.4198711310914</c:v>
                </c:pt>
                <c:pt idx="740">
                  <c:v>1172.1424601043936</c:v>
                </c:pt>
                <c:pt idx="741">
                  <c:v>1165.9137569912343</c:v>
                </c:pt>
                <c:pt idx="742">
                  <c:v>1159.7332540552193</c:v>
                </c:pt>
                <c:pt idx="743">
                  <c:v>1153.600450203264</c:v>
                </c:pt>
                <c:pt idx="744">
                  <c:v>1147.5148508811073</c:v>
                </c:pt>
                <c:pt idx="745">
                  <c:v>1141.4759679707447</c:v>
                </c:pt>
                <c:pt idx="746">
                  <c:v>1135.4833196897382</c:v>
                </c:pt>
                <c:pt idx="747">
                  <c:v>1129.5364304923676</c:v>
                </c:pt>
                <c:pt idx="748">
                  <c:v>1123.6348309725756</c:v>
                </c:pt>
                <c:pt idx="749">
                  <c:v>1117.7780577686842</c:v>
                </c:pt>
                <c:pt idx="750">
                  <c:v>1111.9656534698306</c:v>
                </c:pt>
                <c:pt idx="751">
                  <c:v>1106.1971665240962</c:v>
                </c:pt>
                <c:pt idx="752">
                  <c:v>1100.4721511482931</c:v>
                </c:pt>
                <c:pt idx="753">
                  <c:v>1094.7901672393664</c:v>
                </c:pt>
                <c:pt idx="754">
                  <c:v>1089.1507802873923</c:v>
                </c:pt>
                <c:pt idx="755">
                  <c:v>1083.5535612901242</c:v>
                </c:pt>
                <c:pt idx="756">
                  <c:v>1077.9980866690687</c:v>
                </c:pt>
                <c:pt idx="757">
                  <c:v>1072.4839381870524</c:v>
                </c:pt>
                <c:pt idx="758">
                  <c:v>1067.010702867248</c:v>
                </c:pt>
                <c:pt idx="759">
                  <c:v>1061.5779729136395</c:v>
                </c:pt>
                <c:pt idx="760">
                  <c:v>1056.1853456328861</c:v>
                </c:pt>
                <c:pt idx="761">
                  <c:v>1050.8324233575634</c:v>
                </c:pt>
                <c:pt idx="762">
                  <c:v>1045.5188133707532</c:v>
                </c:pt>
                <c:pt idx="763">
                  <c:v>1040.2441278319541</c:v>
                </c:pt>
                <c:pt idx="764">
                  <c:v>1035.0079837042831</c:v>
                </c:pt>
                <c:pt idx="765">
                  <c:v>1029.810002682952</c:v>
                </c:pt>
                <c:pt idx="766">
                  <c:v>1024.6498111249823</c:v>
                </c:pt>
                <c:pt idx="767">
                  <c:v>1019.5270399801395</c:v>
                </c:pt>
                <c:pt idx="768">
                  <c:v>1014.441324723063</c:v>
                </c:pt>
                <c:pt idx="769">
                  <c:v>1009.3923052865662</c:v>
                </c:pt>
                <c:pt idx="770">
                  <c:v>1004.3796259960853</c:v>
                </c:pt>
                <c:pt idx="771">
                  <c:v>999.40293550525189</c:v>
                </c:pt>
                <c:pt idx="772">
                  <c:v>994.46188673256893</c:v>
                </c:pt>
                <c:pt idx="773">
                  <c:v>989.55613679916962</c:v>
                </c:pt>
                <c:pt idx="774">
                  <c:v>984.68534696763538</c:v>
                </c:pt>
                <c:pt idx="775">
                  <c:v>979.84918258185405</c:v>
                </c:pt>
                <c:pt idx="776">
                  <c:v>975.04731300789626</c:v>
                </c:pt>
                <c:pt idx="777">
                  <c:v>970.2794115758976</c:v>
                </c:pt>
                <c:pt idx="778">
                  <c:v>965.54515552291127</c:v>
                </c:pt>
                <c:pt idx="779">
                  <c:v>960.84422593673185</c:v>
                </c:pt>
                <c:pt idx="780">
                  <c:v>956.17630770065728</c:v>
                </c:pt>
                <c:pt idx="781">
                  <c:v>951.5410894391747</c:v>
                </c:pt>
                <c:pt idx="782">
                  <c:v>946.93826346455955</c:v>
                </c:pt>
                <c:pt idx="783">
                  <c:v>942.36752572435898</c:v>
                </c:pt>
                <c:pt idx="784">
                  <c:v>937.8285757497498</c:v>
                </c:pt>
                <c:pt idx="785">
                  <c:v>933.32111660475437</c:v>
                </c:pt>
                <c:pt idx="786">
                  <c:v>928.8448548362968</c:v>
                </c:pt>
                <c:pt idx="787">
                  <c:v>924.39950042507951</c:v>
                </c:pt>
                <c:pt idx="788">
                  <c:v>919.98476673727453</c:v>
                </c:pt>
                <c:pt idx="789">
                  <c:v>915.60037047700519</c:v>
                </c:pt>
                <c:pt idx="790">
                  <c:v>911.24603163960455</c:v>
                </c:pt>
                <c:pt idx="791">
                  <c:v>906.92147346564218</c:v>
                </c:pt>
                <c:pt idx="792">
                  <c:v>902.62642239569857</c:v>
                </c:pt>
                <c:pt idx="793">
                  <c:v>898.3606080258761</c:v>
                </c:pt>
                <c:pt idx="794">
                  <c:v>894.12376306402973</c:v>
                </c:pt>
                <c:pt idx="795">
                  <c:v>889.91562328670989</c:v>
                </c:pt>
                <c:pt idx="796">
                  <c:v>885.73592749680074</c:v>
                </c:pt>
                <c:pt idx="797">
                  <c:v>881.58441748183679</c:v>
                </c:pt>
                <c:pt idx="798">
                  <c:v>877.46083797299661</c:v>
                </c:pt>
                <c:pt idx="799">
                  <c:v>873.36493660474866</c:v>
                </c:pt>
                <c:pt idx="800">
                  <c:v>869.29646387514651</c:v>
                </c:pt>
                <c:pt idx="801">
                  <c:v>829.40172209102161</c:v>
                </c:pt>
                <c:pt idx="802">
                  <c:v>792.09435637182139</c:v>
                </c:pt>
                <c:pt idx="803">
                  <c:v>757.1525805056059</c:v>
                </c:pt>
                <c:pt idx="804">
                  <c:v>724.37809520075132</c:v>
                </c:pt>
                <c:pt idx="805">
                  <c:v>693.59314657745597</c:v>
                </c:pt>
                <c:pt idx="806">
                  <c:v>664.63800769176203</c:v>
                </c:pt>
                <c:pt idx="807">
                  <c:v>637.36881470580067</c:v>
                </c:pt>
                <c:pt idx="808">
                  <c:v>611.6557015458161</c:v>
                </c:pt>
                <c:pt idx="809">
                  <c:v>587.3811867293324</c:v>
                </c:pt>
                <c:pt idx="810">
                  <c:v>564.43877399886469</c:v>
                </c:pt>
                <c:pt idx="811">
                  <c:v>542.7317348618858</c:v>
                </c:pt>
                <c:pt idx="812">
                  <c:v>522.17204640882233</c:v>
                </c:pt>
                <c:pt idx="813">
                  <c:v>502.67946209991959</c:v>
                </c:pt>
                <c:pt idx="814">
                  <c:v>484.18069676441155</c:v>
                </c:pt>
                <c:pt idx="815">
                  <c:v>466.60870998887572</c:v>
                </c:pt>
                <c:pt idx="816">
                  <c:v>449.90207450284515</c:v>
                </c:pt>
                <c:pt idx="817">
                  <c:v>434.00441819187586</c:v>
                </c:pt>
                <c:pt idx="818">
                  <c:v>418.86393005594397</c:v>
                </c:pt>
                <c:pt idx="819">
                  <c:v>404.43292184424672</c:v>
                </c:pt>
                <c:pt idx="820">
                  <c:v>390.66743828461921</c:v>
                </c:pt>
                <c:pt idx="821">
                  <c:v>377.52690982609164</c:v>
                </c:pt>
                <c:pt idx="822">
                  <c:v>364.97384265847921</c:v>
                </c:pt>
                <c:pt idx="823">
                  <c:v>352.97354148941321</c:v>
                </c:pt>
                <c:pt idx="824">
                  <c:v>341.49386116814594</c:v>
                </c:pt>
                <c:pt idx="825">
                  <c:v>330.50498376440197</c:v>
                </c:pt>
                <c:pt idx="826">
                  <c:v>319.97921815388776</c:v>
                </c:pt>
                <c:pt idx="827">
                  <c:v>309.89081954182188</c:v>
                </c:pt>
                <c:pt idx="828">
                  <c:v>300.21582668188267</c:v>
                </c:pt>
                <c:pt idx="829">
                  <c:v>290.93191482856975</c:v>
                </c:pt>
                <c:pt idx="830">
                  <c:v>282.01826270301456</c:v>
                </c:pt>
                <c:pt idx="831">
                  <c:v>273.45543196150658</c:v>
                </c:pt>
                <c:pt idx="832">
                  <c:v>265.22525783727656</c:v>
                </c:pt>
                <c:pt idx="833">
                  <c:v>257.31074978344418</c:v>
                </c:pt>
                <c:pt idx="834">
                  <c:v>249.69600108193293</c:v>
                </c:pt>
                <c:pt idx="835">
                  <c:v>242.36610650247505</c:v>
                </c:pt>
                <c:pt idx="836">
                  <c:v>235.30708720002596</c:v>
                </c:pt>
                <c:pt idx="837">
                  <c:v>228.50582213007354</c:v>
                </c:pt>
                <c:pt idx="838">
                  <c:v>221.94998534122522</c:v>
                </c:pt>
                <c:pt idx="839">
                  <c:v>215.6279885746184</c:v>
                </c:pt>
                <c:pt idx="840">
                  <c:v>209.52892866139734</c:v>
                </c:pt>
                <c:pt idx="841">
                  <c:v>203.64253926386448</c:v>
                </c:pt>
                <c:pt idx="842">
                  <c:v>197.95914655387963</c:v>
                </c:pt>
                <c:pt idx="843">
                  <c:v>192.46962846448093</c:v>
                </c:pt>
                <c:pt idx="844">
                  <c:v>187.16537718822283</c:v>
                </c:pt>
                <c:pt idx="845">
                  <c:v>182.03826462900193</c:v>
                </c:pt>
                <c:pt idx="846">
                  <c:v>177.08061054367408</c:v>
                </c:pt>
                <c:pt idx="847">
                  <c:v>172.28515313602861</c:v>
                </c:pt>
                <c:pt idx="848">
                  <c:v>167.64502188906556</c:v>
                </c:pt>
                <c:pt idx="849">
                  <c:v>163.15371244236732</c:v>
                </c:pt>
                <c:pt idx="850">
                  <c:v>158.80506333996595</c:v>
                </c:pt>
                <c:pt idx="851">
                  <c:v>154.59323449073898</c:v>
                </c:pt>
                <c:pt idx="852">
                  <c:v>150.51268719825961</c:v>
                </c:pt>
                <c:pt idx="853">
                  <c:v>146.55816563036439</c:v>
                </c:pt>
                <c:pt idx="854">
                  <c:v>142.72467961067832</c:v>
                </c:pt>
                <c:pt idx="855">
                  <c:v>139.00748862508507</c:v>
                </c:pt>
                <c:pt idx="856">
                  <c:v>135.4020869458071</c:v>
                </c:pt>
                <c:pt idx="857">
                  <c:v>131.90418978446453</c:v>
                </c:pt>
                <c:pt idx="858">
                  <c:v>128.50972039333234</c:v>
                </c:pt>
                <c:pt idx="859">
                  <c:v>125.21479804109823</c:v>
                </c:pt>
                <c:pt idx="860">
                  <c:v>122.01572679582118</c:v>
                </c:pt>
                <c:pt idx="861">
                  <c:v>118.90898505357599</c:v>
                </c:pt>
                <c:pt idx="862">
                  <c:v>115.89121575650684</c:v>
                </c:pt>
                <c:pt idx="863">
                  <c:v>112.95921724875792</c:v>
                </c:pt>
                <c:pt idx="864">
                  <c:v>110.10993472305248</c:v>
                </c:pt>
                <c:pt idx="865">
                  <c:v>107.34045221460011</c:v>
                </c:pt>
                <c:pt idx="866">
                  <c:v>104.64798510256219</c:v>
                </c:pt>
                <c:pt idx="867">
                  <c:v>102.02987308253552</c:v>
                </c:pt>
                <c:pt idx="868">
                  <c:v>99.483573576453338</c:v>
                </c:pt>
                <c:pt idx="869">
                  <c:v>97.006655548984099</c:v>
                </c:pt>
                <c:pt idx="870">
                  <c:v>94.596793701950162</c:v>
                </c:pt>
                <c:pt idx="871">
                  <c:v>92.251763020519078</c:v>
                </c:pt>
                <c:pt idx="872">
                  <c:v>89.969433646958507</c:v>
                </c:pt>
                <c:pt idx="873">
                  <c:v>87.747766059608537</c:v>
                </c:pt>
                <c:pt idx="874">
                  <c:v>85.584806536428061</c:v>
                </c:pt>
                <c:pt idx="875">
                  <c:v>83.478682884036616</c:v>
                </c:pt>
                <c:pt idx="876">
                  <c:v>81.427600414599652</c:v>
                </c:pt>
                <c:pt idx="877">
                  <c:v>79.429838154221031</c:v>
                </c:pt>
                <c:pt idx="878">
                  <c:v>77.48374526770823</c:v>
                </c:pt>
                <c:pt idx="879">
                  <c:v>75.587737685684715</c:v>
                </c:pt>
                <c:pt idx="880">
                  <c:v>73.74029492103881</c:v>
                </c:pt>
                <c:pt idx="881">
                  <c:v>71.939957062635528</c:v>
                </c:pt>
                <c:pt idx="882">
                  <c:v>70.185321935078264</c:v>
                </c:pt>
                <c:pt idx="883">
                  <c:v>68.475042414101196</c:v>
                </c:pt>
                <c:pt idx="884">
                  <c:v>66.807823887903865</c:v>
                </c:pt>
                <c:pt idx="885">
                  <c:v>65.182421855415086</c:v>
                </c:pt>
                <c:pt idx="886">
                  <c:v>63.597639653094681</c:v>
                </c:pt>
                <c:pt idx="887">
                  <c:v>62.052326302457928</c:v>
                </c:pt>
                <c:pt idx="888">
                  <c:v>60.545374471038066</c:v>
                </c:pt>
                <c:pt idx="889">
                  <c:v>59.075718539994739</c:v>
                </c:pt>
                <c:pt idx="890">
                  <c:v>57.642332772029874</c:v>
                </c:pt>
                <c:pt idx="891">
                  <c:v>56.244229573695272</c:v>
                </c:pt>
                <c:pt idx="892">
                  <c:v>54.880457846564092</c:v>
                </c:pt>
                <c:pt idx="893">
                  <c:v>53.550101422103133</c:v>
                </c:pt>
                <c:pt idx="894">
                  <c:v>52.252277575414617</c:v>
                </c:pt>
                <c:pt idx="895">
                  <c:v>50.986135613330823</c:v>
                </c:pt>
                <c:pt idx="896">
                  <c:v>49.750855532631853</c:v>
                </c:pt>
                <c:pt idx="897">
                  <c:v>48.54564674442625</c:v>
                </c:pt>
                <c:pt idx="898">
                  <c:v>47.369746860983383</c:v>
                </c:pt>
                <c:pt idx="899">
                  <c:v>46.222420541539115</c:v>
                </c:pt>
                <c:pt idx="900">
                  <c:v>45.102958393811988</c:v>
                </c:pt>
                <c:pt idx="901">
                  <c:v>44.01067592816797</c:v>
                </c:pt>
                <c:pt idx="902">
                  <c:v>42.944912561559882</c:v>
                </c:pt>
                <c:pt idx="903">
                  <c:v>41.905030668541215</c:v>
                </c:pt>
                <c:pt idx="904">
                  <c:v>40.890414676817556</c:v>
                </c:pt>
                <c:pt idx="905">
                  <c:v>39.900470204949848</c:v>
                </c:pt>
                <c:pt idx="906">
                  <c:v>38.934623239966129</c:v>
                </c:pt>
                <c:pt idx="907">
                  <c:v>37.992319352769641</c:v>
                </c:pt>
                <c:pt idx="908">
                  <c:v>37.073022949355433</c:v>
                </c:pt>
                <c:pt idx="909">
                  <c:v>36.176216555962441</c:v>
                </c:pt>
                <c:pt idx="910">
                  <c:v>35.301400136395976</c:v>
                </c:pt>
                <c:pt idx="911">
                  <c:v>34.448090439856237</c:v>
                </c:pt>
                <c:pt idx="912">
                  <c:v>33.615820377702747</c:v>
                </c:pt>
                <c:pt idx="913">
                  <c:v>32.804138427672861</c:v>
                </c:pt>
                <c:pt idx="914">
                  <c:v>32.012608064155117</c:v>
                </c:pt>
                <c:pt idx="915">
                  <c:v>31.240807213194909</c:v>
                </c:pt>
                <c:pt idx="916">
                  <c:v>30.488327730983286</c:v>
                </c:pt>
                <c:pt idx="917">
                  <c:v>29.754774904646592</c:v>
                </c:pt>
                <c:pt idx="918">
                  <c:v>29.039766974218814</c:v>
                </c:pt>
                <c:pt idx="919">
                  <c:v>28.34293467473772</c:v>
                </c:pt>
                <c:pt idx="920">
                  <c:v>27.663920797461717</c:v>
                </c:pt>
                <c:pt idx="921">
                  <c:v>27.002379769257178</c:v>
                </c:pt>
                <c:pt idx="922">
                  <c:v>26.357977249254422</c:v>
                </c:pt>
                <c:pt idx="923">
                  <c:v>25.730389741917204</c:v>
                </c:pt>
                <c:pt idx="924">
                  <c:v>25.119304225713687</c:v>
                </c:pt>
                <c:pt idx="925">
                  <c:v>24.524417796617314</c:v>
                </c:pt>
                <c:pt idx="926">
                  <c:v>23.945437325704397</c:v>
                </c:pt>
                <c:pt idx="927">
                  <c:v>23.382079130151133</c:v>
                </c:pt>
                <c:pt idx="928">
                  <c:v>22.834068656965986</c:v>
                </c:pt>
                <c:pt idx="929">
                  <c:v>22.301140178825719</c:v>
                </c:pt>
                <c:pt idx="930">
                  <c:v>21.783036501412695</c:v>
                </c:pt>
                <c:pt idx="931">
                  <c:v>21.279508681679165</c:v>
                </c:pt>
                <c:pt idx="932">
                  <c:v>20.790315756490774</c:v>
                </c:pt>
                <c:pt idx="933">
                  <c:v>20.31522448112645</c:v>
                </c:pt>
                <c:pt idx="934">
                  <c:v>19.854009077135057</c:v>
                </c:pt>
                <c:pt idx="935">
                  <c:v>19.406450989071679</c:v>
                </c:pt>
                <c:pt idx="936">
                  <c:v>18.972338649657146</c:v>
                </c:pt>
                <c:pt idx="937">
                  <c:v>18.551467252924326</c:v>
                </c:pt>
                <c:pt idx="938">
                  <c:v>18.143638534933654</c:v>
                </c:pt>
                <c:pt idx="939">
                  <c:v>17.74866056165796</c:v>
                </c:pt>
                <c:pt idx="940">
                  <c:v>17.366347523654344</c:v>
                </c:pt>
                <c:pt idx="941">
                  <c:v>16.996519537156313</c:v>
                </c:pt>
                <c:pt idx="942">
                  <c:v>16.6390024512358</c:v>
                </c:pt>
                <c:pt idx="943">
                  <c:v>16.293627660699393</c:v>
                </c:pt>
                <c:pt idx="944">
                  <c:v>15.960231924397535</c:v>
                </c:pt>
                <c:pt idx="945">
                  <c:v>15.63865718863992</c:v>
                </c:pt>
                <c:pt idx="946">
                  <c:v>15.32875041542367</c:v>
                </c:pt>
                <c:pt idx="947">
                  <c:v>15.030363415194632</c:v>
                </c:pt>
                <c:pt idx="948">
                  <c:v>14.743352683875091</c:v>
                </c:pt>
                <c:pt idx="949">
                  <c:v>14.467579243904604</c:v>
                </c:pt>
                <c:pt idx="950">
                  <c:v>14.202908489053211</c:v>
                </c:pt>
                <c:pt idx="951">
                  <c:v>13.949210032779607</c:v>
                </c:pt>
                <c:pt idx="952">
                  <c:v>13.706357559919518</c:v>
                </c:pt>
                <c:pt idx="953">
                  <c:v>13.474228681502701</c:v>
                </c:pt>
                <c:pt idx="954">
                  <c:v>13.252704792509851</c:v>
                </c:pt>
                <c:pt idx="955">
                  <c:v>13.041670932394213</c:v>
                </c:pt>
                <c:pt idx="956">
                  <c:v>12.841015648205596</c:v>
                </c:pt>
                <c:pt idx="957">
                  <c:v>12.650630860168446</c:v>
                </c:pt>
                <c:pt idx="958">
                  <c:v>12.47041172957881</c:v>
                </c:pt>
                <c:pt idx="959">
                  <c:v>12.300256528899016</c:v>
                </c:pt>
                <c:pt idx="960">
                  <c:v>12.140066513942767</c:v>
                </c:pt>
                <c:pt idx="961">
                  <c:v>11.989745798057049</c:v>
                </c:pt>
                <c:pt idx="962">
                  <c:v>11.849201228221379</c:v>
                </c:pt>
                <c:pt idx="963">
                  <c:v>11.718342262998775</c:v>
                </c:pt>
                <c:pt idx="964">
                  <c:v>11.59708085228646</c:v>
                </c:pt>
                <c:pt idx="965">
                  <c:v>11.485331318828013</c:v>
                </c:pt>
                <c:pt idx="966">
                  <c:v>11.383010241461943</c:v>
                </c:pt>
                <c:pt idx="967">
                  <c:v>11.290036340094355</c:v>
                </c:pt>
                <c:pt idx="968">
                  <c:v>11.20633036239599</c:v>
                </c:pt>
                <c:pt idx="969">
                  <c:v>11.131814972235349</c:v>
                </c:pt>
                <c:pt idx="970">
                  <c:v>11.06641463987107</c:v>
                </c:pt>
                <c:pt idx="971">
                  <c:v>11.010055533936359</c:v>
                </c:pt>
                <c:pt idx="972">
                  <c:v>10.962665415258099</c:v>
                </c:pt>
                <c:pt idx="973">
                  <c:v>10.924173532561078</c:v>
                </c:pt>
                <c:pt idx="974">
                  <c:v>10.894510520115146</c:v>
                </c:pt>
                <c:pt idx="975">
                  <c:v>10.873608297389023</c:v>
                </c:pt>
                <c:pt idx="976">
                  <c:v>10.861399970779079</c:v>
                </c:pt>
                <c:pt idx="977">
                  <c:v>10.857819737485192</c:v>
                </c:pt>
                <c:pt idx="978">
                  <c:v>10.86280279160767</c:v>
                </c:pt>
                <c:pt idx="979">
                  <c:v>10.87628523254045</c:v>
                </c:pt>
                <c:pt idx="980">
                  <c:v>10.898203975735196</c:v>
                </c:pt>
                <c:pt idx="981">
                  <c:v>10.928496665909794</c:v>
                </c:pt>
                <c:pt idx="982">
                  <c:v>10.967101592771806</c:v>
                </c:pt>
                <c:pt idx="983">
                  <c:v>11.013957609323889</c:v>
                </c:pt>
                <c:pt idx="984">
                  <c:v>11.069004052813634</c:v>
                </c:pt>
                <c:pt idx="985">
                  <c:v>11.132180668384638</c:v>
                </c:pt>
                <c:pt idx="986">
                  <c:v>11.203427535479532</c:v>
                </c:pt>
                <c:pt idx="987">
                  <c:v>11.28268499703883</c:v>
                </c:pt>
                <c:pt idx="988">
                  <c:v>11.36989359153206</c:v>
                </c:pt>
                <c:pt idx="989">
                  <c:v>11.464993987850171</c:v>
                </c:pt>
                <c:pt idx="990">
                  <c:v>11.567926923080071</c:v>
                </c:pt>
                <c:pt idx="991">
                  <c:v>11.678633143174244</c:v>
                </c:pt>
                <c:pt idx="992">
                  <c:v>11.797053346520443</c:v>
                </c:pt>
                <c:pt idx="993">
                  <c:v>11.923128130408383</c:v>
                </c:pt>
                <c:pt idx="994">
                  <c:v>12.056797940382745</c:v>
                </c:pt>
                <c:pt idx="995">
                  <c:v>12.19800302246434</c:v>
                </c:pt>
                <c:pt idx="996">
                  <c:v>12.346683378214214</c:v>
                </c:pt>
                <c:pt idx="997">
                  <c:v>12.502778722608726</c:v>
                </c:pt>
                <c:pt idx="998">
                  <c:v>12.666228444687498</c:v>
                </c:pt>
                <c:pt idx="999">
                  <c:v>12.83697157093042</c:v>
                </c:pt>
                <c:pt idx="1000">
                  <c:v>13.0149467313146</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Calculs!$I$4:$I$1004</c:f>
              <c:numCache>
                <c:formatCode>0.00</c:formatCode>
                <c:ptCount val="1001"/>
                <c:pt idx="0">
                  <c:v>0</c:v>
                </c:pt>
                <c:pt idx="1">
                  <c:v>0</c:v>
                </c:pt>
                <c:pt idx="2">
                  <c:v>0.16450781317158983</c:v>
                </c:pt>
                <c:pt idx="3">
                  <c:v>0.50197127337386893</c:v>
                </c:pt>
                <c:pt idx="4">
                  <c:v>1.0125425816494229</c:v>
                </c:pt>
                <c:pt idx="5">
                  <c:v>1.6297009184904854</c:v>
                </c:pt>
                <c:pt idx="6">
                  <c:v>2.286829195263683</c:v>
                </c:pt>
                <c:pt idx="7">
                  <c:v>2.9839791907166839</c:v>
                </c:pt>
                <c:pt idx="8">
                  <c:v>3.7212050745906069</c:v>
                </c:pt>
                <c:pt idx="9">
                  <c:v>4.4804016023301214</c:v>
                </c:pt>
                <c:pt idx="10">
                  <c:v>5.2434270547102813</c:v>
                </c:pt>
                <c:pt idx="11">
                  <c:v>6.0102829984575141</c:v>
                </c:pt>
                <c:pt idx="12">
                  <c:v>6.7809709653020622</c:v>
                </c:pt>
                <c:pt idx="13">
                  <c:v>7.5554924516058017</c:v>
                </c:pt>
                <c:pt idx="14">
                  <c:v>8.3338489179895383</c:v>
                </c:pt>
                <c:pt idx="15">
                  <c:v>9.1160417889597962</c:v>
                </c:pt>
                <c:pt idx="16">
                  <c:v>9.902072452535112</c:v>
                </c:pt>
                <c:pt idx="17">
                  <c:v>10.691942259871883</c:v>
                </c:pt>
                <c:pt idx="18">
                  <c:v>11.485652524889764</c:v>
                </c:pt>
                <c:pt idx="19">
                  <c:v>12.283204523896638</c:v>
                </c:pt>
                <c:pt idx="20">
                  <c:v>13.084599495213206</c:v>
                </c:pt>
                <c:pt idx="21">
                  <c:v>13.888565934046404</c:v>
                </c:pt>
                <c:pt idx="22">
                  <c:v>14.693192955152277</c:v>
                </c:pt>
                <c:pt idx="23">
                  <c:v>15.498476814025016</c:v>
                </c:pt>
                <c:pt idx="24">
                  <c:v>16.304413749971367</c:v>
                </c:pt>
                <c:pt idx="25">
                  <c:v>17.110999986171787</c:v>
                </c:pt>
                <c:pt idx="26">
                  <c:v>17.918231729742487</c:v>
                </c:pt>
                <c:pt idx="27">
                  <c:v>18.726105171798345</c:v>
                </c:pt>
                <c:pt idx="28">
                  <c:v>19.53461648751664</c:v>
                </c:pt>
                <c:pt idx="29">
                  <c:v>20.343761836201718</c:v>
                </c:pt>
                <c:pt idx="30">
                  <c:v>21.15353736135048</c:v>
                </c:pt>
                <c:pt idx="31">
                  <c:v>21.963939190718747</c:v>
                </c:pt>
                <c:pt idx="32">
                  <c:v>22.774963436388493</c:v>
                </c:pt>
                <c:pt idx="33">
                  <c:v>23.586606194835948</c:v>
                </c:pt>
                <c:pt idx="34">
                  <c:v>24.398863547000527</c:v>
                </c:pt>
                <c:pt idx="35">
                  <c:v>25.211731558354685</c:v>
                </c:pt>
                <c:pt idx="36">
                  <c:v>26.025206278974572</c:v>
                </c:pt>
                <c:pt idx="37">
                  <c:v>26.839295328820299</c:v>
                </c:pt>
                <c:pt idx="38">
                  <c:v>27.654006927421602</c:v>
                </c:pt>
                <c:pt idx="39">
                  <c:v>28.469336542738731</c:v>
                </c:pt>
                <c:pt idx="40">
                  <c:v>29.285279653492299</c:v>
                </c:pt>
                <c:pt idx="41">
                  <c:v>30.101831747165182</c:v>
                </c:pt>
                <c:pt idx="42">
                  <c:v>30.918988318328779</c:v>
                </c:pt>
                <c:pt idx="43">
                  <c:v>31.736744867139606</c:v>
                </c:pt>
                <c:pt idx="44">
                  <c:v>32.555096897985933</c:v>
                </c:pt>
                <c:pt idx="45">
                  <c:v>33.374039918267123</c:v>
                </c:pt>
                <c:pt idx="46">
                  <c:v>34.193852598689958</c:v>
                </c:pt>
                <c:pt idx="47">
                  <c:v>35.014601679106981</c:v>
                </c:pt>
                <c:pt idx="48">
                  <c:v>35.836283165724502</c:v>
                </c:pt>
                <c:pt idx="49">
                  <c:v>36.658893059018581</c:v>
                </c:pt>
                <c:pt idx="50">
                  <c:v>37.482427352971705</c:v>
                </c:pt>
                <c:pt idx="51">
                  <c:v>38.306882034374951</c:v>
                </c:pt>
                <c:pt idx="52">
                  <c:v>39.132253082189415</c:v>
                </c:pt>
                <c:pt idx="53">
                  <c:v>39.958536466961135</c:v>
                </c:pt>
                <c:pt idx="54">
                  <c:v>40.785728150284569</c:v>
                </c:pt>
                <c:pt idx="55">
                  <c:v>41.613824084310323</c:v>
                </c:pt>
                <c:pt idx="56">
                  <c:v>42.442820211292997</c:v>
                </c:pt>
                <c:pt idx="57">
                  <c:v>43.272712463175814</c:v>
                </c:pt>
                <c:pt idx="58">
                  <c:v>44.103496761208831</c:v>
                </c:pt>
                <c:pt idx="59">
                  <c:v>44.935169015597907</c:v>
                </c:pt>
                <c:pt idx="60">
                  <c:v>45.76772512518199</c:v>
                </c:pt>
                <c:pt idx="61">
                  <c:v>46.601160977136352</c:v>
                </c:pt>
                <c:pt idx="62">
                  <c:v>47.435472446699748</c:v>
                </c:pt>
                <c:pt idx="63">
                  <c:v>48.270655396923807</c:v>
                </c:pt>
                <c:pt idx="64">
                  <c:v>49.106705678442715</c:v>
                </c:pt>
                <c:pt idx="65">
                  <c:v>49.943619129261997</c:v>
                </c:pt>
                <c:pt idx="66">
                  <c:v>50.781391574564701</c:v>
                </c:pt>
                <c:pt idx="67">
                  <c:v>51.620018826534022</c:v>
                </c:pt>
                <c:pt idx="68">
                  <c:v>52.459496684191002</c:v>
                </c:pt>
                <c:pt idx="69">
                  <c:v>53.304227019180786</c:v>
                </c:pt>
                <c:pt idx="70">
                  <c:v>54.156100874838621</c:v>
                </c:pt>
                <c:pt idx="71">
                  <c:v>55.015122379462944</c:v>
                </c:pt>
                <c:pt idx="72">
                  <c:v>55.881295630022038</c:v>
                </c:pt>
                <c:pt idx="73">
                  <c:v>56.754624691002462</c:v>
                </c:pt>
                <c:pt idx="74">
                  <c:v>57.635113593255504</c:v>
                </c:pt>
                <c:pt idx="75">
                  <c:v>58.522766332841719</c:v>
                </c:pt>
                <c:pt idx="76">
                  <c:v>59.41758686987351</c:v>
                </c:pt>
                <c:pt idx="77">
                  <c:v>60.311445217425856</c:v>
                </c:pt>
                <c:pt idx="78">
                  <c:v>61.200846009271842</c:v>
                </c:pt>
                <c:pt idx="79">
                  <c:v>62.085777241732131</c:v>
                </c:pt>
                <c:pt idx="80">
                  <c:v>62.966227025184061</c:v>
                </c:pt>
                <c:pt idx="81">
                  <c:v>63.842183584128946</c:v>
                </c:pt>
                <c:pt idx="82">
                  <c:v>64.713635257260918</c:v>
                </c:pt>
                <c:pt idx="83">
                  <c:v>65.580570497536598</c:v>
                </c:pt>
                <c:pt idx="84">
                  <c:v>66.442977872244583</c:v>
                </c:pt>
                <c:pt idx="85">
                  <c:v>67.300846063074175</c:v>
                </c:pt>
                <c:pt idx="86">
                  <c:v>68.15526864679498</c:v>
                </c:pt>
                <c:pt idx="87">
                  <c:v>69.010657570068147</c:v>
                </c:pt>
                <c:pt idx="88">
                  <c:v>69.867008591979641</c:v>
                </c:pt>
                <c:pt idx="89">
                  <c:v>70.724317454425588</c:v>
                </c:pt>
                <c:pt idx="90">
                  <c:v>71.582579882111048</c:v>
                </c:pt>
                <c:pt idx="91">
                  <c:v>72.44179158255281</c:v>
                </c:pt>
                <c:pt idx="92">
                  <c:v>73.301948246086113</c:v>
                </c:pt>
                <c:pt idx="93">
                  <c:v>74.163045545875065</c:v>
                </c:pt>
                <c:pt idx="94">
                  <c:v>75.025079137926653</c:v>
                </c:pt>
                <c:pt idx="95">
                  <c:v>75.88804466110831</c:v>
                </c:pt>
                <c:pt idx="96">
                  <c:v>76.751937737168831</c:v>
                </c:pt>
                <c:pt idx="97">
                  <c:v>77.61675397076236</c:v>
                </c:pt>
                <c:pt idx="98">
                  <c:v>78.482488949475766</c:v>
                </c:pt>
                <c:pt idx="99">
                  <c:v>79.349138243858917</c:v>
                </c:pt>
                <c:pt idx="100">
                  <c:v>80.216697407457829</c:v>
                </c:pt>
                <c:pt idx="101">
                  <c:v>81.085161976850813</c:v>
                </c:pt>
                <c:pt idx="102">
                  <c:v>81.954527471687243</c:v>
                </c:pt>
                <c:pt idx="103">
                  <c:v>82.824789394729081</c:v>
                </c:pt>
                <c:pt idx="104">
                  <c:v>83.695943231895058</c:v>
                </c:pt>
                <c:pt idx="105">
                  <c:v>84.56798445230713</c:v>
                </c:pt>
                <c:pt idx="106">
                  <c:v>85.440908508339803</c:v>
                </c:pt>
                <c:pt idx="107">
                  <c:v>86.314710835671505</c:v>
                </c:pt>
                <c:pt idx="108">
                  <c:v>87.189386853338476</c:v>
                </c:pt>
                <c:pt idx="109">
                  <c:v>88.064931963790883</c:v>
                </c:pt>
                <c:pt idx="110">
                  <c:v>88.941341552951116</c:v>
                </c:pt>
                <c:pt idx="111">
                  <c:v>89.818610990274422</c:v>
                </c:pt>
                <c:pt idx="112">
                  <c:v>90.696735628811453</c:v>
                </c:pt>
                <c:pt idx="113">
                  <c:v>91.575710805273005</c:v>
                </c:pt>
                <c:pt idx="114">
                  <c:v>92.455531840096782</c:v>
                </c:pt>
                <c:pt idx="115">
                  <c:v>93.336194037516165</c:v>
                </c:pt>
                <c:pt idx="116">
                  <c:v>94.21769268563078</c:v>
                </c:pt>
                <c:pt idx="117">
                  <c:v>95.100023056479188</c:v>
                </c:pt>
                <c:pt idx="118">
                  <c:v>95.983180406113391</c:v>
                </c:pt>
                <c:pt idx="119">
                  <c:v>96.867159974674905</c:v>
                </c:pt>
                <c:pt idx="120">
                  <c:v>97.751956986473104</c:v>
                </c:pt>
                <c:pt idx="121">
                  <c:v>98.63756665006494</c:v>
                </c:pt>
                <c:pt idx="122">
                  <c:v>99.523984158336546</c:v>
                </c:pt>
                <c:pt idx="123">
                  <c:v>100.41120468858654</c:v>
                </c:pt>
                <c:pt idx="124">
                  <c:v>101.29922340261103</c:v>
                </c:pt>
                <c:pt idx="125">
                  <c:v>102.18803544679021</c:v>
                </c:pt>
                <c:pt idx="126">
                  <c:v>103.07763595217655</c:v>
                </c:pt>
                <c:pt idx="127">
                  <c:v>103.96802003458475</c:v>
                </c:pt>
                <c:pt idx="128">
                  <c:v>104.85918279468309</c:v>
                </c:pt>
                <c:pt idx="129">
                  <c:v>105.7511193180863</c:v>
                </c:pt>
                <c:pt idx="130">
                  <c:v>106.64382467545015</c:v>
                </c:pt>
                <c:pt idx="131">
                  <c:v>107.53729392256743</c:v>
                </c:pt>
                <c:pt idx="132">
                  <c:v>108.43152210046532</c:v>
                </c:pt>
                <c:pt idx="133">
                  <c:v>109.32650423550437</c:v>
                </c:pt>
                <c:pt idx="134">
                  <c:v>110.22223533947881</c:v>
                </c:pt>
                <c:pt idx="135">
                  <c:v>111.11871040971845</c:v>
                </c:pt>
                <c:pt idx="136">
                  <c:v>112.0159244291916</c:v>
                </c:pt>
                <c:pt idx="137">
                  <c:v>112.91387236660992</c:v>
                </c:pt>
                <c:pt idx="138">
                  <c:v>113.81254917653409</c:v>
                </c:pt>
                <c:pt idx="139">
                  <c:v>114.7119497994812</c:v>
                </c:pt>
                <c:pt idx="140">
                  <c:v>115.61206916203335</c:v>
                </c:pt>
                <c:pt idx="141">
                  <c:v>116.51290217694743</c:v>
                </c:pt>
                <c:pt idx="142">
                  <c:v>117.41444374326646</c:v>
                </c:pt>
                <c:pt idx="143">
                  <c:v>118.31668874643196</c:v>
                </c:pt>
                <c:pt idx="144">
                  <c:v>119.21963205839774</c:v>
                </c:pt>
                <c:pt idx="145">
                  <c:v>120.12326853774489</c:v>
                </c:pt>
                <c:pt idx="146">
                  <c:v>121.02759302979793</c:v>
                </c:pt>
                <c:pt idx="147">
                  <c:v>121.93260036674238</c:v>
                </c:pt>
                <c:pt idx="148">
                  <c:v>122.83828536774325</c:v>
                </c:pt>
                <c:pt idx="149">
                  <c:v>123.74464283906502</c:v>
                </c:pt>
                <c:pt idx="150">
                  <c:v>124.65166757419254</c:v>
                </c:pt>
                <c:pt idx="151">
                  <c:v>125.5593543539533</c:v>
                </c:pt>
                <c:pt idx="152">
                  <c:v>126.46769794664067</c:v>
                </c:pt>
                <c:pt idx="153">
                  <c:v>127.37669310813841</c:v>
                </c:pt>
                <c:pt idx="154">
                  <c:v>128.28633458204627</c:v>
                </c:pt>
                <c:pt idx="155">
                  <c:v>129.19661709980667</c:v>
                </c:pt>
                <c:pt idx="156">
                  <c:v>130.10753538083247</c:v>
                </c:pt>
                <c:pt idx="157">
                  <c:v>131.0190841326359</c:v>
                </c:pt>
                <c:pt idx="158">
                  <c:v>131.93125805095855</c:v>
                </c:pt>
                <c:pt idx="159">
                  <c:v>132.84405181990221</c:v>
                </c:pt>
                <c:pt idx="160">
                  <c:v>133.75746011206121</c:v>
                </c:pt>
                <c:pt idx="161">
                  <c:v>134.67147758865534</c:v>
                </c:pt>
                <c:pt idx="162">
                  <c:v>135.58609889966397</c:v>
                </c:pt>
                <c:pt idx="163">
                  <c:v>136.50131868396136</c:v>
                </c:pt>
                <c:pt idx="164">
                  <c:v>137.41713156945266</c:v>
                </c:pt>
                <c:pt idx="165">
                  <c:v>138.33353217321113</c:v>
                </c:pt>
                <c:pt idx="166">
                  <c:v>139.25051510161617</c:v>
                </c:pt>
                <c:pt idx="167">
                  <c:v>140.16807495049255</c:v>
                </c:pt>
                <c:pt idx="168">
                  <c:v>141.0862063052503</c:v>
                </c:pt>
                <c:pt idx="169">
                  <c:v>142.00490374102588</c:v>
                </c:pt>
                <c:pt idx="170">
                  <c:v>142.92416182282398</c:v>
                </c:pt>
                <c:pt idx="171">
                  <c:v>143.84397510566032</c:v>
                </c:pt>
                <c:pt idx="172">
                  <c:v>144.76433813470558</c:v>
                </c:pt>
                <c:pt idx="173">
                  <c:v>145.68524544542996</c:v>
                </c:pt>
                <c:pt idx="174">
                  <c:v>146.60669156374874</c:v>
                </c:pt>
                <c:pt idx="175">
                  <c:v>147.52867100616874</c:v>
                </c:pt>
                <c:pt idx="176">
                  <c:v>148.45117827993559</c:v>
                </c:pt>
                <c:pt idx="177">
                  <c:v>149.3742078831819</c:v>
                </c:pt>
                <c:pt idx="178">
                  <c:v>150.29775430507627</c:v>
                </c:pt>
                <c:pt idx="179">
                  <c:v>151.22181202597312</c:v>
                </c:pt>
                <c:pt idx="180">
                  <c:v>152.14637551756337</c:v>
                </c:pt>
                <c:pt idx="181">
                  <c:v>153.07143924302596</c:v>
                </c:pt>
                <c:pt idx="182">
                  <c:v>153.99699765718003</c:v>
                </c:pt>
                <c:pt idx="183">
                  <c:v>154.92304520663797</c:v>
                </c:pt>
                <c:pt idx="184">
                  <c:v>155.84957632995946</c:v>
                </c:pt>
                <c:pt idx="185">
                  <c:v>156.77658545780594</c:v>
                </c:pt>
                <c:pt idx="186">
                  <c:v>157.70406701309602</c:v>
                </c:pt>
                <c:pt idx="187">
                  <c:v>158.6320154111616</c:v>
                </c:pt>
                <c:pt idx="188">
                  <c:v>159.56042505990484</c:v>
                </c:pt>
                <c:pt idx="189">
                  <c:v>160.48929035995556</c:v>
                </c:pt>
                <c:pt idx="190">
                  <c:v>161.41860570482973</c:v>
                </c:pt>
                <c:pt idx="191">
                  <c:v>162.34836548108842</c:v>
                </c:pt>
                <c:pt idx="192">
                  <c:v>163.27856406849742</c:v>
                </c:pt>
                <c:pt idx="193">
                  <c:v>164.20919584018785</c:v>
                </c:pt>
                <c:pt idx="194">
                  <c:v>165.14025516281694</c:v>
                </c:pt>
                <c:pt idx="195">
                  <c:v>166.07173639673002</c:v>
                </c:pt>
                <c:pt idx="196">
                  <c:v>167.00363389612272</c:v>
                </c:pt>
                <c:pt idx="197">
                  <c:v>167.93594200920404</c:v>
                </c:pt>
                <c:pt idx="198">
                  <c:v>168.86865507835995</c:v>
                </c:pt>
                <c:pt idx="199">
                  <c:v>169.8017674403178</c:v>
                </c:pt>
                <c:pt idx="200">
                  <c:v>170.7352734263109</c:v>
                </c:pt>
                <c:pt idx="201">
                  <c:v>171.66916736224428</c:v>
                </c:pt>
                <c:pt idx="202">
                  <c:v>172.60344356886054</c:v>
                </c:pt>
                <c:pt idx="203">
                  <c:v>173.5380963619065</c:v>
                </c:pt>
                <c:pt idx="204">
                  <c:v>174.47312005230043</c:v>
                </c:pt>
                <c:pt idx="205">
                  <c:v>175.40850894629972</c:v>
                </c:pt>
                <c:pt idx="206">
                  <c:v>176.34425734566918</c:v>
                </c:pt>
                <c:pt idx="207">
                  <c:v>177.28035954784977</c:v>
                </c:pt>
                <c:pt idx="208">
                  <c:v>178.21680984612803</c:v>
                </c:pt>
                <c:pt idx="209">
                  <c:v>179.15360252980574</c:v>
                </c:pt>
                <c:pt idx="210">
                  <c:v>180.09073188437034</c:v>
                </c:pt>
                <c:pt idx="211">
                  <c:v>181.02819219166571</c:v>
                </c:pt>
                <c:pt idx="212">
                  <c:v>181.96597773006332</c:v>
                </c:pt>
                <c:pt idx="213">
                  <c:v>182.90408277463413</c:v>
                </c:pt>
                <c:pt idx="214">
                  <c:v>183.84250159732065</c:v>
                </c:pt>
                <c:pt idx="215">
                  <c:v>184.78122846710951</c:v>
                </c:pt>
                <c:pt idx="216">
                  <c:v>185.72025765020464</c:v>
                </c:pt>
                <c:pt idx="217">
                  <c:v>186.65958341020058</c:v>
                </c:pt>
                <c:pt idx="218">
                  <c:v>187.59920000825639</c:v>
                </c:pt>
                <c:pt idx="219">
                  <c:v>188.53910170326981</c:v>
                </c:pt>
                <c:pt idx="220">
                  <c:v>189.47928275205209</c:v>
                </c:pt>
                <c:pt idx="221">
                  <c:v>190.41973740950274</c:v>
                </c:pt>
                <c:pt idx="222">
                  <c:v>191.36045992878508</c:v>
                </c:pt>
                <c:pt idx="223">
                  <c:v>192.30144456150174</c:v>
                </c:pt>
                <c:pt idx="224">
                  <c:v>193.24268555787077</c:v>
                </c:pt>
                <c:pt idx="225">
                  <c:v>194.18417716690215</c:v>
                </c:pt>
                <c:pt idx="226">
                  <c:v>195.12591363657413</c:v>
                </c:pt>
                <c:pt idx="227">
                  <c:v>196.06788921401045</c:v>
                </c:pt>
                <c:pt idx="228">
                  <c:v>197.01009814565748</c:v>
                </c:pt>
                <c:pt idx="229">
                  <c:v>197.9525346774617</c:v>
                </c:pt>
                <c:pt idx="230">
                  <c:v>198.8951930550476</c:v>
                </c:pt>
                <c:pt idx="231">
                  <c:v>199.83806752389566</c:v>
                </c:pt>
                <c:pt idx="232">
                  <c:v>200.78115232952058</c:v>
                </c:pt>
                <c:pt idx="233">
                  <c:v>201.72444171764982</c:v>
                </c:pt>
                <c:pt idx="234">
                  <c:v>202.66792993440231</c:v>
                </c:pt>
                <c:pt idx="235">
                  <c:v>203.61161122646743</c:v>
                </c:pt>
                <c:pt idx="236">
                  <c:v>204.5554798412841</c:v>
                </c:pt>
                <c:pt idx="237">
                  <c:v>205.49953002721998</c:v>
                </c:pt>
                <c:pt idx="238">
                  <c:v>206.44375603375119</c:v>
                </c:pt>
                <c:pt idx="239">
                  <c:v>207.38815211164157</c:v>
                </c:pt>
                <c:pt idx="240">
                  <c:v>208.3327125131228</c:v>
                </c:pt>
                <c:pt idx="241">
                  <c:v>209.27743149207416</c:v>
                </c:pt>
                <c:pt idx="242">
                  <c:v>210.22230330420251</c:v>
                </c:pt>
                <c:pt idx="243">
                  <c:v>211.16732220722255</c:v>
                </c:pt>
                <c:pt idx="244">
                  <c:v>212.11715591318423</c:v>
                </c:pt>
                <c:pt idx="245">
                  <c:v>213.07180068518829</c:v>
                </c:pt>
                <c:pt idx="246">
                  <c:v>214.03125273864987</c:v>
                </c:pt>
                <c:pt idx="247">
                  <c:v>214.99550824091082</c:v>
                </c:pt>
                <c:pt idx="248">
                  <c:v>215.96456331085434</c:v>
                </c:pt>
                <c:pt idx="249">
                  <c:v>216.93841401852248</c:v>
                </c:pt>
                <c:pt idx="250">
                  <c:v>217.91705638473599</c:v>
                </c:pt>
                <c:pt idx="251">
                  <c:v>218.90048638071707</c:v>
                </c:pt>
                <c:pt idx="252">
                  <c:v>219.88869992771473</c:v>
                </c:pt>
                <c:pt idx="253">
                  <c:v>220.87910315515822</c:v>
                </c:pt>
                <c:pt idx="254">
                  <c:v>221.86909898424076</c:v>
                </c:pt>
                <c:pt idx="255">
                  <c:v>222.85868090038662</c:v>
                </c:pt>
                <c:pt idx="256">
                  <c:v>223.8478424037489</c:v>
                </c:pt>
                <c:pt idx="257">
                  <c:v>224.83657700942729</c:v>
                </c:pt>
                <c:pt idx="258">
                  <c:v>225.82487824768529</c:v>
                </c:pt>
                <c:pt idx="259">
                  <c:v>226.81273966416657</c:v>
                </c:pt>
                <c:pt idx="260">
                  <c:v>227.80015482011044</c:v>
                </c:pt>
                <c:pt idx="261">
                  <c:v>228.78711729256665</c:v>
                </c:pt>
                <c:pt idx="262">
                  <c:v>229.7736206746093</c:v>
                </c:pt>
                <c:pt idx="263">
                  <c:v>230.75965857554996</c:v>
                </c:pt>
                <c:pt idx="264">
                  <c:v>231.74522462114959</c:v>
                </c:pt>
                <c:pt idx="265">
                  <c:v>232.73031245383021</c:v>
                </c:pt>
                <c:pt idx="266">
                  <c:v>233.71491573288503</c:v>
                </c:pt>
                <c:pt idx="267">
                  <c:v>234.69902813468806</c:v>
                </c:pt>
                <c:pt idx="268">
                  <c:v>235.68264335290274</c:v>
                </c:pt>
                <c:pt idx="269">
                  <c:v>236.66575509868952</c:v>
                </c:pt>
                <c:pt idx="270">
                  <c:v>237.64835710091251</c:v>
                </c:pt>
                <c:pt idx="271">
                  <c:v>238.63044310634527</c:v>
                </c:pt>
                <c:pt idx="272">
                  <c:v>239.61200687987554</c:v>
                </c:pt>
                <c:pt idx="273">
                  <c:v>240.59304220470895</c:v>
                </c:pt>
                <c:pt idx="274">
                  <c:v>241.57354288257179</c:v>
                </c:pt>
                <c:pt idx="275">
                  <c:v>242.55350273391264</c:v>
                </c:pt>
                <c:pt idx="276">
                  <c:v>243.53291559810307</c:v>
                </c:pt>
                <c:pt idx="277">
                  <c:v>244.51164859820355</c:v>
                </c:pt>
                <c:pt idx="278">
                  <c:v>245.48950532627435</c:v>
                </c:pt>
                <c:pt idx="279">
                  <c:v>246.46647960174747</c:v>
                </c:pt>
                <c:pt idx="280">
                  <c:v>247.44256527094615</c:v>
                </c:pt>
                <c:pt idx="281">
                  <c:v>248.4177562072741</c:v>
                </c:pt>
                <c:pt idx="282">
                  <c:v>249.39204631140299</c:v>
                </c:pt>
                <c:pt idx="283">
                  <c:v>250.36542951145807</c:v>
                </c:pt>
                <c:pt idx="284">
                  <c:v>251.33789976320261</c:v>
                </c:pt>
                <c:pt idx="285">
                  <c:v>252.3094510502201</c:v>
                </c:pt>
                <c:pt idx="286">
                  <c:v>253.28007738409508</c:v>
                </c:pt>
                <c:pt idx="287">
                  <c:v>254.2497728045922</c:v>
                </c:pt>
                <c:pt idx="288">
                  <c:v>255.21853137983362</c:v>
                </c:pt>
                <c:pt idx="289">
                  <c:v>256.18634720647458</c:v>
                </c:pt>
                <c:pt idx="290">
                  <c:v>257.15321440987725</c:v>
                </c:pt>
                <c:pt idx="291">
                  <c:v>258.11912714428308</c:v>
                </c:pt>
                <c:pt idx="292">
                  <c:v>259.08407959298279</c:v>
                </c:pt>
                <c:pt idx="293">
                  <c:v>260.04806596848545</c:v>
                </c:pt>
                <c:pt idx="294">
                  <c:v>261.01108051268511</c:v>
                </c:pt>
                <c:pt idx="295">
                  <c:v>261.97311749702573</c:v>
                </c:pt>
                <c:pt idx="296">
                  <c:v>262.9341712226647</c:v>
                </c:pt>
                <c:pt idx="297">
                  <c:v>263.89423602063431</c:v>
                </c:pt>
                <c:pt idx="298">
                  <c:v>264.85330625200118</c:v>
                </c:pt>
                <c:pt idx="299">
                  <c:v>265.81137630802431</c:v>
                </c:pt>
                <c:pt idx="300">
                  <c:v>266.76844061031107</c:v>
                </c:pt>
                <c:pt idx="301">
                  <c:v>267.72449361097136</c:v>
                </c:pt>
                <c:pt idx="302">
                  <c:v>268.67952979276993</c:v>
                </c:pt>
                <c:pt idx="303">
                  <c:v>269.63354366927689</c:v>
                </c:pt>
                <c:pt idx="304">
                  <c:v>270.58652978501624</c:v>
                </c:pt>
                <c:pt idx="305">
                  <c:v>271.53848271561299</c:v>
                </c:pt>
                <c:pt idx="306">
                  <c:v>272.48939706793749</c:v>
                </c:pt>
                <c:pt idx="307">
                  <c:v>273.43926748024893</c:v>
                </c:pt>
                <c:pt idx="308">
                  <c:v>274.38808862233634</c:v>
                </c:pt>
                <c:pt idx="309">
                  <c:v>275.33585519565764</c:v>
                </c:pt>
                <c:pt idx="310">
                  <c:v>276.28256193347721</c:v>
                </c:pt>
                <c:pt idx="311">
                  <c:v>277.22820360100121</c:v>
                </c:pt>
                <c:pt idx="312">
                  <c:v>278.17277499551096</c:v>
                </c:pt>
                <c:pt idx="313">
                  <c:v>279.11627094649481</c:v>
                </c:pt>
                <c:pt idx="314">
                  <c:v>280.05868631577778</c:v>
                </c:pt>
                <c:pt idx="315">
                  <c:v>281.00001599764909</c:v>
                </c:pt>
                <c:pt idx="316">
                  <c:v>281.94025491898816</c:v>
                </c:pt>
                <c:pt idx="317">
                  <c:v>282.87939803938849</c:v>
                </c:pt>
                <c:pt idx="318">
                  <c:v>283.81744035127957</c:v>
                </c:pt>
                <c:pt idx="319">
                  <c:v>284.75437688004683</c:v>
                </c:pt>
                <c:pt idx="320">
                  <c:v>285.69020268414971</c:v>
                </c:pt>
                <c:pt idx="321">
                  <c:v>286.62491285523782</c:v>
                </c:pt>
                <c:pt idx="322">
                  <c:v>287.55850251826502</c:v>
                </c:pt>
                <c:pt idx="323">
                  <c:v>288.4909668316015</c:v>
                </c:pt>
                <c:pt idx="324">
                  <c:v>289.42230098714413</c:v>
                </c:pt>
                <c:pt idx="325">
                  <c:v>290.35250021042469</c:v>
                </c:pt>
                <c:pt idx="326">
                  <c:v>291.28155976071599</c:v>
                </c:pt>
                <c:pt idx="327">
                  <c:v>292.20947493113636</c:v>
                </c:pt>
                <c:pt idx="328">
                  <c:v>293.13624104875174</c:v>
                </c:pt>
                <c:pt idx="329">
                  <c:v>294.06185347467624</c:v>
                </c:pt>
                <c:pt idx="330">
                  <c:v>294.98630760417029</c:v>
                </c:pt>
                <c:pt idx="331">
                  <c:v>295.90959886673727</c:v>
                </c:pt>
                <c:pt idx="332">
                  <c:v>296.83172272621761</c:v>
                </c:pt>
                <c:pt idx="333">
                  <c:v>297.7526746808814</c:v>
                </c:pt>
                <c:pt idx="334">
                  <c:v>298.67245026351878</c:v>
                </c:pt>
                <c:pt idx="335">
                  <c:v>299.59104504152816</c:v>
                </c:pt>
                <c:pt idx="336">
                  <c:v>300.508454617003</c:v>
                </c:pt>
                <c:pt idx="337">
                  <c:v>301.42467462681594</c:v>
                </c:pt>
                <c:pt idx="338">
                  <c:v>302.33970074270155</c:v>
                </c:pt>
                <c:pt idx="339">
                  <c:v>303.25352867133648</c:v>
                </c:pt>
                <c:pt idx="340">
                  <c:v>304.16615415441822</c:v>
                </c:pt>
                <c:pt idx="341">
                  <c:v>305.07757296874132</c:v>
                </c:pt>
                <c:pt idx="342">
                  <c:v>305.98778092627225</c:v>
                </c:pt>
                <c:pt idx="343">
                  <c:v>306.89677387422142</c:v>
                </c:pt>
                <c:pt idx="344">
                  <c:v>307.80465615403949</c:v>
                </c:pt>
                <c:pt idx="345">
                  <c:v>308.7124006008674</c:v>
                </c:pt>
                <c:pt idx="346">
                  <c:v>309.62000285150276</c:v>
                </c:pt>
                <c:pt idx="347">
                  <c:v>310.52745855652148</c:v>
                </c:pt>
                <c:pt idx="348">
                  <c:v>311.43476338040301</c:v>
                </c:pt>
                <c:pt idx="349">
                  <c:v>312.34191300165531</c:v>
                </c:pt>
                <c:pt idx="350">
                  <c:v>313.24890311293871</c:v>
                </c:pt>
                <c:pt idx="351">
                  <c:v>314.15572942118933</c:v>
                </c:pt>
                <c:pt idx="352">
                  <c:v>315.06238764774201</c:v>
                </c:pt>
                <c:pt idx="353">
                  <c:v>315.96887352845221</c:v>
                </c:pt>
                <c:pt idx="354">
                  <c:v>316.87518281381767</c:v>
                </c:pt>
                <c:pt idx="355">
                  <c:v>317.78131126909909</c:v>
                </c:pt>
                <c:pt idx="356">
                  <c:v>318.68725467444057</c:v>
                </c:pt>
                <c:pt idx="357">
                  <c:v>319.5930088249886</c:v>
                </c:pt>
                <c:pt idx="358">
                  <c:v>320.49856953101124</c:v>
                </c:pt>
                <c:pt idx="359">
                  <c:v>321.40393261801626</c:v>
                </c:pt>
                <c:pt idx="360">
                  <c:v>322.30909392686812</c:v>
                </c:pt>
                <c:pt idx="361">
                  <c:v>323.21404931390521</c:v>
                </c:pt>
                <c:pt idx="362">
                  <c:v>324.11879465105562</c:v>
                </c:pt>
                <c:pt idx="363">
                  <c:v>325.0233258259525</c:v>
                </c:pt>
                <c:pt idx="364">
                  <c:v>325.92763874204843</c:v>
                </c:pt>
                <c:pt idx="365">
                  <c:v>326.8317293187298</c:v>
                </c:pt>
                <c:pt idx="366">
                  <c:v>327.73559349142937</c:v>
                </c:pt>
                <c:pt idx="367">
                  <c:v>328.63922721173935</c:v>
                </c:pt>
                <c:pt idx="368">
                  <c:v>329.54262644752231</c:v>
                </c:pt>
                <c:pt idx="369">
                  <c:v>330.4457871830229</c:v>
                </c:pt>
                <c:pt idx="370">
                  <c:v>331.34870541897737</c:v>
                </c:pt>
                <c:pt idx="371">
                  <c:v>332.25137717272355</c:v>
                </c:pt>
                <c:pt idx="372">
                  <c:v>333.15379847830911</c:v>
                </c:pt>
                <c:pt idx="373">
                  <c:v>334.05525000411097</c:v>
                </c:pt>
                <c:pt idx="374">
                  <c:v>334.95572815003385</c:v>
                </c:pt>
                <c:pt idx="375">
                  <c:v>335.85522934673031</c:v>
                </c:pt>
                <c:pt idx="376">
                  <c:v>336.75375005565877</c:v>
                </c:pt>
                <c:pt idx="377">
                  <c:v>337.65128676914014</c:v>
                </c:pt>
                <c:pt idx="378">
                  <c:v>338.54783601041294</c:v>
                </c:pt>
                <c:pt idx="379">
                  <c:v>339.44339433368646</c:v>
                </c:pt>
                <c:pt idx="380">
                  <c:v>340.33795832419275</c:v>
                </c:pt>
                <c:pt idx="381">
                  <c:v>341.23152459823683</c:v>
                </c:pt>
                <c:pt idx="382">
                  <c:v>342.12408980324523</c:v>
                </c:pt>
                <c:pt idx="383">
                  <c:v>343.01565061781298</c:v>
                </c:pt>
                <c:pt idx="384">
                  <c:v>343.90620375174916</c:v>
                </c:pt>
                <c:pt idx="385">
                  <c:v>344.79574594612075</c:v>
                </c:pt>
                <c:pt idx="386">
                  <c:v>345.68427397329481</c:v>
                </c:pt>
                <c:pt idx="387">
                  <c:v>346.5717846369792</c:v>
                </c:pt>
                <c:pt idx="388">
                  <c:v>347.45827477226192</c:v>
                </c:pt>
                <c:pt idx="389">
                  <c:v>348.34374124564812</c:v>
                </c:pt>
                <c:pt idx="390">
                  <c:v>349.22818095509666</c:v>
                </c:pt>
                <c:pt idx="391">
                  <c:v>350.11159083005396</c:v>
                </c:pt>
                <c:pt idx="392">
                  <c:v>350.99396783148723</c:v>
                </c:pt>
                <c:pt idx="393">
                  <c:v>351.87530895191554</c:v>
                </c:pt>
                <c:pt idx="394">
                  <c:v>352.7556112154395</c:v>
                </c:pt>
                <c:pt idx="395">
                  <c:v>353.63487167776947</c:v>
                </c:pt>
                <c:pt idx="396">
                  <c:v>354.51308742625213</c:v>
                </c:pt>
                <c:pt idx="397">
                  <c:v>355.39025557989538</c:v>
                </c:pt>
                <c:pt idx="398">
                  <c:v>356.26637328939211</c:v>
                </c:pt>
                <c:pt idx="399">
                  <c:v>357.14143773714164</c:v>
                </c:pt>
                <c:pt idx="400">
                  <c:v>358.01544613727077</c:v>
                </c:pt>
                <c:pt idx="401">
                  <c:v>358.88839573565218</c:v>
                </c:pt>
                <c:pt idx="402">
                  <c:v>359.76028380992176</c:v>
                </c:pt>
                <c:pt idx="403">
                  <c:v>360.63110766949484</c:v>
                </c:pt>
                <c:pt idx="404">
                  <c:v>361.5008646555799</c:v>
                </c:pt>
                <c:pt idx="405">
                  <c:v>362.36955214119172</c:v>
                </c:pt>
                <c:pt idx="406">
                  <c:v>363.23716753116264</c:v>
                </c:pt>
                <c:pt idx="407">
                  <c:v>364.10370826215194</c:v>
                </c:pt>
                <c:pt idx="408">
                  <c:v>364.96917180265473</c:v>
                </c:pt>
                <c:pt idx="409">
                  <c:v>365.83273990409197</c:v>
                </c:pt>
                <c:pt idx="410">
                  <c:v>366.69420657840652</c:v>
                </c:pt>
                <c:pt idx="411">
                  <c:v>367.55357016449472</c:v>
                </c:pt>
                <c:pt idx="412">
                  <c:v>368.41082905443119</c:v>
                </c:pt>
                <c:pt idx="413">
                  <c:v>369.26598169332965</c:v>
                </c:pt>
                <c:pt idx="414">
                  <c:v>370.11902657920086</c:v>
                </c:pt>
                <c:pt idx="415">
                  <c:v>370.96996226280885</c:v>
                </c:pt>
                <c:pt idx="416">
                  <c:v>371.81878734752416</c:v>
                </c:pt>
                <c:pt idx="417">
                  <c:v>372.66550048917429</c:v>
                </c:pt>
                <c:pt idx="418">
                  <c:v>373.51010039589278</c:v>
                </c:pt>
                <c:pt idx="419">
                  <c:v>374.35258582796502</c:v>
                </c:pt>
                <c:pt idx="420">
                  <c:v>375.19295559767204</c:v>
                </c:pt>
                <c:pt idx="421">
                  <c:v>376.03120856913199</c:v>
                </c:pt>
                <c:pt idx="422">
                  <c:v>376.86734365813925</c:v>
                </c:pt>
                <c:pt idx="423">
                  <c:v>377.7013598320014</c:v>
                </c:pt>
                <c:pt idx="424">
                  <c:v>378.53325610937361</c:v>
                </c:pt>
                <c:pt idx="425">
                  <c:v>379.36303156009114</c:v>
                </c:pt>
                <c:pt idx="426">
                  <c:v>380.19068530499959</c:v>
                </c:pt>
                <c:pt idx="427">
                  <c:v>381.01621651578279</c:v>
                </c:pt>
                <c:pt idx="428">
                  <c:v>381.83962441478883</c:v>
                </c:pt>
                <c:pt idx="429">
                  <c:v>382.66090827485357</c:v>
                </c:pt>
                <c:pt idx="430">
                  <c:v>383.48006741912241</c:v>
                </c:pt>
                <c:pt idx="431">
                  <c:v>384.2971012208701</c:v>
                </c:pt>
                <c:pt idx="432">
                  <c:v>385.11200910331797</c:v>
                </c:pt>
                <c:pt idx="433">
                  <c:v>385.92479053944948</c:v>
                </c:pt>
                <c:pt idx="434">
                  <c:v>386.73544505182406</c:v>
                </c:pt>
                <c:pt idx="435">
                  <c:v>387.54397221238855</c:v>
                </c:pt>
                <c:pt idx="436">
                  <c:v>388.35037164228663</c:v>
                </c:pt>
                <c:pt idx="437">
                  <c:v>389.15464301166708</c:v>
                </c:pt>
                <c:pt idx="438">
                  <c:v>389.9567860394892</c:v>
                </c:pt>
                <c:pt idx="439">
                  <c:v>390.75680049332703</c:v>
                </c:pt>
                <c:pt idx="440">
                  <c:v>391.55468618917166</c:v>
                </c:pt>
                <c:pt idx="441">
                  <c:v>392.35044299123126</c:v>
                </c:pt>
                <c:pt idx="442">
                  <c:v>393.14407081173033</c:v>
                </c:pt>
                <c:pt idx="443">
                  <c:v>393.9355696107059</c:v>
                </c:pt>
                <c:pt idx="444">
                  <c:v>394.72493939580329</c:v>
                </c:pt>
                <c:pt idx="445">
                  <c:v>395.51218022206899</c:v>
                </c:pt>
                <c:pt idx="446">
                  <c:v>396.29729219174322</c:v>
                </c:pt>
                <c:pt idx="447">
                  <c:v>397.08027545404963</c:v>
                </c:pt>
                <c:pt idx="448">
                  <c:v>397.86113020498379</c:v>
                </c:pt>
                <c:pt idx="449">
                  <c:v>398.63985668710052</c:v>
                </c:pt>
                <c:pt idx="450">
                  <c:v>399.41645518929926</c:v>
                </c:pt>
                <c:pt idx="451">
                  <c:v>400.19092604660756</c:v>
                </c:pt>
                <c:pt idx="452">
                  <c:v>400.96326963996415</c:v>
                </c:pt>
                <c:pt idx="453">
                  <c:v>401.73348639599948</c:v>
                </c:pt>
                <c:pt idx="454">
                  <c:v>402.50157678681518</c:v>
                </c:pt>
                <c:pt idx="455">
                  <c:v>403.2675413297622</c:v>
                </c:pt>
                <c:pt idx="456">
                  <c:v>404.0313805872176</c:v>
                </c:pt>
                <c:pt idx="457">
                  <c:v>404.79309516635959</c:v>
                </c:pt>
                <c:pt idx="458">
                  <c:v>405.55268571894192</c:v>
                </c:pt>
                <c:pt idx="459">
                  <c:v>406.31015294106595</c:v>
                </c:pt>
                <c:pt idx="460">
                  <c:v>407.06549757295244</c:v>
                </c:pt>
                <c:pt idx="461">
                  <c:v>407.81872039871143</c:v>
                </c:pt>
                <c:pt idx="462">
                  <c:v>408.56982224611136</c:v>
                </c:pt>
                <c:pt idx="463">
                  <c:v>409.31880398634638</c:v>
                </c:pt>
                <c:pt idx="464">
                  <c:v>410.06566653380298</c:v>
                </c:pt>
                <c:pt idx="465">
                  <c:v>410.8104108458254</c:v>
                </c:pt>
                <c:pt idx="466">
                  <c:v>411.55303792247958</c:v>
                </c:pt>
                <c:pt idx="467">
                  <c:v>412.29354880631644</c:v>
                </c:pt>
                <c:pt idx="468">
                  <c:v>413.03194458213386</c:v>
                </c:pt>
                <c:pt idx="469">
                  <c:v>413.7682263767374</c:v>
                </c:pt>
                <c:pt idx="470">
                  <c:v>414.5023953587006</c:v>
                </c:pt>
                <c:pt idx="471">
                  <c:v>415.23445273812348</c:v>
                </c:pt>
                <c:pt idx="472">
                  <c:v>415.9643997663909</c:v>
                </c:pt>
                <c:pt idx="473">
                  <c:v>416.69223773592915</c:v>
                </c:pt>
                <c:pt idx="474">
                  <c:v>417.41796797996244</c:v>
                </c:pt>
                <c:pt idx="475">
                  <c:v>418.14159187226761</c:v>
                </c:pt>
                <c:pt idx="476">
                  <c:v>418.86311082692885</c:v>
                </c:pt>
                <c:pt idx="477">
                  <c:v>419.58252629809095</c:v>
                </c:pt>
                <c:pt idx="478">
                  <c:v>420.29983977971176</c:v>
                </c:pt>
                <c:pt idx="479">
                  <c:v>421.01505280531444</c:v>
                </c:pt>
                <c:pt idx="480">
                  <c:v>421.72816694773809</c:v>
                </c:pt>
                <c:pt idx="481">
                  <c:v>422.43918381888841</c:v>
                </c:pt>
                <c:pt idx="482">
                  <c:v>423.14810506948697</c:v>
                </c:pt>
                <c:pt idx="483">
                  <c:v>423.85493238882032</c:v>
                </c:pt>
                <c:pt idx="484">
                  <c:v>424.55966750448817</c:v>
                </c:pt>
                <c:pt idx="485">
                  <c:v>425.26231218215071</c:v>
                </c:pt>
                <c:pt idx="486">
                  <c:v>425.96286822527583</c:v>
                </c:pt>
                <c:pt idx="487">
                  <c:v>426.66133747488556</c:v>
                </c:pt>
                <c:pt idx="488">
                  <c:v>427.35772180930121</c:v>
                </c:pt>
                <c:pt idx="489">
                  <c:v>428.05202314388919</c:v>
                </c:pt>
                <c:pt idx="490">
                  <c:v>428.74424343080545</c:v>
                </c:pt>
                <c:pt idx="491">
                  <c:v>429.43438465873959</c:v>
                </c:pt>
                <c:pt idx="492">
                  <c:v>430.12244885265858</c:v>
                </c:pt>
                <c:pt idx="493">
                  <c:v>430.80843807354984</c:v>
                </c:pt>
                <c:pt idx="494">
                  <c:v>431.49235441816433</c:v>
                </c:pt>
                <c:pt idx="495">
                  <c:v>432.1742000187586</c:v>
                </c:pt>
                <c:pt idx="496">
                  <c:v>432.85397704283696</c:v>
                </c:pt>
                <c:pt idx="497">
                  <c:v>433.53141943714223</c:v>
                </c:pt>
                <c:pt idx="498">
                  <c:v>434.20626133146669</c:v>
                </c:pt>
                <c:pt idx="499">
                  <c:v>434.87850582323449</c:v>
                </c:pt>
                <c:pt idx="500">
                  <c:v>435.54815605302389</c:v>
                </c:pt>
                <c:pt idx="501">
                  <c:v>436.21521520419043</c:v>
                </c:pt>
                <c:pt idx="502">
                  <c:v>436.87968650249013</c:v>
                </c:pt>
                <c:pt idx="503">
                  <c:v>437.54157321570301</c:v>
                </c:pt>
                <c:pt idx="504">
                  <c:v>438.20087865325559</c:v>
                </c:pt>
                <c:pt idx="505">
                  <c:v>438.85760616584412</c:v>
                </c:pt>
                <c:pt idx="506">
                  <c:v>439.51175914505762</c:v>
                </c:pt>
                <c:pt idx="507">
                  <c:v>440.1633410230005</c:v>
                </c:pt>
                <c:pt idx="508">
                  <c:v>440.81235527191615</c:v>
                </c:pt>
                <c:pt idx="509">
                  <c:v>441.45880540380921</c:v>
                </c:pt>
                <c:pt idx="510">
                  <c:v>442.10269497006954</c:v>
                </c:pt>
                <c:pt idx="511">
                  <c:v>442.74402756109521</c:v>
                </c:pt>
                <c:pt idx="512">
                  <c:v>443.38280680591583</c:v>
                </c:pt>
                <c:pt idx="513">
                  <c:v>444.01903637181664</c:v>
                </c:pt>
                <c:pt idx="514">
                  <c:v>444.65271996396217</c:v>
                </c:pt>
                <c:pt idx="515">
                  <c:v>445.28386132502067</c:v>
                </c:pt>
                <c:pt idx="516">
                  <c:v>445.91246423478827</c:v>
                </c:pt>
                <c:pt idx="517">
                  <c:v>446.53853250981416</c:v>
                </c:pt>
                <c:pt idx="518">
                  <c:v>447.16207000302541</c:v>
                </c:pt>
                <c:pt idx="519">
                  <c:v>447.78308060335291</c:v>
                </c:pt>
                <c:pt idx="520">
                  <c:v>448.40156823535699</c:v>
                </c:pt>
                <c:pt idx="521">
                  <c:v>449.01753685885393</c:v>
                </c:pt>
                <c:pt idx="522">
                  <c:v>449.63099046854302</c:v>
                </c:pt>
                <c:pt idx="523">
                  <c:v>450.24193309363341</c:v>
                </c:pt>
                <c:pt idx="524">
                  <c:v>450.85036879747258</c:v>
                </c:pt>
                <c:pt idx="525">
                  <c:v>451.45630167717439</c:v>
                </c:pt>
                <c:pt idx="526">
                  <c:v>452.05973586324802</c:v>
                </c:pt>
                <c:pt idx="527">
                  <c:v>452.66067551922799</c:v>
                </c:pt>
                <c:pt idx="528">
                  <c:v>453.25912484130396</c:v>
                </c:pt>
                <c:pt idx="529">
                  <c:v>453.85508805795166</c:v>
                </c:pt>
                <c:pt idx="530">
                  <c:v>454.44856942956466</c:v>
                </c:pt>
                <c:pt idx="531">
                  <c:v>455.03957324808636</c:v>
                </c:pt>
                <c:pt idx="532">
                  <c:v>455.62810383664333</c:v>
                </c:pt>
                <c:pt idx="533">
                  <c:v>456.21416554917874</c:v>
                </c:pt>
                <c:pt idx="534">
                  <c:v>456.79776277008682</c:v>
                </c:pt>
                <c:pt idx="535">
                  <c:v>457.37889991384856</c:v>
                </c:pt>
                <c:pt idx="536">
                  <c:v>457.95758142466735</c:v>
                </c:pt>
                <c:pt idx="537">
                  <c:v>458.53381177610652</c:v>
                </c:pt>
                <c:pt idx="538">
                  <c:v>459.10759547072666</c:v>
                </c:pt>
                <c:pt idx="539">
                  <c:v>459.67893703972476</c:v>
                </c:pt>
                <c:pt idx="540">
                  <c:v>460.24784104257378</c:v>
                </c:pt>
                <c:pt idx="541">
                  <c:v>460.81431206666298</c:v>
                </c:pt>
                <c:pt idx="542">
                  <c:v>461.37835472693996</c:v>
                </c:pt>
                <c:pt idx="543">
                  <c:v>461.93997366555283</c:v>
                </c:pt>
                <c:pt idx="544">
                  <c:v>462.49917355149381</c:v>
                </c:pt>
                <c:pt idx="545">
                  <c:v>463.05595908024412</c:v>
                </c:pt>
                <c:pt idx="546">
                  <c:v>463.61033497341913</c:v>
                </c:pt>
                <c:pt idx="547">
                  <c:v>464.1623059784153</c:v>
                </c:pt>
                <c:pt idx="548">
                  <c:v>464.71187686805803</c:v>
                </c:pt>
                <c:pt idx="549">
                  <c:v>465.25905244025017</c:v>
                </c:pt>
                <c:pt idx="550">
                  <c:v>465.80365352471267</c:v>
                </c:pt>
                <c:pt idx="551">
                  <c:v>466.34525559359503</c:v>
                </c:pt>
                <c:pt idx="552">
                  <c:v>466.88386474695892</c:v>
                </c:pt>
                <c:pt idx="553">
                  <c:v>467.41948711651713</c:v>
                </c:pt>
                <c:pt idx="554">
                  <c:v>467.95212886513468</c:v>
                </c:pt>
                <c:pt idx="555">
                  <c:v>468.48179618633117</c:v>
                </c:pt>
                <c:pt idx="556">
                  <c:v>469.00849530378525</c:v>
                </c:pt>
                <c:pt idx="557">
                  <c:v>469.532232470841</c:v>
                </c:pt>
                <c:pt idx="558">
                  <c:v>470.05301397001642</c:v>
                </c:pt>
                <c:pt idx="559">
                  <c:v>470.57084611251355</c:v>
                </c:pt>
                <c:pt idx="560">
                  <c:v>471.08573523773089</c:v>
                </c:pt>
                <c:pt idx="561">
                  <c:v>471.59768771277783</c:v>
                </c:pt>
                <c:pt idx="562">
                  <c:v>472.10670993199113</c:v>
                </c:pt>
                <c:pt idx="563">
                  <c:v>472.61280831645331</c:v>
                </c:pt>
                <c:pt idx="564">
                  <c:v>473.11598931351318</c:v>
                </c:pt>
                <c:pt idx="565">
                  <c:v>473.61625939630898</c:v>
                </c:pt>
                <c:pt idx="566">
                  <c:v>474.11362506329306</c:v>
                </c:pt>
                <c:pt idx="567">
                  <c:v>474.60809283775882</c:v>
                </c:pt>
                <c:pt idx="568">
                  <c:v>475.09966926737047</c:v>
                </c:pt>
                <c:pt idx="569">
                  <c:v>475.58836092369432</c:v>
                </c:pt>
                <c:pt idx="570">
                  <c:v>476.07417440173236</c:v>
                </c:pt>
                <c:pt idx="571">
                  <c:v>476.55711631945871</c:v>
                </c:pt>
                <c:pt idx="572">
                  <c:v>477.03719331735761</c:v>
                </c:pt>
                <c:pt idx="573">
                  <c:v>477.51441205796442</c:v>
                </c:pt>
                <c:pt idx="574">
                  <c:v>477.98877922540817</c:v>
                </c:pt>
                <c:pt idx="575">
                  <c:v>478.46030152495729</c:v>
                </c:pt>
                <c:pt idx="576">
                  <c:v>478.92898568256697</c:v>
                </c:pt>
                <c:pt idx="577">
                  <c:v>479.39483844442952</c:v>
                </c:pt>
                <c:pt idx="578">
                  <c:v>479.85786657652653</c:v>
                </c:pt>
                <c:pt idx="579">
                  <c:v>480.31807686418387</c:v>
                </c:pt>
                <c:pt idx="580">
                  <c:v>480.7754761116293</c:v>
                </c:pt>
                <c:pt idx="581">
                  <c:v>481.23007114155166</c:v>
                </c:pt>
                <c:pt idx="582">
                  <c:v>481.6818687946635</c:v>
                </c:pt>
                <c:pt idx="583">
                  <c:v>482.13087592926564</c:v>
                </c:pt>
                <c:pt idx="584">
                  <c:v>482.57709942081459</c:v>
                </c:pt>
                <c:pt idx="585">
                  <c:v>483.02054616149184</c:v>
                </c:pt>
                <c:pt idx="586">
                  <c:v>483.46122305977644</c:v>
                </c:pt>
                <c:pt idx="587">
                  <c:v>483.8991370400197</c:v>
                </c:pt>
                <c:pt idx="588">
                  <c:v>484.33429504202229</c:v>
                </c:pt>
                <c:pt idx="589">
                  <c:v>484.76670402061427</c:v>
                </c:pt>
                <c:pt idx="590">
                  <c:v>485.19637094523773</c:v>
                </c:pt>
                <c:pt idx="591">
                  <c:v>485.6233027995313</c:v>
                </c:pt>
                <c:pt idx="592">
                  <c:v>486.04750658091831</c:v>
                </c:pt>
                <c:pt idx="593">
                  <c:v>486.46898930019665</c:v>
                </c:pt>
                <c:pt idx="594">
                  <c:v>486.88775798113176</c:v>
                </c:pt>
                <c:pt idx="595">
                  <c:v>487.30381966005206</c:v>
                </c:pt>
                <c:pt idx="596">
                  <c:v>487.71718138544702</c:v>
                </c:pt>
                <c:pt idx="597">
                  <c:v>488.12785021756798</c:v>
                </c:pt>
                <c:pt idx="598">
                  <c:v>488.53583322803132</c:v>
                </c:pt>
                <c:pt idx="599">
                  <c:v>488.94113749942477</c:v>
                </c:pt>
                <c:pt idx="600">
                  <c:v>489.34377012491615</c:v>
                </c:pt>
                <c:pt idx="601">
                  <c:v>489.74373820786434</c:v>
                </c:pt>
                <c:pt idx="602">
                  <c:v>490.14104886143389</c:v>
                </c:pt>
                <c:pt idx="603">
                  <c:v>490.5357092082113</c:v>
                </c:pt>
                <c:pt idx="604">
                  <c:v>490.92772637982495</c:v>
                </c:pt>
                <c:pt idx="605">
                  <c:v>491.31710751656669</c:v>
                </c:pt>
                <c:pt idx="606">
                  <c:v>491.70385976701721</c:v>
                </c:pt>
                <c:pt idx="607">
                  <c:v>492.08799028767334</c:v>
                </c:pt>
                <c:pt idx="608">
                  <c:v>492.4695062425784</c:v>
                </c:pt>
                <c:pt idx="609">
                  <c:v>492.84841480295512</c:v>
                </c:pt>
                <c:pt idx="610">
                  <c:v>493.22472314684143</c:v>
                </c:pt>
                <c:pt idx="611">
                  <c:v>493.59843845872899</c:v>
                </c:pt>
                <c:pt idx="612">
                  <c:v>493.96790563398241</c:v>
                </c:pt>
                <c:pt idx="613">
                  <c:v>494.33313607519187</c:v>
                </c:pt>
                <c:pt idx="614">
                  <c:v>494.69414120556831</c:v>
                </c:pt>
                <c:pt idx="615">
                  <c:v>495.05093246809218</c:v>
                </c:pt>
                <c:pt idx="616">
                  <c:v>495.40352132466842</c:v>
                </c:pt>
                <c:pt idx="617">
                  <c:v>495.75191925528816</c:v>
                </c:pt>
                <c:pt idx="618">
                  <c:v>496.09613775719686</c:v>
                </c:pt>
                <c:pt idx="619">
                  <c:v>496.43618834406948</c:v>
                </c:pt>
                <c:pt idx="620">
                  <c:v>496.77208254519195</c:v>
                </c:pt>
                <c:pt idx="621">
                  <c:v>497.10383190464955</c:v>
                </c:pt>
                <c:pt idx="622">
                  <c:v>497.43144798052191</c:v>
                </c:pt>
                <c:pt idx="623">
                  <c:v>497.75494234408455</c:v>
                </c:pt>
                <c:pt idx="624">
                  <c:v>498.07432657901751</c:v>
                </c:pt>
                <c:pt idx="625">
                  <c:v>498.38961228062038</c:v>
                </c:pt>
                <c:pt idx="626">
                  <c:v>498.70081105503419</c:v>
                </c:pt>
                <c:pt idx="627">
                  <c:v>499.00793451847017</c:v>
                </c:pt>
                <c:pt idx="628">
                  <c:v>499.31099429644524</c:v>
                </c:pt>
                <c:pt idx="629">
                  <c:v>499.61000202302381</c:v>
                </c:pt>
                <c:pt idx="630">
                  <c:v>499.9049693400674</c:v>
                </c:pt>
                <c:pt idx="631">
                  <c:v>500.19590789648987</c:v>
                </c:pt>
                <c:pt idx="632">
                  <c:v>500.48282934752029</c:v>
                </c:pt>
                <c:pt idx="633">
                  <c:v>500.76574535397208</c:v>
                </c:pt>
                <c:pt idx="634">
                  <c:v>501.04466758151938</c:v>
                </c:pt>
                <c:pt idx="635">
                  <c:v>501.31960769997983</c:v>
                </c:pt>
                <c:pt idx="636">
                  <c:v>501.59057738260441</c:v>
                </c:pt>
                <c:pt idx="637">
                  <c:v>501.85758830537395</c:v>
                </c:pt>
                <c:pt idx="638">
                  <c:v>502.12065214630235</c:v>
                </c:pt>
                <c:pt idx="639">
                  <c:v>502.37978058474704</c:v>
                </c:pt>
                <c:pt idx="640">
                  <c:v>502.63498530072542</c:v>
                </c:pt>
                <c:pt idx="641">
                  <c:v>502.88627797423896</c:v>
                </c:pt>
                <c:pt idx="642">
                  <c:v>503.13367028460357</c:v>
                </c:pt>
                <c:pt idx="643">
                  <c:v>503.37717390978679</c:v>
                </c:pt>
                <c:pt idx="644">
                  <c:v>503.61680052575178</c:v>
                </c:pt>
                <c:pt idx="645">
                  <c:v>503.85256180580819</c:v>
                </c:pt>
                <c:pt idx="646">
                  <c:v>504.07982161795792</c:v>
                </c:pt>
                <c:pt idx="647">
                  <c:v>504.29808815418124</c:v>
                </c:pt>
                <c:pt idx="648">
                  <c:v>504.50738807775411</c:v>
                </c:pt>
                <c:pt idx="649">
                  <c:v>504.70774812082391</c:v>
                </c:pt>
                <c:pt idx="650">
                  <c:v>504.89919508103924</c:v>
                </c:pt>
                <c:pt idx="651">
                  <c:v>505.08175581821178</c:v>
                </c:pt>
                <c:pt idx="652">
                  <c:v>505.25545725100892</c:v>
                </c:pt>
                <c:pt idx="653">
                  <c:v>505.42032635367917</c:v>
                </c:pt>
                <c:pt idx="654">
                  <c:v>505.57639015280859</c:v>
                </c:pt>
                <c:pt idx="655">
                  <c:v>505.7236757241094</c:v>
                </c:pt>
                <c:pt idx="656">
                  <c:v>505.86221018924135</c:v>
                </c:pt>
                <c:pt idx="657">
                  <c:v>505.99202071266473</c:v>
                </c:pt>
                <c:pt idx="658">
                  <c:v>506.11313449852634</c:v>
                </c:pt>
                <c:pt idx="659">
                  <c:v>506.22557878757749</c:v>
                </c:pt>
                <c:pt idx="660">
                  <c:v>506.3293808541253</c:v>
                </c:pt>
                <c:pt idx="661">
                  <c:v>506.42456800301619</c:v>
                </c:pt>
                <c:pt idx="662">
                  <c:v>506.51116756665226</c:v>
                </c:pt>
                <c:pt idx="663">
                  <c:v>506.58920690204076</c:v>
                </c:pt>
                <c:pt idx="664">
                  <c:v>506.65871338787662</c:v>
                </c:pt>
                <c:pt idx="665">
                  <c:v>506.71971442165761</c:v>
                </c:pt>
                <c:pt idx="666">
                  <c:v>506.76234491080982</c:v>
                </c:pt>
                <c:pt idx="667">
                  <c:v>506.78418956924753</c:v>
                </c:pt>
                <c:pt idx="668">
                  <c:v>506.78531686924737</c:v>
                </c:pt>
                <c:pt idx="669">
                  <c:v>506.76579574462988</c:v>
                </c:pt>
                <c:pt idx="670">
                  <c:v>506.72569557272362</c:v>
                </c:pt>
                <c:pt idx="671">
                  <c:v>506.66508615648564</c:v>
                </c:pt>
                <c:pt idx="672">
                  <c:v>506.5840377067841</c:v>
                </c:pt>
                <c:pt idx="673">
                  <c:v>506.4826208248445</c:v>
                </c:pt>
                <c:pt idx="674">
                  <c:v>506.36090648486288</c:v>
                </c:pt>
                <c:pt idx="675">
                  <c:v>506.21896601678935</c:v>
                </c:pt>
                <c:pt idx="676">
                  <c:v>506.05687108928379</c:v>
                </c:pt>
                <c:pt idx="677">
                  <c:v>505.87469369284753</c:v>
                </c:pt>
                <c:pt idx="678">
                  <c:v>505.67250612313194</c:v>
                </c:pt>
                <c:pt idx="679">
                  <c:v>505.45038096442755</c:v>
                </c:pt>
                <c:pt idx="680">
                  <c:v>505.20839107333535</c:v>
                </c:pt>
                <c:pt idx="681">
                  <c:v>504.94660956262231</c:v>
                </c:pt>
                <c:pt idx="682">
                  <c:v>504.6651097852631</c:v>
                </c:pt>
                <c:pt idx="683">
                  <c:v>504.36396531867018</c:v>
                </c:pt>
                <c:pt idx="684">
                  <c:v>504.0432499491136</c:v>
                </c:pt>
                <c:pt idx="685">
                  <c:v>503.7030376563319</c:v>
                </c:pt>
                <c:pt idx="686">
                  <c:v>503.34340259833607</c:v>
                </c:pt>
                <c:pt idx="687">
                  <c:v>502.96441909640799</c:v>
                </c:pt>
                <c:pt idx="688">
                  <c:v>502.56616162029383</c:v>
                </c:pt>
                <c:pt idx="689">
                  <c:v>502.14870477359426</c:v>
                </c:pt>
                <c:pt idx="690">
                  <c:v>501.71212327935228</c:v>
                </c:pt>
                <c:pt idx="691">
                  <c:v>501.25649196583942</c:v>
                </c:pt>
                <c:pt idx="692">
                  <c:v>500.78188575254131</c:v>
                </c:pt>
                <c:pt idx="693">
                  <c:v>500.28837963634328</c:v>
                </c:pt>
                <c:pt idx="694">
                  <c:v>499.77604867791626</c:v>
                </c:pt>
                <c:pt idx="695">
                  <c:v>499.2449679883041</c:v>
                </c:pt>
                <c:pt idx="696">
                  <c:v>498.69521271571216</c:v>
                </c:pt>
                <c:pt idx="697">
                  <c:v>498.12685803249752</c:v>
                </c:pt>
                <c:pt idx="698">
                  <c:v>497.53997912236144</c:v>
                </c:pt>
                <c:pt idx="699">
                  <c:v>496.93465116774377</c:v>
                </c:pt>
                <c:pt idx="700">
                  <c:v>496.31094933741923</c:v>
                </c:pt>
                <c:pt idx="701">
                  <c:v>495.66894877429564</c:v>
                </c:pt>
                <c:pt idx="702">
                  <c:v>495.0087245834149</c:v>
                </c:pt>
                <c:pt idx="703">
                  <c:v>494.33035182015396</c:v>
                </c:pt>
                <c:pt idx="704">
                  <c:v>493.63390547862866</c:v>
                </c:pt>
                <c:pt idx="705">
                  <c:v>492.9194604802974</c:v>
                </c:pt>
                <c:pt idx="706">
                  <c:v>492.18709166276579</c:v>
                </c:pt>
                <c:pt idx="707">
                  <c:v>491.43687376879063</c:v>
                </c:pt>
                <c:pt idx="708">
                  <c:v>490.66861153895496</c:v>
                </c:pt>
                <c:pt idx="709">
                  <c:v>489.87995099423472</c:v>
                </c:pt>
                <c:pt idx="710">
                  <c:v>489.07097934435825</c:v>
                </c:pt>
                <c:pt idx="711">
                  <c:v>488.24178372872899</c:v>
                </c:pt>
                <c:pt idx="712">
                  <c:v>487.39245120206141</c:v>
                </c:pt>
                <c:pt idx="713">
                  <c:v>486.52306872027924</c:v>
                </c:pt>
                <c:pt idx="714">
                  <c:v>485.63372312667366</c:v>
                </c:pt>
                <c:pt idx="715">
                  <c:v>484.72450113832178</c:v>
                </c:pt>
                <c:pt idx="716">
                  <c:v>483.79548933276396</c:v>
                </c:pt>
                <c:pt idx="717">
                  <c:v>482.84677413493915</c:v>
                </c:pt>
                <c:pt idx="718">
                  <c:v>481.87844180437713</c:v>
                </c:pt>
                <c:pt idx="719">
                  <c:v>480.89057842264606</c:v>
                </c:pt>
                <c:pt idx="720">
                  <c:v>479.88326988105462</c:v>
                </c:pt>
                <c:pt idx="721">
                  <c:v>478.85660186860673</c:v>
                </c:pt>
                <c:pt idx="722">
                  <c:v>477.81065986020798</c:v>
                </c:pt>
                <c:pt idx="723">
                  <c:v>476.7455291051217</c:v>
                </c:pt>
                <c:pt idx="724">
                  <c:v>475.66129461567294</c:v>
                </c:pt>
                <c:pt idx="725">
                  <c:v>474.52372589709569</c:v>
                </c:pt>
                <c:pt idx="726">
                  <c:v>473.31838886974509</c:v>
                </c:pt>
                <c:pt idx="727">
                  <c:v>472.11920082581446</c:v>
                </c:pt>
                <c:pt idx="728">
                  <c:v>470.92611221379457</c:v>
                </c:pt>
                <c:pt idx="729">
                  <c:v>469.7390740190537</c:v>
                </c:pt>
                <c:pt idx="730">
                  <c:v>468.55803775653902</c:v>
                </c:pt>
                <c:pt idx="731">
                  <c:v>467.3829554635966</c:v>
                </c:pt>
                <c:pt idx="732">
                  <c:v>466.21377969290938</c:v>
                </c:pt>
                <c:pt idx="733">
                  <c:v>465.05046350554846</c:v>
                </c:pt>
                <c:pt idx="734">
                  <c:v>463.89296046413847</c:v>
                </c:pt>
                <c:pt idx="735">
                  <c:v>462.74122462613235</c:v>
                </c:pt>
                <c:pt idx="736">
                  <c:v>461.5952105371951</c:v>
                </c:pt>
                <c:pt idx="737">
                  <c:v>460.45487322469364</c:v>
                </c:pt>
                <c:pt idx="738">
                  <c:v>459.32016819129097</c:v>
                </c:pt>
                <c:pt idx="739">
                  <c:v>458.19105140864303</c:v>
                </c:pt>
                <c:pt idx="740">
                  <c:v>457.06747931119554</c:v>
                </c:pt>
                <c:pt idx="741">
                  <c:v>455.94940879007993</c:v>
                </c:pt>
                <c:pt idx="742">
                  <c:v>454.83679718710579</c:v>
                </c:pt>
                <c:pt idx="743">
                  <c:v>453.72960228884853</c:v>
                </c:pt>
                <c:pt idx="744">
                  <c:v>452.62778232082985</c:v>
                </c:pt>
                <c:pt idx="745">
                  <c:v>451.53129594179029</c:v>
                </c:pt>
                <c:pt idx="746">
                  <c:v>450.44010223805134</c:v>
                </c:pt>
                <c:pt idx="747">
                  <c:v>449.35416071796578</c:v>
                </c:pt>
                <c:pt idx="748">
                  <c:v>448.27343130645437</c:v>
                </c:pt>
                <c:pt idx="749">
                  <c:v>447.19787433962807</c:v>
                </c:pt>
                <c:pt idx="750">
                  <c:v>446.12745055949341</c:v>
                </c:pt>
                <c:pt idx="751">
                  <c:v>445.06212110873963</c:v>
                </c:pt>
                <c:pt idx="752">
                  <c:v>444.00184752560682</c:v>
                </c:pt>
                <c:pt idx="753">
                  <c:v>442.94659173883258</c:v>
                </c:pt>
                <c:pt idx="754">
                  <c:v>441.89631606267648</c:v>
                </c:pt>
                <c:pt idx="755">
                  <c:v>440.85098319202086</c:v>
                </c:pt>
                <c:pt idx="756">
                  <c:v>439.8105561975463</c:v>
                </c:pt>
                <c:pt idx="757">
                  <c:v>438.77499852098072</c:v>
                </c:pt>
                <c:pt idx="758">
                  <c:v>437.74427397042047</c:v>
                </c:pt>
                <c:pt idx="759">
                  <c:v>436.71834671572276</c:v>
                </c:pt>
                <c:pt idx="760">
                  <c:v>435.69718128396738</c:v>
                </c:pt>
                <c:pt idx="761">
                  <c:v>434.68074255498686</c:v>
                </c:pt>
                <c:pt idx="762">
                  <c:v>433.66899575696436</c:v>
                </c:pt>
                <c:pt idx="763">
                  <c:v>432.66190646209702</c:v>
                </c:pt>
                <c:pt idx="764">
                  <c:v>431.65944058232441</c:v>
                </c:pt>
                <c:pt idx="765">
                  <c:v>430.66156436512091</c:v>
                </c:pt>
                <c:pt idx="766">
                  <c:v>429.66824438935066</c:v>
                </c:pt>
                <c:pt idx="767">
                  <c:v>428.67944756118396</c:v>
                </c:pt>
                <c:pt idx="768">
                  <c:v>427.69514111007413</c:v>
                </c:pt>
                <c:pt idx="769">
                  <c:v>426.71529258479421</c:v>
                </c:pt>
                <c:pt idx="770">
                  <c:v>425.73986984953166</c:v>
                </c:pt>
                <c:pt idx="771">
                  <c:v>424.76884108004072</c:v>
                </c:pt>
                <c:pt idx="772">
                  <c:v>423.80217475985091</c:v>
                </c:pt>
                <c:pt idx="773">
                  <c:v>422.83983967653148</c:v>
                </c:pt>
                <c:pt idx="774">
                  <c:v>421.88180491801</c:v>
                </c:pt>
                <c:pt idx="775">
                  <c:v>420.92803986894467</c:v>
                </c:pt>
                <c:pt idx="776">
                  <c:v>419.97851420714915</c:v>
                </c:pt>
                <c:pt idx="777">
                  <c:v>419.03319790006975</c:v>
                </c:pt>
                <c:pt idx="778">
                  <c:v>418.0920612013125</c:v>
                </c:pt>
                <c:pt idx="779">
                  <c:v>417.15507464722145</c:v>
                </c:pt>
                <c:pt idx="780">
                  <c:v>416.22220905350531</c:v>
                </c:pt>
                <c:pt idx="781">
                  <c:v>415.29343551191283</c:v>
                </c:pt>
                <c:pt idx="782">
                  <c:v>414.3687253869557</c:v>
                </c:pt>
                <c:pt idx="783">
                  <c:v>413.44805031267839</c:v>
                </c:pt>
                <c:pt idx="784">
                  <c:v>412.53138218947367</c:v>
                </c:pt>
                <c:pt idx="785">
                  <c:v>411.61869318094341</c:v>
                </c:pt>
                <c:pt idx="786">
                  <c:v>410.70995571080442</c:v>
                </c:pt>
                <c:pt idx="787">
                  <c:v>409.80514245983721</c:v>
                </c:pt>
                <c:pt idx="788">
                  <c:v>408.90422636287821</c:v>
                </c:pt>
                <c:pt idx="789">
                  <c:v>408.00718060585467</c:v>
                </c:pt>
                <c:pt idx="790">
                  <c:v>407.11397862286026</c:v>
                </c:pt>
                <c:pt idx="791">
                  <c:v>406.22459409327251</c:v>
                </c:pt>
                <c:pt idx="792">
                  <c:v>405.33900093890992</c:v>
                </c:pt>
                <c:pt idx="793">
                  <c:v>404.45717332122916</c:v>
                </c:pt>
                <c:pt idx="794">
                  <c:v>403.5790856385608</c:v>
                </c:pt>
                <c:pt idx="795">
                  <c:v>402.70471252338359</c:v>
                </c:pt>
                <c:pt idx="796">
                  <c:v>401.83402883963669</c:v>
                </c:pt>
                <c:pt idx="797">
                  <c:v>400.96700968006843</c:v>
                </c:pt>
                <c:pt idx="798">
                  <c:v>400.10363036362213</c:v>
                </c:pt>
                <c:pt idx="799">
                  <c:v>399.24386643285749</c:v>
                </c:pt>
                <c:pt idx="800">
                  <c:v>398.3876936514078</c:v>
                </c:pt>
                <c:pt idx="801">
                  <c:v>389.86178954924554</c:v>
                </c:pt>
                <c:pt idx="802">
                  <c:v>381.68569037504625</c:v>
                </c:pt>
                <c:pt idx="803">
                  <c:v>373.83674066967359</c:v>
                </c:pt>
                <c:pt idx="804">
                  <c:v>366.29422785520313</c:v>
                </c:pt>
                <c:pt idx="805">
                  <c:v>359.03917650359722</c:v>
                </c:pt>
                <c:pt idx="806">
                  <c:v>352.05416837190921</c:v>
                </c:pt>
                <c:pt idx="807">
                  <c:v>345.3231844984258</c:v>
                </c:pt>
                <c:pt idx="808">
                  <c:v>338.83146625319364</c:v>
                </c:pt>
                <c:pt idx="809">
                  <c:v>332.56539272830122</c:v>
                </c:pt>
                <c:pt idx="810">
                  <c:v>326.51237225902116</c:v>
                </c:pt>
                <c:pt idx="811">
                  <c:v>320.66074620295808</c:v>
                </c:pt>
                <c:pt idx="812">
                  <c:v>314.99970338378199</c:v>
                </c:pt>
                <c:pt idx="813">
                  <c:v>309.51920383937988</c:v>
                </c:pt>
                <c:pt idx="814">
                  <c:v>304.20991070967693</c:v>
                </c:pt>
                <c:pt idx="815">
                  <c:v>299.06312926367997</c:v>
                </c:pt>
                <c:pt idx="816">
                  <c:v>294.07075220389919</c:v>
                </c:pt>
                <c:pt idx="817">
                  <c:v>289.22521050361394</c:v>
                </c:pt>
                <c:pt idx="818">
                  <c:v>284.51942913204044</c:v>
                </c:pt>
                <c:pt idx="819">
                  <c:v>279.94678710727533</c:v>
                </c:pt>
                <c:pt idx="820">
                  <c:v>275.50108138931705</c:v>
                </c:pt>
                <c:pt idx="821">
                  <c:v>271.17649418750506</c:v>
                </c:pt>
                <c:pt idx="822">
                  <c:v>266.967563309985</c:v>
                </c:pt>
                <c:pt idx="823">
                  <c:v>262.86915522867758</c:v>
                </c:pt>
                <c:pt idx="824">
                  <c:v>258.8764405728154</c:v>
                </c:pt>
                <c:pt idx="825">
                  <c:v>254.98487179837198</c:v>
                </c:pt>
                <c:pt idx="826">
                  <c:v>251.19016281041453</c:v>
                </c:pt>
                <c:pt idx="827">
                  <c:v>247.48827034124119</c:v>
                </c:pt>
                <c:pt idx="828">
                  <c:v>243.87537690966246</c:v>
                </c:pt>
                <c:pt idx="829">
                  <c:v>240.34787520643229</c:v>
                </c:pt>
                <c:pt idx="830">
                  <c:v>236.90235376802065</c:v>
                </c:pt>
                <c:pt idx="831">
                  <c:v>233.53558381598558</c:v>
                </c:pt>
                <c:pt idx="832">
                  <c:v>230.24450715243751</c:v>
                </c:pt>
                <c:pt idx="833">
                  <c:v>227.02622501373315</c:v>
                </c:pt>
                <c:pt idx="834">
                  <c:v>223.87798779480539</c:v>
                </c:pt>
                <c:pt idx="835">
                  <c:v>220.79718556560255</c:v>
                </c:pt>
                <c:pt idx="836">
                  <c:v>217.7813393091343</c:v>
                </c:pt>
                <c:pt idx="837">
                  <c:v>214.82809281773223</c:v>
                </c:pt>
                <c:pt idx="838">
                  <c:v>211.93520519044395</c:v>
                </c:pt>
                <c:pt idx="839">
                  <c:v>209.10054388009306</c:v>
                </c:pt>
                <c:pt idx="840">
                  <c:v>206.32207824353344</c:v>
                </c:pt>
                <c:pt idx="841">
                  <c:v>203.5978735530847</c:v>
                </c:pt>
                <c:pt idx="842">
                  <c:v>200.92608543111561</c:v>
                </c:pt>
                <c:pt idx="843">
                  <c:v>198.30495467330331</c:v>
                </c:pt>
                <c:pt idx="844">
                  <c:v>195.73280242928567</c:v>
                </c:pt>
                <c:pt idx="845">
                  <c:v>193.20802571228469</c:v>
                </c:pt>
                <c:pt idx="846">
                  <c:v>190.72909321184852</c:v>
                </c:pt>
                <c:pt idx="847">
                  <c:v>188.29454138616933</c:v>
                </c:pt>
                <c:pt idx="848">
                  <c:v>185.90297081251612</c:v>
                </c:pt>
                <c:pt idx="849">
                  <c:v>183.55304277619618</c:v>
                </c:pt>
                <c:pt idx="850">
                  <c:v>181.24347608015356</c:v>
                </c:pt>
                <c:pt idx="851">
                  <c:v>178.97304405884083</c:v>
                </c:pt>
                <c:pt idx="852">
                  <c:v>176.74057178138875</c:v>
                </c:pt>
                <c:pt idx="853">
                  <c:v>174.54493343034798</c:v>
                </c:pt>
                <c:pt idx="854">
                  <c:v>172.3850498434191</c:v>
                </c:pt>
                <c:pt idx="855">
                  <c:v>170.25988620661553</c:v>
                </c:pt>
                <c:pt idx="856">
                  <c:v>168.16844988824579</c:v>
                </c:pt>
                <c:pt idx="857">
                  <c:v>166.10978840395285</c:v>
                </c:pt>
                <c:pt idx="858">
                  <c:v>164.08298750382653</c:v>
                </c:pt>
                <c:pt idx="859">
                  <c:v>162.08716937331462</c:v>
                </c:pt>
                <c:pt idx="860">
                  <c:v>160.12149094030318</c:v>
                </c:pt>
                <c:pt idx="861">
                  <c:v>158.18514228132884</c:v>
                </c:pt>
                <c:pt idx="862">
                  <c:v>156.27734512042537</c:v>
                </c:pt>
                <c:pt idx="863">
                  <c:v>154.39735141460099</c:v>
                </c:pt>
                <c:pt idx="864">
                  <c:v>152.54444202039539</c:v>
                </c:pt>
                <c:pt idx="865">
                  <c:v>150.71792543638114</c:v>
                </c:pt>
                <c:pt idx="866">
                  <c:v>148.91713661685429</c:v>
                </c:pt>
                <c:pt idx="867">
                  <c:v>147.14143585230923</c:v>
                </c:pt>
                <c:pt idx="868">
                  <c:v>145.39020771261369</c:v>
                </c:pt>
                <c:pt idx="869">
                  <c:v>143.66286004909651</c:v>
                </c:pt>
                <c:pt idx="870">
                  <c:v>141.95882305203233</c:v>
                </c:pt>
                <c:pt idx="871">
                  <c:v>140.27754836025829</c:v>
                </c:pt>
                <c:pt idx="872">
                  <c:v>138.6185082198898</c:v>
                </c:pt>
                <c:pt idx="873">
                  <c:v>136.98119468931557</c:v>
                </c:pt>
                <c:pt idx="874">
                  <c:v>135.36511888784881</c:v>
                </c:pt>
                <c:pt idx="875">
                  <c:v>133.76981028559536</c:v>
                </c:pt>
                <c:pt idx="876">
                  <c:v>132.19481603226592</c:v>
                </c:pt>
                <c:pt idx="877">
                  <c:v>130.63970032281784</c:v>
                </c:pt>
                <c:pt idx="878">
                  <c:v>129.10404379795423</c:v>
                </c:pt>
                <c:pt idx="879">
                  <c:v>127.58744297764385</c:v>
                </c:pt>
                <c:pt idx="880">
                  <c:v>126.08950972594847</c:v>
                </c:pt>
                <c:pt idx="881">
                  <c:v>124.60987074555919</c:v>
                </c:pt>
                <c:pt idx="882">
                  <c:v>123.14816710055096</c:v>
                </c:pt>
                <c:pt idx="883">
                  <c:v>121.70405376596294</c:v>
                </c:pt>
                <c:pt idx="884">
                  <c:v>120.27719920290444</c:v>
                </c:pt>
                <c:pt idx="885">
                  <c:v>118.86728495797215</c:v>
                </c:pt>
                <c:pt idx="886">
                  <c:v>117.47400528584299</c:v>
                </c:pt>
                <c:pt idx="887">
                  <c:v>116.09706679398089</c:v>
                </c:pt>
                <c:pt idx="888">
                  <c:v>114.73618810846406</c:v>
                </c:pt>
                <c:pt idx="889">
                  <c:v>113.39109956000276</c:v>
                </c:pt>
                <c:pt idx="890">
                  <c:v>112.06154288927554</c:v>
                </c:pt>
                <c:pt idx="891">
                  <c:v>110.74727097076723</c:v>
                </c:pt>
                <c:pt idx="892">
                  <c:v>109.44804755434053</c:v>
                </c:pt>
                <c:pt idx="893">
                  <c:v>108.16364702382077</c:v>
                </c:pt>
                <c:pt idx="894">
                  <c:v>106.89385417191396</c:v>
                </c:pt>
                <c:pt idx="895">
                  <c:v>105.63846399081797</c:v>
                </c:pt>
                <c:pt idx="896">
                  <c:v>104.39728147792152</c:v>
                </c:pt>
                <c:pt idx="897">
                  <c:v>103.17012145601684</c:v>
                </c:pt>
                <c:pt idx="898">
                  <c:v>101.95680840748071</c:v>
                </c:pt>
                <c:pt idx="899">
                  <c:v>100.75717632190315</c:v>
                </c:pt>
                <c:pt idx="900">
                  <c:v>99.571068556665153</c:v>
                </c:pt>
                <c:pt idx="901">
                  <c:v>98.39833770998473</c:v>
                </c:pt>
                <c:pt idx="902">
                  <c:v>97.238845505966268</c:v>
                </c:pt>
                <c:pt idx="903">
                  <c:v>96.092462691199628</c:v>
                </c:pt>
                <c:pt idx="904">
                  <c:v>94.959068942463944</c:v>
                </c:pt>
                <c:pt idx="905">
                  <c:v>93.83855278509624</c:v>
                </c:pt>
                <c:pt idx="906">
                  <c:v>92.730811521586034</c:v>
                </c:pt>
                <c:pt idx="907">
                  <c:v>91.635751169955</c:v>
                </c:pt>
                <c:pt idx="908">
                  <c:v>90.553286411474673</c:v>
                </c:pt>
                <c:pt idx="909">
                  <c:v>89.483340547264802</c:v>
                </c:pt>
                <c:pt idx="910">
                  <c:v>88.425845463300774</c:v>
                </c:pt>
                <c:pt idx="911">
                  <c:v>87.380741603339885</c:v>
                </c:pt>
                <c:pt idx="912">
                  <c:v>86.347977949252524</c:v>
                </c:pt>
                <c:pt idx="913">
                  <c:v>85.327512008216786</c:v>
                </c:pt>
                <c:pt idx="914">
                  <c:v>84.319309806201574</c:v>
                </c:pt>
                <c:pt idx="915">
                  <c:v>83.323345887124376</c:v>
                </c:pt>
                <c:pt idx="916">
                  <c:v>82.339603317026857</c:v>
                </c:pt>
                <c:pt idx="917">
                  <c:v>81.368073692560714</c:v>
                </c:pt>
                <c:pt idx="918">
                  <c:v>80.408757153021341</c:v>
                </c:pt>
                <c:pt idx="919">
                  <c:v>79.461662395104312</c:v>
                </c:pt>
                <c:pt idx="920">
                  <c:v>78.526806689491892</c:v>
                </c:pt>
                <c:pt idx="921">
                  <c:v>77.604215898302115</c:v>
                </c:pt>
                <c:pt idx="922">
                  <c:v>76.693924492351471</c:v>
                </c:pt>
                <c:pt idx="923">
                  <c:v>75.79597556709453</c:v>
                </c:pt>
                <c:pt idx="924">
                  <c:v>74.910420856010148</c:v>
                </c:pt>
                <c:pt idx="925">
                  <c:v>74.037320740102217</c:v>
                </c:pt>
                <c:pt idx="926">
                  <c:v>73.176744252077782</c:v>
                </c:pt>
                <c:pt idx="927">
                  <c:v>72.328769073652268</c:v>
                </c:pt>
                <c:pt idx="928">
                  <c:v>71.493481524315229</c:v>
                </c:pt>
                <c:pt idx="929">
                  <c:v>70.670976539769043</c:v>
                </c:pt>
                <c:pt idx="930">
                  <c:v>69.861357638129107</c:v>
                </c:pt>
                <c:pt idx="931">
                  <c:v>69.064736871848538</c:v>
                </c:pt>
                <c:pt idx="932">
                  <c:v>68.281234763205163</c:v>
                </c:pt>
                <c:pt idx="933">
                  <c:v>67.510980221065083</c:v>
                </c:pt>
                <c:pt idx="934">
                  <c:v>66.754110436517948</c:v>
                </c:pt>
                <c:pt idx="935">
                  <c:v>66.010770754867096</c:v>
                </c:pt>
                <c:pt idx="936">
                  <c:v>65.281114521355946</c:v>
                </c:pt>
                <c:pt idx="937">
                  <c:v>64.565302897923459</c:v>
                </c:pt>
                <c:pt idx="938">
                  <c:v>63.863504648211382</c:v>
                </c:pt>
                <c:pt idx="939">
                  <c:v>63.175895887997022</c:v>
                </c:pt>
                <c:pt idx="940">
                  <c:v>62.50265979820427</c:v>
                </c:pt>
                <c:pt idx="941">
                  <c:v>61.843986297655022</c:v>
                </c:pt>
                <c:pt idx="942">
                  <c:v>61.200071672771998</c:v>
                </c:pt>
                <c:pt idx="943">
                  <c:v>60.57111816153423</c:v>
                </c:pt>
                <c:pt idx="944">
                  <c:v>59.957333489126846</c:v>
                </c:pt>
                <c:pt idx="945">
                  <c:v>59.358930352921476</c:v>
                </c:pt>
                <c:pt idx="946">
                  <c:v>58.77612585467881</c:v>
                </c:pt>
                <c:pt idx="947">
                  <c:v>58.20914087818543</c:v>
                </c:pt>
                <c:pt idx="948">
                  <c:v>57.658199410927878</c:v>
                </c:pt>
                <c:pt idx="949">
                  <c:v>57.123527808871245</c:v>
                </c:pt>
                <c:pt idx="950">
                  <c:v>56.605354003950005</c:v>
                </c:pt>
                <c:pt idx="951">
                  <c:v>56.103906654496171</c:v>
                </c:pt>
                <c:pt idx="952">
                  <c:v>55.619414239523067</c:v>
                </c:pt>
                <c:pt idx="953">
                  <c:v>55.152104098549067</c:v>
                </c:pt>
                <c:pt idx="954">
                  <c:v>54.70220141947847</c:v>
                </c:pt>
                <c:pt idx="955">
                  <c:v>54.269928177948962</c:v>
                </c:pt>
                <c:pt idx="956">
                  <c:v>53.855502032494087</c:v>
                </c:pt>
                <c:pt idx="957">
                  <c:v>53.459135180842118</c:v>
                </c:pt>
                <c:pt idx="958">
                  <c:v>53.081033183661198</c:v>
                </c:pt>
                <c:pt idx="959">
                  <c:v>52.721393763045249</c:v>
                </c:pt>
                <c:pt idx="960">
                  <c:v>52.38040558399269</c:v>
                </c:pt>
                <c:pt idx="961">
                  <c:v>52.058247028035865</c:v>
                </c:pt>
                <c:pt idx="962">
                  <c:v>51.755084969006361</c:v>
                </c:pt>
                <c:pt idx="963">
                  <c:v>51.471073561643585</c:v>
                </c:pt>
                <c:pt idx="964">
                  <c:v>51.206353054342522</c:v>
                </c:pt>
                <c:pt idx="965">
                  <c:v>50.961048637767121</c:v>
                </c:pt>
                <c:pt idx="966">
                  <c:v>50.735269341302839</c:v>
                </c:pt>
                <c:pt idx="967">
                  <c:v>50.529106989366198</c:v>
                </c:pt>
                <c:pt idx="968">
                  <c:v>50.342635229414007</c:v>
                </c:pt>
                <c:pt idx="969">
                  <c:v>50.175908643090182</c:v>
                </c:pt>
                <c:pt idx="970">
                  <c:v>50.028961951309675</c:v>
                </c:pt>
                <c:pt idx="971">
                  <c:v>49.901809323209214</c:v>
                </c:pt>
                <c:pt idx="972">
                  <c:v>49.794443797804618</c:v>
                </c:pt>
                <c:pt idx="973">
                  <c:v>49.706836825901206</c:v>
                </c:pt>
                <c:pt idx="974">
                  <c:v>49.638937938332283</c:v>
                </c:pt>
                <c:pt idx="975">
                  <c:v>49.590674544982427</c:v>
                </c:pt>
                <c:pt idx="976">
                  <c:v>49.561951867323351</c:v>
                </c:pt>
                <c:pt idx="977">
                  <c:v>49.552653005392457</c:v>
                </c:pt>
                <c:pt idx="978">
                  <c:v>49.562639138319703</c:v>
                </c:pt>
                <c:pt idx="979">
                  <c:v>49.591749855704151</c:v>
                </c:pt>
                <c:pt idx="980">
                  <c:v>49.639803615398847</c:v>
                </c:pt>
                <c:pt idx="981">
                  <c:v>49.706598321625755</c:v>
                </c:pt>
                <c:pt idx="982">
                  <c:v>49.791912015846762</c:v>
                </c:pt>
                <c:pt idx="983">
                  <c:v>49.895503671496719</c:v>
                </c:pt>
                <c:pt idx="984">
                  <c:v>50.017114082565129</c:v>
                </c:pt>
                <c:pt idx="985">
                  <c:v>50.156466835113996</c:v>
                </c:pt>
                <c:pt idx="986">
                  <c:v>50.313269350152432</c:v>
                </c:pt>
                <c:pt idx="987">
                  <c:v>50.487213985857828</c:v>
                </c:pt>
                <c:pt idx="988">
                  <c:v>50.677979186935993</c:v>
                </c:pt>
                <c:pt idx="989">
                  <c:v>50.885230668939357</c:v>
                </c:pt>
                <c:pt idx="990">
                  <c:v>51.108622625596958</c:v>
                </c:pt>
                <c:pt idx="991">
                  <c:v>51.347798947633777</c:v>
                </c:pt>
                <c:pt idx="992">
                  <c:v>51.602394442145055</c:v>
                </c:pt>
                <c:pt idx="993">
                  <c:v>51.872036042317831</c:v>
                </c:pt>
                <c:pt idx="994">
                  <c:v>52.156343998129522</c:v>
                </c:pt>
                <c:pt idx="995">
                  <c:v>52.454933039574009</c:v>
                </c:pt>
                <c:pt idx="996">
                  <c:v>52.767413504941558</c:v>
                </c:pt>
                <c:pt idx="997">
                  <c:v>53.093392427685238</c:v>
                </c:pt>
                <c:pt idx="998">
                  <c:v>53.432474576418812</c:v>
                </c:pt>
                <c:pt idx="999">
                  <c:v>53.784263443588529</c:v>
                </c:pt>
                <c:pt idx="1000">
                  <c:v>54.148362179325851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Calculs!$AG$4:$AG$1004</c:f>
              <c:numCache>
                <c:formatCode>0.00</c:formatCode>
                <c:ptCount val="1001"/>
                <c:pt idx="0">
                  <c:v>0</c:v>
                </c:pt>
                <c:pt idx="1">
                  <c:v>0</c:v>
                </c:pt>
                <c:pt idx="2">
                  <c:v>16.450781312395858</c:v>
                </c:pt>
                <c:pt idx="3">
                  <c:v>33.74634601388707</c:v>
                </c:pt>
                <c:pt idx="4">
                  <c:v>51.057130819298123</c:v>
                </c:pt>
                <c:pt idx="5">
                  <c:v>61.71583367460542</c:v>
                </c:pt>
                <c:pt idx="6">
                  <c:v>65.712827667333471</c:v>
                </c:pt>
                <c:pt idx="7">
                  <c:v>69.714999534845148</c:v>
                </c:pt>
                <c:pt idx="8">
                  <c:v>73.722588376472899</c:v>
                </c:pt>
                <c:pt idx="9">
                  <c:v>75.919652762774035</c:v>
                </c:pt>
                <c:pt idx="10">
                  <c:v>76.302545226788496</c:v>
                </c:pt>
                <c:pt idx="11">
                  <c:v>76.685594363447635</c:v>
                </c:pt>
                <c:pt idx="12">
                  <c:v>77.068796673132042</c:v>
                </c:pt>
                <c:pt idx="13">
                  <c:v>77.452148619004717</c:v>
                </c:pt>
                <c:pt idx="14">
                  <c:v>77.835646626958251</c:v>
                </c:pt>
                <c:pt idx="15">
                  <c:v>78.21928708556409</c:v>
                </c:pt>
                <c:pt idx="16">
                  <c:v>78.603066346024008</c:v>
                </c:pt>
                <c:pt idx="17">
                  <c:v>78.986980722123661</c:v>
                </c:pt>
                <c:pt idx="18">
                  <c:v>79.37102649018847</c:v>
                </c:pt>
                <c:pt idx="19">
                  <c:v>79.755199889041663</c:v>
                </c:pt>
                <c:pt idx="20">
                  <c:v>80.139497119964616</c:v>
                </c:pt>
                <c:pt idx="21">
                  <c:v>80.396643871596197</c:v>
                </c:pt>
                <c:pt idx="22">
                  <c:v>80.46270209885374</c:v>
                </c:pt>
                <c:pt idx="23">
                  <c:v>80.528385875530375</c:v>
                </c:pt>
                <c:pt idx="24">
                  <c:v>80.593693582881329</c:v>
                </c:pt>
                <c:pt idx="25">
                  <c:v>80.658623608278376</c:v>
                </c:pt>
                <c:pt idx="26">
                  <c:v>80.723174345296727</c:v>
                </c:pt>
                <c:pt idx="27">
                  <c:v>80.787344193801715</c:v>
                </c:pt>
                <c:pt idx="28">
                  <c:v>80.851131560035412</c:v>
                </c:pt>
                <c:pt idx="29">
                  <c:v>80.914534856703469</c:v>
                </c:pt>
                <c:pt idx="30">
                  <c:v>80.97755250306146</c:v>
                </c:pt>
                <c:pt idx="31">
                  <c:v>81.040182925001645</c:v>
                </c:pt>
                <c:pt idx="32">
                  <c:v>81.102424555139251</c:v>
                </c:pt>
                <c:pt idx="33">
                  <c:v>81.16427583289898</c:v>
                </c:pt>
                <c:pt idx="34">
                  <c:v>81.225735204601222</c:v>
                </c:pt>
                <c:pt idx="35">
                  <c:v>81.286801123548358</c:v>
                </c:pt>
                <c:pt idx="36">
                  <c:v>81.34747205011081</c:v>
                </c:pt>
                <c:pt idx="37">
                  <c:v>81.407746451813054</c:v>
                </c:pt>
                <c:pt idx="38">
                  <c:v>81.469986181072557</c:v>
                </c:pt>
                <c:pt idx="39">
                  <c:v>81.531813642104652</c:v>
                </c:pt>
                <c:pt idx="40">
                  <c:v>81.59318773200765</c:v>
                </c:pt>
                <c:pt idx="41">
                  <c:v>81.654109418450346</c:v>
                </c:pt>
                <c:pt idx="42">
                  <c:v>81.714579492796886</c:v>
                </c:pt>
                <c:pt idx="43">
                  <c:v>81.774598588214815</c:v>
                </c:pt>
                <c:pt idx="44">
                  <c:v>81.834167195604721</c:v>
                </c:pt>
                <c:pt idx="45">
                  <c:v>81.893285677661808</c:v>
                </c:pt>
                <c:pt idx="46">
                  <c:v>81.980270429534869</c:v>
                </c:pt>
                <c:pt idx="47">
                  <c:v>82.073928418102653</c:v>
                </c:pt>
                <c:pt idx="48">
                  <c:v>82.167186324629114</c:v>
                </c:pt>
                <c:pt idx="49">
                  <c:v>82.260043618216486</c:v>
                </c:pt>
                <c:pt idx="50">
                  <c:v>82.352499688261062</c:v>
                </c:pt>
                <c:pt idx="51">
                  <c:v>82.444553851342093</c:v>
                </c:pt>
                <c:pt idx="52">
                  <c:v>82.536205357434497</c:v>
                </c:pt>
                <c:pt idx="53">
                  <c:v>82.627453395525436</c:v>
                </c:pt>
                <c:pt idx="54">
                  <c:v>82.718297098703829</c:v>
                </c:pt>
                <c:pt idx="55">
                  <c:v>82.808735548781996</c:v>
                </c:pt>
                <c:pt idx="56">
                  <c:v>82.898767780502283</c:v>
                </c:pt>
                <c:pt idx="57">
                  <c:v>82.988392785373264</c:v>
                </c:pt>
                <c:pt idx="58">
                  <c:v>83.07760951517561</c:v>
                </c:pt>
                <c:pt idx="59">
                  <c:v>83.166416885171969</c:v>
                </c:pt>
                <c:pt idx="60">
                  <c:v>83.254813777051751</c:v>
                </c:pt>
                <c:pt idx="61">
                  <c:v>83.342799041637605</c:v>
                </c:pt>
                <c:pt idx="62">
                  <c:v>83.430371501376939</c:v>
                </c:pt>
                <c:pt idx="63">
                  <c:v>83.517529952640444</c:v>
                </c:pt>
                <c:pt idx="64">
                  <c:v>83.604273167845093</c:v>
                </c:pt>
                <c:pt idx="65">
                  <c:v>83.690599897419077</c:v>
                </c:pt>
                <c:pt idx="66">
                  <c:v>83.776508871623122</c:v>
                </c:pt>
                <c:pt idx="67">
                  <c:v>83.861998802241047</c:v>
                </c:pt>
                <c:pt idx="68">
                  <c:v>83.947068384152132</c:v>
                </c:pt>
                <c:pt idx="69">
                  <c:v>84.472324948793045</c:v>
                </c:pt>
                <c:pt idx="70">
                  <c:v>85.186685694904938</c:v>
                </c:pt>
                <c:pt idx="71">
                  <c:v>85.901459122004752</c:v>
                </c:pt>
                <c:pt idx="72">
                  <c:v>86.616642100201332</c:v>
                </c:pt>
                <c:pt idx="73">
                  <c:v>87.332231384374452</c:v>
                </c:pt>
                <c:pt idx="74">
                  <c:v>88.048223613981634</c:v>
                </c:pt>
                <c:pt idx="75">
                  <c:v>88.764615312863896</c:v>
                </c:pt>
                <c:pt idx="76">
                  <c:v>89.481402889050671</c:v>
                </c:pt>
                <c:pt idx="77">
                  <c:v>89.385191554849058</c:v>
                </c:pt>
                <c:pt idx="78">
                  <c:v>88.939443352980561</c:v>
                </c:pt>
                <c:pt idx="79">
                  <c:v>88.492494549441574</c:v>
                </c:pt>
                <c:pt idx="80">
                  <c:v>88.044356560451021</c:v>
                </c:pt>
                <c:pt idx="81">
                  <c:v>87.595040808312206</c:v>
                </c:pt>
                <c:pt idx="82">
                  <c:v>87.14455872162614</c:v>
                </c:pt>
                <c:pt idx="83">
                  <c:v>86.692921735409328</c:v>
                </c:pt>
                <c:pt idx="84">
                  <c:v>86.240141291123962</c:v>
                </c:pt>
                <c:pt idx="85">
                  <c:v>85.786228836629306</c:v>
                </c:pt>
                <c:pt idx="86">
                  <c:v>85.441673896779889</c:v>
                </c:pt>
                <c:pt idx="87">
                  <c:v>85.538313504189802</c:v>
                </c:pt>
                <c:pt idx="88">
                  <c:v>85.634528905102883</c:v>
                </c:pt>
                <c:pt idx="89">
                  <c:v>85.730318384146841</c:v>
                </c:pt>
                <c:pt idx="90">
                  <c:v>85.825680225671135</c:v>
                </c:pt>
                <c:pt idx="91">
                  <c:v>85.920612714160086</c:v>
                </c:pt>
                <c:pt idx="92">
                  <c:v>86.015114134629954</c:v>
                </c:pt>
                <c:pt idx="93">
                  <c:v>86.109182773010673</c:v>
                </c:pt>
                <c:pt idx="94">
                  <c:v>86.202816916513299</c:v>
                </c:pt>
                <c:pt idx="95">
                  <c:v>86.296014853984147</c:v>
                </c:pt>
                <c:pt idx="96">
                  <c:v>86.388774876246174</c:v>
                </c:pt>
                <c:pt idx="97">
                  <c:v>86.481095276428732</c:v>
                </c:pt>
                <c:pt idx="98">
                  <c:v>86.572974350285989</c:v>
                </c:pt>
                <c:pt idx="99">
                  <c:v>86.664410396505119</c:v>
                </c:pt>
                <c:pt idx="100">
                  <c:v>86.755401717004403</c:v>
                </c:pt>
                <c:pt idx="101">
                  <c:v>86.845946617222154</c:v>
                </c:pt>
                <c:pt idx="102">
                  <c:v>86.93604340639682</c:v>
                </c:pt>
                <c:pt idx="103">
                  <c:v>87.025690397838986</c:v>
                </c:pt>
                <c:pt idx="104">
                  <c:v>87.114885909195166</c:v>
                </c:pt>
                <c:pt idx="105">
                  <c:v>87.203628262704598</c:v>
                </c:pt>
                <c:pt idx="106">
                  <c:v>87.291915785448765</c:v>
                </c:pt>
                <c:pt idx="107">
                  <c:v>87.379746809594536</c:v>
                </c:pt>
                <c:pt idx="108">
                  <c:v>87.46711967263073</c:v>
                </c:pt>
                <c:pt idx="109">
                  <c:v>87.554032717598901</c:v>
                </c:pt>
                <c:pt idx="110">
                  <c:v>87.640484293318465</c:v>
                </c:pt>
                <c:pt idx="111">
                  <c:v>87.726472754606405</c:v>
                </c:pt>
                <c:pt idx="112">
                  <c:v>87.811996462491891</c:v>
                </c:pt>
                <c:pt idx="113">
                  <c:v>87.89705378442595</c:v>
                </c:pt>
                <c:pt idx="114">
                  <c:v>87.981643094486728</c:v>
                </c:pt>
                <c:pt idx="115">
                  <c:v>88.06576277358009</c:v>
                </c:pt>
                <c:pt idx="116">
                  <c:v>88.149411209636128</c:v>
                </c:pt>
                <c:pt idx="117">
                  <c:v>88.232586797801673</c:v>
                </c:pt>
                <c:pt idx="118">
                  <c:v>88.315287940629005</c:v>
                </c:pt>
                <c:pt idx="119">
                  <c:v>88.397513048260734</c:v>
                </c:pt>
                <c:pt idx="120">
                  <c:v>88.479260538611371</c:v>
                </c:pt>
                <c:pt idx="121">
                  <c:v>88.560528837545405</c:v>
                </c:pt>
                <c:pt idx="122">
                  <c:v>88.641316379052213</c:v>
                </c:pt>
                <c:pt idx="123">
                  <c:v>88.721621605417894</c:v>
                </c:pt>
                <c:pt idx="124">
                  <c:v>88.801442967394138</c:v>
                </c:pt>
                <c:pt idx="125">
                  <c:v>88.880778924364208</c:v>
                </c:pt>
                <c:pt idx="126">
                  <c:v>88.959627944506195</c:v>
                </c:pt>
                <c:pt idx="127">
                  <c:v>89.037988504953802</c:v>
                </c:pt>
                <c:pt idx="128">
                  <c:v>89.115859091954192</c:v>
                </c:pt>
                <c:pt idx="129">
                  <c:v>89.193238201023902</c:v>
                </c:pt>
                <c:pt idx="130">
                  <c:v>89.270124337101933</c:v>
                </c:pt>
                <c:pt idx="131">
                  <c:v>89.346516014700939</c:v>
                </c:pt>
                <c:pt idx="132">
                  <c:v>89.422411758055887</c:v>
                </c:pt>
                <c:pt idx="133">
                  <c:v>89.497810101270872</c:v>
                </c:pt>
                <c:pt idx="134">
                  <c:v>89.572709588463567</c:v>
                </c:pt>
                <c:pt idx="135">
                  <c:v>89.647108773908087</c:v>
                </c:pt>
                <c:pt idx="136">
                  <c:v>89.721006222175362</c:v>
                </c:pt>
                <c:pt idx="137">
                  <c:v>89.794400508272119</c:v>
                </c:pt>
                <c:pt idx="138">
                  <c:v>89.867290217777878</c:v>
                </c:pt>
                <c:pt idx="139">
                  <c:v>89.93967394697988</c:v>
                </c:pt>
                <c:pt idx="140">
                  <c:v>90.0115503030068</c:v>
                </c:pt>
                <c:pt idx="141">
                  <c:v>90.082917903960279</c:v>
                </c:pt>
                <c:pt idx="142">
                  <c:v>90.153775379045214</c:v>
                </c:pt>
                <c:pt idx="143">
                  <c:v>90.224121368697965</c:v>
                </c:pt>
                <c:pt idx="144">
                  <c:v>90.293954524713627</c:v>
                </c:pt>
                <c:pt idx="145">
                  <c:v>90.363273510371016</c:v>
                </c:pt>
                <c:pt idx="146">
                  <c:v>90.432077000556902</c:v>
                </c:pt>
                <c:pt idx="147">
                  <c:v>90.500363681888061</c:v>
                </c:pt>
                <c:pt idx="148">
                  <c:v>90.568132252832442</c:v>
                </c:pt>
                <c:pt idx="149">
                  <c:v>90.635381423828591</c:v>
                </c:pt>
                <c:pt idx="150">
                  <c:v>90.702109917403831</c:v>
                </c:pt>
                <c:pt idx="151">
                  <c:v>90.768316468290934</c:v>
                </c:pt>
                <c:pt idx="152">
                  <c:v>90.833999823543564</c:v>
                </c:pt>
                <c:pt idx="153">
                  <c:v>90.899158742650428</c:v>
                </c:pt>
                <c:pt idx="154">
                  <c:v>90.96379199764786</c:v>
                </c:pt>
                <c:pt idx="155">
                  <c:v>91.027898373231523</c:v>
                </c:pt>
                <c:pt idx="156">
                  <c:v>91.091476666866384</c:v>
                </c:pt>
                <c:pt idx="157">
                  <c:v>91.154525688895887</c:v>
                </c:pt>
                <c:pt idx="158">
                  <c:v>91.217044262649495</c:v>
                </c:pt>
                <c:pt idx="159">
                  <c:v>91.279031224549215</c:v>
                </c:pt>
                <c:pt idx="160">
                  <c:v>91.340485424214904</c:v>
                </c:pt>
                <c:pt idx="161">
                  <c:v>91.401405724568193</c:v>
                </c:pt>
                <c:pt idx="162">
                  <c:v>91.46179100193558</c:v>
                </c:pt>
                <c:pt idx="163">
                  <c:v>91.521640146149878</c:v>
                </c:pt>
                <c:pt idx="164">
                  <c:v>91.580952060650901</c:v>
                </c:pt>
                <c:pt idx="165">
                  <c:v>91.639725662584738</c:v>
                </c:pt>
                <c:pt idx="166">
                  <c:v>91.697959882901912</c:v>
                </c:pt>
                <c:pt idx="167">
                  <c:v>91.755653666454535</c:v>
                </c:pt>
                <c:pt idx="168">
                  <c:v>91.812805972092136</c:v>
                </c:pt>
                <c:pt idx="169">
                  <c:v>91.869415772756497</c:v>
                </c:pt>
                <c:pt idx="170">
                  <c:v>91.92548205557523</c:v>
                </c:pt>
                <c:pt idx="171">
                  <c:v>91.981003821954346</c:v>
                </c:pt>
                <c:pt idx="172">
                  <c:v>92.035980087669657</c:v>
                </c:pt>
                <c:pt idx="173">
                  <c:v>92.090409882957076</c:v>
                </c:pt>
                <c:pt idx="174">
                  <c:v>92.144292252601801</c:v>
                </c:pt>
                <c:pt idx="175">
                  <c:v>92.197626256026339</c:v>
                </c:pt>
                <c:pt idx="176">
                  <c:v>92.250410967377547</c:v>
                </c:pt>
                <c:pt idx="177">
                  <c:v>92.302645475612508</c:v>
                </c:pt>
                <c:pt idx="178">
                  <c:v>92.354328884583254</c:v>
                </c:pt>
                <c:pt idx="179">
                  <c:v>92.405460313120386</c:v>
                </c:pt>
                <c:pt idx="180">
                  <c:v>92.45603889511591</c:v>
                </c:pt>
                <c:pt idx="181">
                  <c:v>92.506063779604375</c:v>
                </c:pt>
                <c:pt idx="182">
                  <c:v>92.555534130843554</c:v>
                </c:pt>
                <c:pt idx="183">
                  <c:v>92.604449128393597</c:v>
                </c:pt>
                <c:pt idx="184">
                  <c:v>92.652807967195272</c:v>
                </c:pt>
                <c:pt idx="185">
                  <c:v>92.700609857647095</c:v>
                </c:pt>
                <c:pt idx="186">
                  <c:v>92.747854025681406</c:v>
                </c:pt>
                <c:pt idx="187">
                  <c:v>92.794539712839224</c:v>
                </c:pt>
                <c:pt idx="188">
                  <c:v>92.840666176344044</c:v>
                </c:pt>
                <c:pt idx="189">
                  <c:v>92.886232689174847</c:v>
                </c:pt>
                <c:pt idx="190">
                  <c:v>92.931238540137414</c:v>
                </c:pt>
                <c:pt idx="191">
                  <c:v>92.975683033935212</c:v>
                </c:pt>
                <c:pt idx="192">
                  <c:v>93.019565491238552</c:v>
                </c:pt>
                <c:pt idx="193">
                  <c:v>93.062885248753247</c:v>
                </c:pt>
                <c:pt idx="194">
                  <c:v>93.105641659287699</c:v>
                </c:pt>
                <c:pt idx="195">
                  <c:v>93.147834091819206</c:v>
                </c:pt>
                <c:pt idx="196">
                  <c:v>93.189461931558881</c:v>
                </c:pt>
                <c:pt idx="197">
                  <c:v>93.230524580015782</c:v>
                </c:pt>
                <c:pt idx="198">
                  <c:v>93.271021455059682</c:v>
                </c:pt>
                <c:pt idx="199">
                  <c:v>93.310951990982844</c:v>
                </c:pt>
                <c:pt idx="200">
                  <c:v>93.350315638560772</c:v>
                </c:pt>
                <c:pt idx="201">
                  <c:v>93.38911186511163</c:v>
                </c:pt>
                <c:pt idx="202">
                  <c:v>93.427340154554699</c:v>
                </c:pt>
                <c:pt idx="203">
                  <c:v>93.465000007467793</c:v>
                </c:pt>
                <c:pt idx="204">
                  <c:v>93.502090941143294</c:v>
                </c:pt>
                <c:pt idx="205">
                  <c:v>93.538612489643427</c:v>
                </c:pt>
                <c:pt idx="206">
                  <c:v>93.574564203854109</c:v>
                </c:pt>
                <c:pt idx="207">
                  <c:v>93.609945651537757</c:v>
                </c:pt>
                <c:pt idx="208">
                  <c:v>93.644756417385125</c:v>
                </c:pt>
                <c:pt idx="209">
                  <c:v>93.678996103065757</c:v>
                </c:pt>
                <c:pt idx="210">
                  <c:v>93.712664327277579</c:v>
                </c:pt>
                <c:pt idx="211">
                  <c:v>93.745760725795137</c:v>
                </c:pt>
                <c:pt idx="212">
                  <c:v>93.778284951516795</c:v>
                </c:pt>
                <c:pt idx="213">
                  <c:v>93.810236674510861</c:v>
                </c:pt>
                <c:pt idx="214">
                  <c:v>93.841615582060385</c:v>
                </c:pt>
                <c:pt idx="215">
                  <c:v>93.87242137870706</c:v>
                </c:pt>
                <c:pt idx="216">
                  <c:v>93.902653786293726</c:v>
                </c:pt>
                <c:pt idx="217">
                  <c:v>93.932312544006024</c:v>
                </c:pt>
                <c:pt idx="218">
                  <c:v>93.961397408412537</c:v>
                </c:pt>
                <c:pt idx="219">
                  <c:v>93.989908153504118</c:v>
                </c:pt>
                <c:pt idx="220">
                  <c:v>94.017844570731924</c:v>
                </c:pt>
                <c:pt idx="221">
                  <c:v>94.04520646904416</c:v>
                </c:pt>
                <c:pt idx="222">
                  <c:v>94.071993674922027</c:v>
                </c:pt>
                <c:pt idx="223">
                  <c:v>94.098206032414055</c:v>
                </c:pt>
                <c:pt idx="224">
                  <c:v>94.12384340316963</c:v>
                </c:pt>
                <c:pt idx="225">
                  <c:v>94.148905666471251</c:v>
                </c:pt>
                <c:pt idx="226">
                  <c:v>94.173392719265593</c:v>
                </c:pt>
                <c:pt idx="227">
                  <c:v>94.197304476193338</c:v>
                </c:pt>
                <c:pt idx="228">
                  <c:v>94.220640869618066</c:v>
                </c:pt>
                <c:pt idx="229">
                  <c:v>94.243401849653623</c:v>
                </c:pt>
                <c:pt idx="230">
                  <c:v>94.265587384190766</c:v>
                </c:pt>
                <c:pt idx="231">
                  <c:v>94.287197458922222</c:v>
                </c:pt>
                <c:pt idx="232">
                  <c:v>94.308232077366711</c:v>
                </c:pt>
                <c:pt idx="233">
                  <c:v>94.3286912608921</c:v>
                </c:pt>
                <c:pt idx="234">
                  <c:v>94.34857504873662</c:v>
                </c:pt>
                <c:pt idx="235">
                  <c:v>94.36788349802994</c:v>
                </c:pt>
                <c:pt idx="236">
                  <c:v>94.386616683812036</c:v>
                </c:pt>
                <c:pt idx="237">
                  <c:v>94.404774699051657</c:v>
                </c:pt>
                <c:pt idx="238">
                  <c:v>94.422357654663159</c:v>
                </c:pt>
                <c:pt idx="239">
                  <c:v>94.439365679522325</c:v>
                </c:pt>
                <c:pt idx="240">
                  <c:v>94.455798920480945</c:v>
                </c:pt>
                <c:pt idx="241">
                  <c:v>94.471657542380328</c:v>
                </c:pt>
                <c:pt idx="242">
                  <c:v>94.486941728063456</c:v>
                </c:pt>
                <c:pt idx="243">
                  <c:v>94.50165167838604</c:v>
                </c:pt>
                <c:pt idx="244">
                  <c:v>94.983132832195892</c:v>
                </c:pt>
                <c:pt idx="245">
                  <c:v>95.464240294523108</c:v>
                </c:pt>
                <c:pt idx="246">
                  <c:v>95.944969296768505</c:v>
                </c:pt>
                <c:pt idx="247">
                  <c:v>96.425315031555641</c:v>
                </c:pt>
                <c:pt idx="248">
                  <c:v>96.905272652985943</c:v>
                </c:pt>
                <c:pt idx="249">
                  <c:v>97.384837276897528</c:v>
                </c:pt>
                <c:pt idx="250">
                  <c:v>97.86400398112815</c:v>
                </c:pt>
                <c:pt idx="251">
                  <c:v>98.342767805781392</c:v>
                </c:pt>
                <c:pt idx="252">
                  <c:v>98.821123753497076</c:v>
                </c:pt>
                <c:pt idx="253">
                  <c:v>99.040092639578802</c:v>
                </c:pt>
                <c:pt idx="254">
                  <c:v>98.999353637750062</c:v>
                </c:pt>
                <c:pt idx="255">
                  <c:v>98.957963171223767</c:v>
                </c:pt>
                <c:pt idx="256">
                  <c:v>98.915922712958903</c:v>
                </c:pt>
                <c:pt idx="257">
                  <c:v>98.873233757704838</c:v>
                </c:pt>
                <c:pt idx="258">
                  <c:v>98.829897821923851</c:v>
                </c:pt>
                <c:pt idx="259">
                  <c:v>98.785916443712694</c:v>
                </c:pt>
                <c:pt idx="260">
                  <c:v>98.741291182722051</c:v>
                </c:pt>
                <c:pt idx="261">
                  <c:v>98.696023620074953</c:v>
                </c:pt>
                <c:pt idx="262">
                  <c:v>98.650115358283173</c:v>
                </c:pt>
                <c:pt idx="263">
                  <c:v>98.603568021162573</c:v>
                </c:pt>
                <c:pt idx="264">
                  <c:v>98.556383253746375</c:v>
                </c:pt>
                <c:pt idx="265">
                  <c:v>98.508562722197539</c:v>
                </c:pt>
                <c:pt idx="266">
                  <c:v>98.460108113719031</c:v>
                </c:pt>
                <c:pt idx="267">
                  <c:v>98.411021136463177</c:v>
                </c:pt>
                <c:pt idx="268">
                  <c:v>98.361303519439048</c:v>
                </c:pt>
                <c:pt idx="269">
                  <c:v>98.310957012418811</c:v>
                </c:pt>
                <c:pt idx="270">
                  <c:v>98.259983385842062</c:v>
                </c:pt>
                <c:pt idx="271">
                  <c:v>98.208384430719491</c:v>
                </c:pt>
                <c:pt idx="272">
                  <c:v>98.156161958534312</c:v>
                </c:pt>
                <c:pt idx="273">
                  <c:v>98.103317801142936</c:v>
                </c:pt>
                <c:pt idx="274">
                  <c:v>98.049853810673696</c:v>
                </c:pt>
                <c:pt idx="275">
                  <c:v>97.99577185942475</c:v>
                </c:pt>
                <c:pt idx="276">
                  <c:v>97.94107383975981</c:v>
                </c:pt>
                <c:pt idx="277">
                  <c:v>97.873088120506296</c:v>
                </c:pt>
                <c:pt idx="278">
                  <c:v>97.78546160156418</c:v>
                </c:pt>
                <c:pt idx="279">
                  <c:v>97.697217020155193</c:v>
                </c:pt>
                <c:pt idx="280">
                  <c:v>97.608357065478515</c:v>
                </c:pt>
                <c:pt idx="281">
                  <c:v>97.518884445642783</c:v>
                </c:pt>
                <c:pt idx="282">
                  <c:v>97.428801887501706</c:v>
                </c:pt>
                <c:pt idx="283">
                  <c:v>97.338112136488363</c:v>
                </c:pt>
                <c:pt idx="284">
                  <c:v>97.246817956448197</c:v>
                </c:pt>
                <c:pt idx="285">
                  <c:v>97.154922129471203</c:v>
                </c:pt>
                <c:pt idx="286">
                  <c:v>97.062427455722684</c:v>
                </c:pt>
                <c:pt idx="287">
                  <c:v>96.969336753273069</c:v>
                </c:pt>
                <c:pt idx="288">
                  <c:v>96.875652857926596</c:v>
                </c:pt>
                <c:pt idx="289">
                  <c:v>96.781378623048909</c:v>
                </c:pt>
                <c:pt idx="290">
                  <c:v>96.686516919393767</c:v>
                </c:pt>
                <c:pt idx="291">
                  <c:v>96.591070634928514</c:v>
                </c:pt>
                <c:pt idx="292">
                  <c:v>96.495042674658606</c:v>
                </c:pt>
                <c:pt idx="293">
                  <c:v>96.398435960451422</c:v>
                </c:pt>
                <c:pt idx="294">
                  <c:v>96.301253430858608</c:v>
                </c:pt>
                <c:pt idx="295">
                  <c:v>96.20349804093793</c:v>
                </c:pt>
                <c:pt idx="296">
                  <c:v>96.105172762074218</c:v>
                </c:pt>
                <c:pt idx="297">
                  <c:v>96.006280581798833</c:v>
                </c:pt>
                <c:pt idx="298">
                  <c:v>95.906824503609101</c:v>
                </c:pt>
                <c:pt idx="299">
                  <c:v>95.806807546786047</c:v>
                </c:pt>
                <c:pt idx="300">
                  <c:v>95.706232746212166</c:v>
                </c:pt>
                <c:pt idx="301">
                  <c:v>95.605103152187468</c:v>
                </c:pt>
                <c:pt idx="302">
                  <c:v>95.503421830245458</c:v>
                </c:pt>
                <c:pt idx="303">
                  <c:v>95.401191860968041</c:v>
                </c:pt>
                <c:pt idx="304">
                  <c:v>95.29841633979953</c:v>
                </c:pt>
                <c:pt idx="305">
                  <c:v>95.195098376860287</c:v>
                </c:pt>
                <c:pt idx="306">
                  <c:v>95.09124109675929</c:v>
                </c:pt>
                <c:pt idx="307">
                  <c:v>94.98684763840636</c:v>
                </c:pt>
                <c:pt idx="308">
                  <c:v>94.881921154823289</c:v>
                </c:pt>
                <c:pt idx="309">
                  <c:v>94.776464812954757</c:v>
                </c:pt>
                <c:pt idx="310">
                  <c:v>94.670481793478373</c:v>
                </c:pt>
                <c:pt idx="311">
                  <c:v>94.563975290614081</c:v>
                </c:pt>
                <c:pt idx="312">
                  <c:v>94.456948511933234</c:v>
                </c:pt>
                <c:pt idx="313">
                  <c:v>94.34940467816682</c:v>
                </c:pt>
                <c:pt idx="314">
                  <c:v>94.241347023013176</c:v>
                </c:pt>
                <c:pt idx="315">
                  <c:v>94.132778792945459</c:v>
                </c:pt>
                <c:pt idx="316">
                  <c:v>94.023703247018233</c:v>
                </c:pt>
                <c:pt idx="317">
                  <c:v>93.914123656673851</c:v>
                </c:pt>
                <c:pt idx="318">
                  <c:v>93.804043305548262</c:v>
                </c:pt>
                <c:pt idx="319">
                  <c:v>93.69346548927642</c:v>
                </c:pt>
                <c:pt idx="320">
                  <c:v>93.582393515297198</c:v>
                </c:pt>
                <c:pt idx="321">
                  <c:v>93.470830702657992</c:v>
                </c:pt>
                <c:pt idx="322">
                  <c:v>93.358780381818917</c:v>
                </c:pt>
                <c:pt idx="323">
                  <c:v>93.246245894456706</c:v>
                </c:pt>
                <c:pt idx="324">
                  <c:v>93.133230593268053</c:v>
                </c:pt>
                <c:pt idx="325">
                  <c:v>93.019737841773008</c:v>
                </c:pt>
                <c:pt idx="326">
                  <c:v>92.905771014117647</c:v>
                </c:pt>
                <c:pt idx="327">
                  <c:v>92.791333494876866</c:v>
                </c:pt>
                <c:pt idx="328">
                  <c:v>92.676428678856723</c:v>
                </c:pt>
                <c:pt idx="329">
                  <c:v>92.561059970896466</c:v>
                </c:pt>
                <c:pt idx="330">
                  <c:v>92.445230785670589</c:v>
                </c:pt>
                <c:pt idx="331">
                  <c:v>92.328944547490465</c:v>
                </c:pt>
                <c:pt idx="332">
                  <c:v>92.212204690105963</c:v>
                </c:pt>
                <c:pt idx="333">
                  <c:v>92.095014656506876</c:v>
                </c:pt>
                <c:pt idx="334">
                  <c:v>91.977377898724114</c:v>
                </c:pt>
                <c:pt idx="335">
                  <c:v>91.859297877630908</c:v>
                </c:pt>
                <c:pt idx="336">
                  <c:v>91.740778062743985</c:v>
                </c:pt>
                <c:pt idx="337">
                  <c:v>91.621821932024446</c:v>
                </c:pt>
                <c:pt idx="338">
                  <c:v>91.5024329716788</c:v>
                </c:pt>
                <c:pt idx="339">
                  <c:v>91.382614675959772</c:v>
                </c:pt>
                <c:pt idx="340">
                  <c:v>91.262370546967446</c:v>
                </c:pt>
                <c:pt idx="341">
                  <c:v>91.14170409445002</c:v>
                </c:pt>
                <c:pt idx="342">
                  <c:v>91.020618835604765</c:v>
                </c:pt>
                <c:pt idx="343">
                  <c:v>90.899118294879102</c:v>
                </c:pt>
                <c:pt idx="344">
                  <c:v>90.788051896359107</c:v>
                </c:pt>
                <c:pt idx="345">
                  <c:v>90.77426900968446</c:v>
                </c:pt>
                <c:pt idx="346">
                  <c:v>90.760049800512505</c:v>
                </c:pt>
                <c:pt idx="347">
                  <c:v>90.745395646696451</c:v>
                </c:pt>
                <c:pt idx="348">
                  <c:v>90.730307938619987</c:v>
                </c:pt>
                <c:pt idx="349">
                  <c:v>90.714788079135204</c:v>
                </c:pt>
                <c:pt idx="350">
                  <c:v>90.698837483499389</c:v>
                </c:pt>
                <c:pt idx="351">
                  <c:v>90.682457579311858</c:v>
                </c:pt>
                <c:pt idx="352">
                  <c:v>90.665649806449622</c:v>
                </c:pt>
                <c:pt idx="353">
                  <c:v>90.64841561700257</c:v>
                </c:pt>
                <c:pt idx="354">
                  <c:v>90.630756475208102</c:v>
                </c:pt>
                <c:pt idx="355">
                  <c:v>90.612673857384991</c:v>
                </c:pt>
                <c:pt idx="356">
                  <c:v>90.594169251866759</c:v>
                </c:pt>
                <c:pt idx="357">
                  <c:v>90.575244158934254</c:v>
                </c:pt>
                <c:pt idx="358">
                  <c:v>90.55590009074794</c:v>
                </c:pt>
                <c:pt idx="359">
                  <c:v>90.536138571279125</c:v>
                </c:pt>
                <c:pt idx="360">
                  <c:v>90.515961136241003</c:v>
                </c:pt>
                <c:pt idx="361">
                  <c:v>90.495369333019042</c:v>
                </c:pt>
                <c:pt idx="362">
                  <c:v>90.474364720600349</c:v>
                </c:pt>
                <c:pt idx="363">
                  <c:v>90.452948869503231</c:v>
                </c:pt>
                <c:pt idx="364">
                  <c:v>90.431123361705346</c:v>
                </c:pt>
                <c:pt idx="365">
                  <c:v>90.408889790572118</c:v>
                </c:pt>
                <c:pt idx="366">
                  <c:v>90.386249760783798</c:v>
                </c:pt>
                <c:pt idx="367">
                  <c:v>90.363204888262672</c:v>
                </c:pt>
                <c:pt idx="368">
                  <c:v>90.339756800099124</c:v>
                </c:pt>
                <c:pt idx="369">
                  <c:v>90.315907134477698</c:v>
                </c:pt>
                <c:pt idx="370">
                  <c:v>90.291657540602131</c:v>
                </c:pt>
                <c:pt idx="371">
                  <c:v>90.267009678620454</c:v>
                </c:pt>
                <c:pt idx="372">
                  <c:v>90.241965219548831</c:v>
                </c:pt>
                <c:pt idx="373">
                  <c:v>90.14498759594855</c:v>
                </c:pt>
                <c:pt idx="374">
                  <c:v>90.0476499606402</c:v>
                </c:pt>
                <c:pt idx="375">
                  <c:v>89.949955388413272</c:v>
                </c:pt>
                <c:pt idx="376">
                  <c:v>89.851906959876274</c:v>
                </c:pt>
                <c:pt idx="377">
                  <c:v>89.75350776129693</c:v>
                </c:pt>
                <c:pt idx="378">
                  <c:v>89.654760884442595</c:v>
                </c:pt>
                <c:pt idx="379">
                  <c:v>89.555669426420437</c:v>
                </c:pt>
                <c:pt idx="380">
                  <c:v>89.456236489518076</c:v>
                </c:pt>
                <c:pt idx="381">
                  <c:v>89.356465181044015</c:v>
                </c:pt>
                <c:pt idx="382">
                  <c:v>89.25635861316853</c:v>
                </c:pt>
                <c:pt idx="383">
                  <c:v>89.155919902764722</c:v>
                </c:pt>
                <c:pt idx="384">
                  <c:v>89.055152171249517</c:v>
                </c:pt>
                <c:pt idx="385">
                  <c:v>88.954058544425266</c:v>
                </c:pt>
                <c:pt idx="386">
                  <c:v>88.852642152321067</c:v>
                </c:pt>
                <c:pt idx="387">
                  <c:v>88.750906129034831</c:v>
                </c:pt>
                <c:pt idx="388">
                  <c:v>88.648853612575152</c:v>
                </c:pt>
                <c:pt idx="389">
                  <c:v>88.546487744703683</c:v>
                </c:pt>
                <c:pt idx="390">
                  <c:v>88.443811670778075</c:v>
                </c:pt>
                <c:pt idx="391">
                  <c:v>88.34082853959427</c:v>
                </c:pt>
                <c:pt idx="392">
                  <c:v>88.237541503230318</c:v>
                </c:pt>
                <c:pt idx="393">
                  <c:v>88.133953716889437</c:v>
                </c:pt>
                <c:pt idx="394">
                  <c:v>88.030068338744044</c:v>
                </c:pt>
                <c:pt idx="395">
                  <c:v>87.925888529779982</c:v>
                </c:pt>
                <c:pt idx="396">
                  <c:v>87.821417453640905</c:v>
                </c:pt>
                <c:pt idx="397">
                  <c:v>87.716658276473268</c:v>
                </c:pt>
                <c:pt idx="398">
                  <c:v>87.611614166771631</c:v>
                </c:pt>
                <c:pt idx="399">
                  <c:v>87.506288295224252</c:v>
                </c:pt>
                <c:pt idx="400">
                  <c:v>87.400683834559274</c:v>
                </c:pt>
                <c:pt idx="401">
                  <c:v>87.294803959391004</c:v>
                </c:pt>
                <c:pt idx="402">
                  <c:v>87.188651846066961</c:v>
                </c:pt>
                <c:pt idx="403">
                  <c:v>87.082230672515365</c:v>
                </c:pt>
                <c:pt idx="404">
                  <c:v>86.975543618092587</c:v>
                </c:pt>
                <c:pt idx="405">
                  <c:v>86.868593863431784</c:v>
                </c:pt>
                <c:pt idx="406">
                  <c:v>86.761384590291442</c:v>
                </c:pt>
                <c:pt idx="407">
                  <c:v>86.653918981404587</c:v>
                </c:pt>
                <c:pt idx="408">
                  <c:v>86.546200220328672</c:v>
                </c:pt>
                <c:pt idx="409">
                  <c:v>86.356656599362481</c:v>
                </c:pt>
                <c:pt idx="410">
                  <c:v>86.146514170585434</c:v>
                </c:pt>
                <c:pt idx="411">
                  <c:v>85.936205629390116</c:v>
                </c:pt>
                <c:pt idx="412">
                  <c:v>85.725736293617004</c:v>
                </c:pt>
                <c:pt idx="413">
                  <c:v>85.5151114671838</c:v>
                </c:pt>
                <c:pt idx="414">
                  <c:v>85.304336439835055</c:v>
                </c:pt>
                <c:pt idx="415">
                  <c:v>85.093416486893943</c:v>
                </c:pt>
                <c:pt idx="416">
                  <c:v>84.882356869016775</c:v>
                </c:pt>
                <c:pt idx="417">
                  <c:v>84.671162831949758</c:v>
                </c:pt>
                <c:pt idx="418">
                  <c:v>84.459839606288682</c:v>
                </c:pt>
                <c:pt idx="419">
                  <c:v>84.248392407240857</c:v>
                </c:pt>
                <c:pt idx="420">
                  <c:v>84.036826434389724</c:v>
                </c:pt>
                <c:pt idx="421">
                  <c:v>83.825146871461996</c:v>
                </c:pt>
                <c:pt idx="422">
                  <c:v>83.613358886097629</c:v>
                </c:pt>
                <c:pt idx="423">
                  <c:v>83.401467629622005</c:v>
                </c:pt>
                <c:pt idx="424">
                  <c:v>83.189478236820989</c:v>
                </c:pt>
                <c:pt idx="425">
                  <c:v>82.977395825718531</c:v>
                </c:pt>
                <c:pt idx="426">
                  <c:v>82.76522549735698</c:v>
                </c:pt>
                <c:pt idx="427">
                  <c:v>82.55297233557971</c:v>
                </c:pt>
                <c:pt idx="428">
                  <c:v>82.340641406816815</c:v>
                </c:pt>
                <c:pt idx="429">
                  <c:v>82.128237759873144</c:v>
                </c:pt>
                <c:pt idx="430">
                  <c:v>81.915766425719113</c:v>
                </c:pt>
                <c:pt idx="431">
                  <c:v>81.70323241728417</c:v>
                </c:pt>
                <c:pt idx="432">
                  <c:v>81.490640729252817</c:v>
                </c:pt>
                <c:pt idx="433">
                  <c:v>81.27799633786347</c:v>
                </c:pt>
                <c:pt idx="434">
                  <c:v>81.065304200709875</c:v>
                </c:pt>
                <c:pt idx="435">
                  <c:v>80.852569256545237</c:v>
                </c:pt>
                <c:pt idx="436">
                  <c:v>80.639796425088832</c:v>
                </c:pt>
                <c:pt idx="437">
                  <c:v>80.426990606835801</c:v>
                </c:pt>
                <c:pt idx="438">
                  <c:v>80.214156682869003</c:v>
                </c:pt>
                <c:pt idx="439">
                  <c:v>80.001299514674059</c:v>
                </c:pt>
                <c:pt idx="440">
                  <c:v>79.788423943956886</c:v>
                </c:pt>
                <c:pt idx="441">
                  <c:v>79.575534792463657</c:v>
                </c:pt>
                <c:pt idx="442">
                  <c:v>79.362636861804219</c:v>
                </c:pt>
                <c:pt idx="443">
                  <c:v>79.149734933277145</c:v>
                </c:pt>
                <c:pt idx="444">
                  <c:v>78.936833767698516</c:v>
                </c:pt>
                <c:pt idx="445">
                  <c:v>78.723938105232548</c:v>
                </c:pt>
                <c:pt idx="446">
                  <c:v>78.511052665225634</c:v>
                </c:pt>
                <c:pt idx="447">
                  <c:v>78.29818214604235</c:v>
                </c:pt>
                <c:pt idx="448">
                  <c:v>78.085331224904806</c:v>
                </c:pt>
                <c:pt idx="449">
                  <c:v>77.872504557734473</c:v>
                </c:pt>
                <c:pt idx="450">
                  <c:v>77.659706778996366</c:v>
                </c:pt>
                <c:pt idx="451">
                  <c:v>77.446942501546346</c:v>
                </c:pt>
                <c:pt idx="452">
                  <c:v>77.23421631648111</c:v>
                </c:pt>
                <c:pt idx="453">
                  <c:v>77.021532792990342</c:v>
                </c:pt>
                <c:pt idx="454">
                  <c:v>76.808896478212247</c:v>
                </c:pt>
                <c:pt idx="455">
                  <c:v>76.596311897091169</c:v>
                </c:pt>
                <c:pt idx="456">
                  <c:v>76.383783552238341</c:v>
                </c:pt>
                <c:pt idx="457">
                  <c:v>76.171315923794893</c:v>
                </c:pt>
                <c:pt idx="458">
                  <c:v>75.958913469297869</c:v>
                </c:pt>
                <c:pt idx="459">
                  <c:v>75.746580623548766</c:v>
                </c:pt>
                <c:pt idx="460">
                  <c:v>75.534321798484427</c:v>
                </c:pt>
                <c:pt idx="461">
                  <c:v>75.322141383051388</c:v>
                </c:pt>
                <c:pt idx="462">
                  <c:v>75.110043743081732</c:v>
                </c:pt>
                <c:pt idx="463">
                  <c:v>74.898033221172753</c:v>
                </c:pt>
                <c:pt idx="464">
                  <c:v>74.686114136568222</c:v>
                </c:pt>
                <c:pt idx="465">
                  <c:v>74.474290785043195</c:v>
                </c:pt>
                <c:pt idx="466">
                  <c:v>74.262567438790398</c:v>
                </c:pt>
                <c:pt idx="467">
                  <c:v>74.050948346310591</c:v>
                </c:pt>
                <c:pt idx="468">
                  <c:v>73.839437732303836</c:v>
                </c:pt>
                <c:pt idx="469">
                  <c:v>73.628039797564981</c:v>
                </c:pt>
                <c:pt idx="470">
                  <c:v>73.4167587188807</c:v>
                </c:pt>
                <c:pt idx="471">
                  <c:v>73.205598648929424</c:v>
                </c:pt>
                <c:pt idx="472">
                  <c:v>72.994563716183933</c:v>
                </c:pt>
                <c:pt idx="473">
                  <c:v>72.783658024816191</c:v>
                </c:pt>
                <c:pt idx="474">
                  <c:v>72.572885654605258</c:v>
                </c:pt>
                <c:pt idx="475">
                  <c:v>72.362250660847181</c:v>
                </c:pt>
                <c:pt idx="476">
                  <c:v>72.151757074267735</c:v>
                </c:pt>
                <c:pt idx="477">
                  <c:v>71.941408900937589</c:v>
                </c:pt>
                <c:pt idx="478">
                  <c:v>71.731210122189935</c:v>
                </c:pt>
                <c:pt idx="479">
                  <c:v>71.521164694540929</c:v>
                </c:pt>
                <c:pt idx="480">
                  <c:v>71.311276549611961</c:v>
                </c:pt>
                <c:pt idx="481">
                  <c:v>71.101549594055086</c:v>
                </c:pt>
                <c:pt idx="482">
                  <c:v>70.891987709480503</c:v>
                </c:pt>
                <c:pt idx="483">
                  <c:v>70.682594752386706</c:v>
                </c:pt>
                <c:pt idx="484">
                  <c:v>70.473374554092985</c:v>
                </c:pt>
                <c:pt idx="485">
                  <c:v>70.264330920674198</c:v>
                </c:pt>
                <c:pt idx="486">
                  <c:v>70.055467632898299</c:v>
                </c:pt>
                <c:pt idx="487">
                  <c:v>69.846788446165974</c:v>
                </c:pt>
                <c:pt idx="488">
                  <c:v>69.638297090452724</c:v>
                </c:pt>
                <c:pt idx="489">
                  <c:v>69.429997270253622</c:v>
                </c:pt>
                <c:pt idx="490">
                  <c:v>69.221892664529975</c:v>
                </c:pt>
                <c:pt idx="491">
                  <c:v>69.01398692665849</c:v>
                </c:pt>
                <c:pt idx="492">
                  <c:v>68.806283684383118</c:v>
                </c:pt>
                <c:pt idx="493">
                  <c:v>68.59878653976871</c:v>
                </c:pt>
                <c:pt idx="494">
                  <c:v>68.391499069157319</c:v>
                </c:pt>
                <c:pt idx="495">
                  <c:v>68.18442482312652</c:v>
                </c:pt>
                <c:pt idx="496">
                  <c:v>67.977567326450583</c:v>
                </c:pt>
                <c:pt idx="497">
                  <c:v>67.744104502923008</c:v>
                </c:pt>
                <c:pt idx="498">
                  <c:v>67.48405465739819</c:v>
                </c:pt>
                <c:pt idx="499">
                  <c:v>67.224314553081058</c:v>
                </c:pt>
                <c:pt idx="500">
                  <c:v>66.964888505379406</c:v>
                </c:pt>
                <c:pt idx="501">
                  <c:v>66.705780792038922</c:v>
                </c:pt>
                <c:pt idx="502">
                  <c:v>66.446995653128027</c:v>
                </c:pt>
                <c:pt idx="503">
                  <c:v>66.18853729102608</c:v>
                </c:pt>
                <c:pt idx="504">
                  <c:v>65.930409870414294</c:v>
                </c:pt>
                <c:pt idx="505">
                  <c:v>65.672617518271124</c:v>
                </c:pt>
                <c:pt idx="506">
                  <c:v>65.415164323869689</c:v>
                </c:pt>
                <c:pt idx="507">
                  <c:v>65.158054338779436</c:v>
                </c:pt>
                <c:pt idx="508">
                  <c:v>64.901291576870506</c:v>
                </c:pt>
                <c:pt idx="509">
                  <c:v>64.644880014321231</c:v>
                </c:pt>
                <c:pt idx="510">
                  <c:v>64.388823589629638</c:v>
                </c:pt>
                <c:pt idx="511">
                  <c:v>64.13312620362656</c:v>
                </c:pt>
                <c:pt idx="512">
                  <c:v>63.877791719493537</c:v>
                </c:pt>
                <c:pt idx="513">
                  <c:v>63.622823962782689</c:v>
                </c:pt>
                <c:pt idx="514">
                  <c:v>63.368226721439783</c:v>
                </c:pt>
                <c:pt idx="515">
                  <c:v>63.114003745830949</c:v>
                </c:pt>
                <c:pt idx="516">
                  <c:v>62.860158748771489</c:v>
                </c:pt>
                <c:pt idx="517">
                  <c:v>62.606695405558412</c:v>
                </c:pt>
                <c:pt idx="518">
                  <c:v>62.353617354005415</c:v>
                </c:pt>
                <c:pt idx="519">
                  <c:v>62.100928194481043</c:v>
                </c:pt>
                <c:pt idx="520">
                  <c:v>61.848631489949319</c:v>
                </c:pt>
                <c:pt idx="521">
                  <c:v>61.596730766013749</c:v>
                </c:pt>
                <c:pt idx="522">
                  <c:v>61.345229510963996</c:v>
                </c:pt>
                <c:pt idx="523">
                  <c:v>61.094131175824423</c:v>
                </c:pt>
                <c:pt idx="524">
                  <c:v>60.843439174407216</c:v>
                </c:pt>
                <c:pt idx="525">
                  <c:v>60.593156883366227</c:v>
                </c:pt>
                <c:pt idx="526">
                  <c:v>60.343287642254886</c:v>
                </c:pt>
                <c:pt idx="527">
                  <c:v>60.093834753586222</c:v>
                </c:pt>
                <c:pt idx="528">
                  <c:v>59.844801482895299</c:v>
                </c:pt>
                <c:pt idx="529">
                  <c:v>59.596191058804706</c:v>
                </c:pt>
                <c:pt idx="530">
                  <c:v>59.348006673092371</c:v>
                </c:pt>
                <c:pt idx="531">
                  <c:v>59.100251480761884</c:v>
                </c:pt>
                <c:pt idx="532">
                  <c:v>58.852928600115177</c:v>
                </c:pt>
                <c:pt idx="533">
                  <c:v>58.606041112827839</c:v>
                </c:pt>
                <c:pt idx="534">
                  <c:v>58.359592064026934</c:v>
                </c:pt>
                <c:pt idx="535">
                  <c:v>58.113584462371094</c:v>
                </c:pt>
                <c:pt idx="536">
                  <c:v>57.868021280132645</c:v>
                </c:pt>
                <c:pt idx="537">
                  <c:v>57.622905453282883</c:v>
                </c:pt>
                <c:pt idx="538">
                  <c:v>57.378239881578622</c:v>
                </c:pt>
                <c:pt idx="539">
                  <c:v>57.13402742865194</c:v>
                </c:pt>
                <c:pt idx="540">
                  <c:v>56.890270922101372</c:v>
                </c:pt>
                <c:pt idx="541">
                  <c:v>56.646973153585996</c:v>
                </c:pt>
                <c:pt idx="542">
                  <c:v>56.40413687892125</c:v>
                </c:pt>
                <c:pt idx="543">
                  <c:v>56.161764818176863</c:v>
                </c:pt>
                <c:pt idx="544">
                  <c:v>55.919859655777117</c:v>
                </c:pt>
                <c:pt idx="545">
                  <c:v>55.67842404060324</c:v>
                </c:pt>
                <c:pt idx="546">
                  <c:v>55.437460586097288</c:v>
                </c:pt>
                <c:pt idx="547">
                  <c:v>55.196971870368991</c:v>
                </c:pt>
                <c:pt idx="548">
                  <c:v>54.956960436303461</c:v>
                </c:pt>
                <c:pt idx="549">
                  <c:v>54.717428791671729</c:v>
                </c:pt>
                <c:pt idx="550">
                  <c:v>54.459980118235052</c:v>
                </c:pt>
                <c:pt idx="551">
                  <c:v>54.160078658733866</c:v>
                </c:pt>
                <c:pt idx="552">
                  <c:v>53.86078720437709</c:v>
                </c:pt>
                <c:pt idx="553">
                  <c:v>53.562108920308503</c:v>
                </c:pt>
                <c:pt idx="554">
                  <c:v>53.26404692174038</c:v>
                </c:pt>
                <c:pt idx="555">
                  <c:v>52.966604274140792</c:v>
                </c:pt>
                <c:pt idx="556">
                  <c:v>52.669783993423586</c:v>
                </c:pt>
                <c:pt idx="557">
                  <c:v>52.373589046141475</c:v>
                </c:pt>
                <c:pt idx="558">
                  <c:v>52.078022349681511</c:v>
                </c:pt>
                <c:pt idx="559">
                  <c:v>51.783086772463747</c:v>
                </c:pt>
                <c:pt idx="560">
                  <c:v>51.488785134141906</c:v>
                </c:pt>
                <c:pt idx="561">
                  <c:v>51.195120205807392</c:v>
                </c:pt>
                <c:pt idx="562">
                  <c:v>50.902094710195065</c:v>
                </c:pt>
                <c:pt idx="563">
                  <c:v>50.609711321892242</c:v>
                </c:pt>
                <c:pt idx="564">
                  <c:v>50.317972667549512</c:v>
                </c:pt>
                <c:pt idx="565">
                  <c:v>50.026881326094575</c:v>
                </c:pt>
                <c:pt idx="566">
                  <c:v>49.736439828947631</c:v>
                </c:pt>
                <c:pt idx="567">
                  <c:v>49.446650660239783</c:v>
                </c:pt>
                <c:pt idx="568">
                  <c:v>49.157516257033336</c:v>
                </c:pt>
                <c:pt idx="569">
                  <c:v>48.869039009544345</c:v>
                </c:pt>
                <c:pt idx="570">
                  <c:v>48.581221261366942</c:v>
                </c:pt>
                <c:pt idx="571">
                  <c:v>48.294065309700628</c:v>
                </c:pt>
                <c:pt idx="572">
                  <c:v>48.007573405578512</c:v>
                </c:pt>
                <c:pt idx="573">
                  <c:v>47.721747754098551</c:v>
                </c:pt>
                <c:pt idx="574">
                  <c:v>47.436590514655634</c:v>
                </c:pt>
                <c:pt idx="575">
                  <c:v>47.152103801176935</c:v>
                </c:pt>
                <c:pt idx="576">
                  <c:v>46.868289682357464</c:v>
                </c:pt>
                <c:pt idx="577">
                  <c:v>46.585150181898918</c:v>
                </c:pt>
                <c:pt idx="578">
                  <c:v>46.302687278749048</c:v>
                </c:pt>
                <c:pt idx="579">
                  <c:v>46.020902907343924</c:v>
                </c:pt>
                <c:pt idx="580">
                  <c:v>45.739798957850681</c:v>
                </c:pt>
                <c:pt idx="581">
                  <c:v>45.459377276412376</c:v>
                </c:pt>
                <c:pt idx="582">
                  <c:v>45.17963966539476</c:v>
                </c:pt>
                <c:pt idx="583">
                  <c:v>44.900587883633918</c:v>
                </c:pt>
                <c:pt idx="584">
                  <c:v>44.622223646685498</c:v>
                </c:pt>
                <c:pt idx="585">
                  <c:v>44.344548627075945</c:v>
                </c:pt>
                <c:pt idx="586">
                  <c:v>44.067564454554031</c:v>
                </c:pt>
                <c:pt idx="587">
                  <c:v>43.791272716344928</c:v>
                </c:pt>
                <c:pt idx="588">
                  <c:v>43.5156749574044</c:v>
                </c:pt>
                <c:pt idx="589">
                  <c:v>43.240772680675136</c:v>
                </c:pt>
                <c:pt idx="590">
                  <c:v>42.966567347343833</c:v>
                </c:pt>
                <c:pt idx="591">
                  <c:v>42.693060377099194</c:v>
                </c:pt>
                <c:pt idx="592">
                  <c:v>42.42025314839173</c:v>
                </c:pt>
                <c:pt idx="593">
                  <c:v>42.148146998694074</c:v>
                </c:pt>
                <c:pt idx="594">
                  <c:v>41.876743224762251</c:v>
                </c:pt>
                <c:pt idx="595">
                  <c:v>41.606043082898488</c:v>
                </c:pt>
                <c:pt idx="596">
                  <c:v>41.336047789214227</c:v>
                </c:pt>
                <c:pt idx="597">
                  <c:v>41.06675851989462</c:v>
                </c:pt>
                <c:pt idx="598">
                  <c:v>40.798176411463459</c:v>
                </c:pt>
                <c:pt idx="599">
                  <c:v>40.53030256104941</c:v>
                </c:pt>
                <c:pt idx="600">
                  <c:v>40.263138026652342</c:v>
                </c:pt>
                <c:pt idx="601">
                  <c:v>39.996683827410976</c:v>
                </c:pt>
                <c:pt idx="602">
                  <c:v>39.730940943870998</c:v>
                </c:pt>
                <c:pt idx="603">
                  <c:v>39.465910318253577</c:v>
                </c:pt>
                <c:pt idx="604">
                  <c:v>39.20159285472517</c:v>
                </c:pt>
                <c:pt idx="605">
                  <c:v>38.937989419667076</c:v>
                </c:pt>
                <c:pt idx="606">
                  <c:v>38.675100841946161</c:v>
                </c:pt>
                <c:pt idx="607">
                  <c:v>38.412927913185776</c:v>
                </c:pt>
                <c:pt idx="608">
                  <c:v>38.151471388037137</c:v>
                </c:pt>
                <c:pt idx="609">
                  <c:v>37.890731984451399</c:v>
                </c:pt>
                <c:pt idx="610">
                  <c:v>37.630710383951794</c:v>
                </c:pt>
                <c:pt idx="611">
                  <c:v>37.371407231906204</c:v>
                </c:pt>
                <c:pt idx="612">
                  <c:v>36.946593615206702</c:v>
                </c:pt>
                <c:pt idx="613">
                  <c:v>36.522920256405413</c:v>
                </c:pt>
                <c:pt idx="614">
                  <c:v>36.100389217600835</c:v>
                </c:pt>
                <c:pt idx="615">
                  <c:v>35.679002475739246</c:v>
                </c:pt>
                <c:pt idx="616">
                  <c:v>35.258761923274271</c:v>
                </c:pt>
                <c:pt idx="617">
                  <c:v>34.839669368827458</c:v>
                </c:pt>
                <c:pt idx="618">
                  <c:v>34.421726537850525</c:v>
                </c:pt>
                <c:pt idx="619">
                  <c:v>34.00493507329022</c:v>
                </c:pt>
                <c:pt idx="620">
                  <c:v>33.589296536254274</c:v>
                </c:pt>
                <c:pt idx="621">
                  <c:v>33.174812406679749</c:v>
                </c:pt>
                <c:pt idx="622">
                  <c:v>32.76148408400222</c:v>
                </c:pt>
                <c:pt idx="623">
                  <c:v>32.349312887827217</c:v>
                </c:pt>
                <c:pt idx="624">
                  <c:v>31.938300058602508</c:v>
                </c:pt>
                <c:pt idx="625">
                  <c:v>31.528446758291782</c:v>
                </c:pt>
                <c:pt idx="626">
                  <c:v>31.119754071049186</c:v>
                </c:pt>
                <c:pt idx="627">
                  <c:v>30.712223003895403</c:v>
                </c:pt>
                <c:pt idx="628">
                  <c:v>30.30585448739404</c:v>
                </c:pt>
                <c:pt idx="629">
                  <c:v>29.900649376329035</c:v>
                </c:pt>
                <c:pt idx="630">
                  <c:v>29.496608450382908</c:v>
                </c:pt>
                <c:pt idx="631">
                  <c:v>29.093732414814962</c:v>
                </c:pt>
                <c:pt idx="632">
                  <c:v>28.692021901140734</c:v>
                </c:pt>
                <c:pt idx="633">
                  <c:v>28.291477467811134</c:v>
                </c:pt>
                <c:pt idx="634">
                  <c:v>27.892099600892102</c:v>
                </c:pt>
                <c:pt idx="635">
                  <c:v>27.493888714744212</c:v>
                </c:pt>
                <c:pt idx="636">
                  <c:v>27.096845152702578</c:v>
                </c:pt>
                <c:pt idx="637">
                  <c:v>26.700969187756346</c:v>
                </c:pt>
                <c:pt idx="638">
                  <c:v>26.306261023228448</c:v>
                </c:pt>
                <c:pt idx="639">
                  <c:v>25.912720793454366</c:v>
                </c:pt>
                <c:pt idx="640">
                  <c:v>25.52034856446139</c:v>
                </c:pt>
                <c:pt idx="641">
                  <c:v>25.129144334646774</c:v>
                </c:pt>
                <c:pt idx="642">
                  <c:v>24.739108035455558</c:v>
                </c:pt>
                <c:pt idx="643">
                  <c:v>24.350239532057813</c:v>
                </c:pt>
                <c:pt idx="644">
                  <c:v>23.962538624024941</c:v>
                </c:pt>
                <c:pt idx="645">
                  <c:v>23.576005046005456</c:v>
                </c:pt>
                <c:pt idx="646">
                  <c:v>22.725858266100296</c:v>
                </c:pt>
                <c:pt idx="647">
                  <c:v>21.826530682019552</c:v>
                </c:pt>
                <c:pt idx="648">
                  <c:v>20.929869423353811</c:v>
                </c:pt>
                <c:pt idx="649">
                  <c:v>20.035881377237722</c:v>
                </c:pt>
                <c:pt idx="650">
                  <c:v>19.144573093818462</c:v>
                </c:pt>
                <c:pt idx="651">
                  <c:v>18.255950789394749</c:v>
                </c:pt>
                <c:pt idx="652">
                  <c:v>17.37002034957429</c:v>
                </c:pt>
                <c:pt idx="653">
                  <c:v>16.486787332448351</c:v>
                </c:pt>
                <c:pt idx="654">
                  <c:v>15.606256971781342</c:v>
                </c:pt>
                <c:pt idx="655">
                  <c:v>14.728434180217091</c:v>
                </c:pt>
                <c:pt idx="656">
                  <c:v>13.853323552497384</c:v>
                </c:pt>
                <c:pt idx="657">
                  <c:v>12.980929368694412</c:v>
                </c:pt>
                <c:pt idx="658">
                  <c:v>12.111255597454571</c:v>
                </c:pt>
                <c:pt idx="659">
                  <c:v>11.244305899253272</c:v>
                </c:pt>
                <c:pt idx="660">
                  <c:v>10.380083629659728</c:v>
                </c:pt>
                <c:pt idx="661">
                  <c:v>9.5185918426108742</c:v>
                </c:pt>
                <c:pt idx="662">
                  <c:v>8.6598332936924773</c:v>
                </c:pt>
                <c:pt idx="663">
                  <c:v>7.8038104434284836</c:v>
                </c:pt>
                <c:pt idx="664">
                  <c:v>6.9505254605754061</c:v>
                </c:pt>
                <c:pt idx="665">
                  <c:v>6.0999802254224722</c:v>
                </c:pt>
                <c:pt idx="666">
                  <c:v>4.262925728426648</c:v>
                </c:pt>
                <c:pt idx="667">
                  <c:v>2.1843426177924208</c:v>
                </c:pt>
                <c:pt idx="668">
                  <c:v>0.11260672976662534</c:v>
                </c:pt>
                <c:pt idx="669">
                  <c:v>-1.952235781225772</c:v>
                </c:pt>
                <c:pt idx="670">
                  <c:v>-4.010140564413792</c:v>
                </c:pt>
                <c:pt idx="671">
                  <c:v>-6.0610650569083369</c:v>
                </c:pt>
                <c:pt idx="672">
                  <c:v>-8.1049684676037543</c:v>
                </c:pt>
                <c:pt idx="673">
                  <c:v>-10.141811760767293</c:v>
                </c:pt>
                <c:pt idx="674">
                  <c:v>-12.171557639330139</c:v>
                </c:pt>
                <c:pt idx="675">
                  <c:v>-14.194170527892084</c:v>
                </c:pt>
                <c:pt idx="676">
                  <c:v>-16.209616555455234</c:v>
                </c:pt>
                <c:pt idx="677">
                  <c:v>-18.217863537898118</c:v>
                </c:pt>
                <c:pt idx="678">
                  <c:v>-20.218880960204501</c:v>
                </c:pt>
                <c:pt idx="679">
                  <c:v>-22.212639958458723</c:v>
                </c:pt>
                <c:pt idx="680">
                  <c:v>-24.199113301621935</c:v>
                </c:pt>
                <c:pt idx="681">
                  <c:v>-26.178275373099709</c:v>
                </c:pt>
                <c:pt idx="682">
                  <c:v>-28.150102152115309</c:v>
                </c:pt>
                <c:pt idx="683">
                  <c:v>-30.11457119490051</c:v>
                </c:pt>
                <c:pt idx="684">
                  <c:v>-32.071661615715108</c:v>
                </c:pt>
                <c:pt idx="685">
                  <c:v>-34.021354067708565</c:v>
                </c:pt>
                <c:pt idx="686">
                  <c:v>-35.963630723634424</c:v>
                </c:pt>
                <c:pt idx="687">
                  <c:v>-37.898475256429712</c:v>
                </c:pt>
                <c:pt idx="688">
                  <c:v>-39.825872819670764</c:v>
                </c:pt>
                <c:pt idx="689">
                  <c:v>-41.74581002791637</c:v>
                </c:pt>
                <c:pt idx="690">
                  <c:v>-43.658274936949454</c:v>
                </c:pt>
                <c:pt idx="691">
                  <c:v>-45.56325702392855</c:v>
                </c:pt>
                <c:pt idx="692">
                  <c:v>-47.460747167458955</c:v>
                </c:pt>
                <c:pt idx="693">
                  <c:v>-49.350737627595137</c:v>
                </c:pt>
                <c:pt idx="694">
                  <c:v>-51.233222025783164</c:v>
                </c:pt>
                <c:pt idx="695">
                  <c:v>-53.108195324754959</c:v>
                </c:pt>
                <c:pt idx="696">
                  <c:v>-54.975653808382823</c:v>
                </c:pt>
                <c:pt idx="697">
                  <c:v>-56.83559506150474</c:v>
                </c:pt>
                <c:pt idx="698">
                  <c:v>-58.688017949729733</c:v>
                </c:pt>
                <c:pt idx="699">
                  <c:v>-60.532922599232279</c:v>
                </c:pt>
                <c:pt idx="700">
                  <c:v>-62.370310376545085</c:v>
                </c:pt>
                <c:pt idx="701">
                  <c:v>-64.200183868359062</c:v>
                </c:pt>
                <c:pt idx="702">
                  <c:v>-66.022546861339038</c:v>
                </c:pt>
                <c:pt idx="703">
                  <c:v>-67.837404321963874</c:v>
                </c:pt>
                <c:pt idx="704">
                  <c:v>-69.644762376398347</c:v>
                </c:pt>
                <c:pt idx="705">
                  <c:v>-71.444628290406328</c:v>
                </c:pt>
                <c:pt idx="706">
                  <c:v>-73.237010449311654</c:v>
                </c:pt>
                <c:pt idx="707">
                  <c:v>-75.021918338014956</c:v>
                </c:pt>
                <c:pt idx="708">
                  <c:v>-76.826352174011447</c:v>
                </c:pt>
                <c:pt idx="709">
                  <c:v>-78.866183918657327</c:v>
                </c:pt>
                <c:pt idx="710">
                  <c:v>-80.897294696786815</c:v>
                </c:pt>
                <c:pt idx="711">
                  <c:v>-82.919691540935318</c:v>
                </c:pt>
                <c:pt idx="712">
                  <c:v>-84.933382920016058</c:v>
                </c:pt>
                <c:pt idx="713">
                  <c:v>-86.938378713171844</c:v>
                </c:pt>
                <c:pt idx="714">
                  <c:v>-88.934690183699843</c:v>
                </c:pt>
                <c:pt idx="715">
                  <c:v>-90.922329953059773</c:v>
                </c:pt>
                <c:pt idx="716">
                  <c:v>-92.901311974975755</c:v>
                </c:pt>
                <c:pt idx="717">
                  <c:v>-94.871651509641282</c:v>
                </c:pt>
                <c:pt idx="718">
                  <c:v>-96.833365098038129</c:v>
                </c:pt>
                <c:pt idx="719">
                  <c:v>-98.78647053637718</c:v>
                </c:pt>
                <c:pt idx="720">
                  <c:v>-100.73098685067127</c:v>
                </c:pt>
                <c:pt idx="721">
                  <c:v>-102.66693427144837</c:v>
                </c:pt>
                <c:pt idx="722">
                  <c:v>-104.59433420861362</c:v>
                </c:pt>
                <c:pt idx="723">
                  <c:v>-106.51320922646804</c:v>
                </c:pt>
                <c:pt idx="724">
                  <c:v>-108.42358301889287</c:v>
                </c:pt>
                <c:pt idx="725">
                  <c:v>-113.75700630478583</c:v>
                </c:pt>
                <c:pt idx="726">
                  <c:v>-120.53383757641578</c:v>
                </c:pt>
                <c:pt idx="727">
                  <c:v>-119.91893962910333</c:v>
                </c:pt>
                <c:pt idx="728">
                  <c:v>-119.30899683313046</c:v>
                </c:pt>
                <c:pt idx="729">
                  <c:v>-118.70395550072975</c:v>
                </c:pt>
                <c:pt idx="730">
                  <c:v>-118.10376267402617</c:v>
                </c:pt>
                <c:pt idx="731">
                  <c:v>-117.50836611311023</c:v>
                </c:pt>
                <c:pt idx="732">
                  <c:v>-116.9177142843382</c:v>
                </c:pt>
                <c:pt idx="733">
                  <c:v>-116.33175634885505</c:v>
                </c:pt>
                <c:pt idx="734">
                  <c:v>-115.75044215133501</c:v>
                </c:pt>
                <c:pt idx="735">
                  <c:v>-115.17372220893478</c:v>
                </c:pt>
                <c:pt idx="736">
                  <c:v>-114.6015477004558</c:v>
                </c:pt>
                <c:pt idx="737">
                  <c:v>-114.0338704557097</c:v>
                </c:pt>
                <c:pt idx="738">
                  <c:v>-113.47064294508367</c:v>
                </c:pt>
                <c:pt idx="739">
                  <c:v>-112.91181826930061</c:v>
                </c:pt>
                <c:pt idx="740">
                  <c:v>-112.3573501493709</c:v>
                </c:pt>
                <c:pt idx="741">
                  <c:v>-111.80719291673057</c:v>
                </c:pt>
                <c:pt idx="742">
                  <c:v>-111.26130150356292</c:v>
                </c:pt>
                <c:pt idx="743">
                  <c:v>-110.71963143329882</c:v>
                </c:pt>
                <c:pt idx="744">
                  <c:v>-110.18213881129277</c:v>
                </c:pt>
                <c:pt idx="745">
                  <c:v>-109.64878031567022</c:v>
                </c:pt>
                <c:pt idx="746">
                  <c:v>-109.11951318834315</c:v>
                </c:pt>
                <c:pt idx="747">
                  <c:v>-108.59429522619001</c:v>
                </c:pt>
                <c:pt idx="748">
                  <c:v>-108.07308477239698</c:v>
                </c:pt>
                <c:pt idx="749">
                  <c:v>-107.55584070795631</c:v>
                </c:pt>
                <c:pt idx="750">
                  <c:v>-107.04252244331987</c:v>
                </c:pt>
                <c:pt idx="751">
                  <c:v>-106.53308991020327</c:v>
                </c:pt>
                <c:pt idx="752">
                  <c:v>-106.02750355353839</c:v>
                </c:pt>
                <c:pt idx="753">
                  <c:v>-105.52572432357096</c:v>
                </c:pt>
                <c:pt idx="754">
                  <c:v>-105.02771366809975</c:v>
                </c:pt>
                <c:pt idx="755">
                  <c:v>-104.53343352485562</c:v>
                </c:pt>
                <c:pt idx="756">
                  <c:v>-104.04284631401597</c:v>
                </c:pt>
                <c:pt idx="757">
                  <c:v>-103.55591493085346</c:v>
                </c:pt>
                <c:pt idx="758">
                  <c:v>-103.07260273851509</c:v>
                </c:pt>
                <c:pt idx="759">
                  <c:v>-102.59287356092921</c:v>
                </c:pt>
                <c:pt idx="760">
                  <c:v>-102.11669167583864</c:v>
                </c:pt>
                <c:pt idx="761">
                  <c:v>-101.64402180795616</c:v>
                </c:pt>
                <c:pt idx="762">
                  <c:v>-101.17482912224087</c:v>
                </c:pt>
                <c:pt idx="763">
                  <c:v>-100.70907921729241</c:v>
                </c:pt>
                <c:pt idx="764">
                  <c:v>-100.24673811886112</c:v>
                </c:pt>
                <c:pt idx="765">
                  <c:v>-99.787772273471077</c:v>
                </c:pt>
                <c:pt idx="766">
                  <c:v>-99.332148542155053</c:v>
                </c:pt>
                <c:pt idx="767">
                  <c:v>-98.879834194297672</c:v>
                </c:pt>
                <c:pt idx="768">
                  <c:v>-98.430796901585637</c:v>
                </c:pt>
                <c:pt idx="769">
                  <c:v>-97.985004732062478</c:v>
                </c:pt>
                <c:pt idx="770">
                  <c:v>-97.542426144285955</c:v>
                </c:pt>
                <c:pt idx="771">
                  <c:v>-97.103029981586005</c:v>
                </c:pt>
                <c:pt idx="772">
                  <c:v>-96.66678546642116</c:v>
                </c:pt>
                <c:pt idx="773">
                  <c:v>-96.233662194831638</c:v>
                </c:pt>
                <c:pt idx="774">
                  <c:v>-95.803630130987187</c:v>
                </c:pt>
                <c:pt idx="775">
                  <c:v>-95.376659601827825</c:v>
                </c:pt>
                <c:pt idx="776">
                  <c:v>-94.952721291795683</c:v>
                </c:pt>
                <c:pt idx="777">
                  <c:v>-94.53178623765595</c:v>
                </c:pt>
                <c:pt idx="778">
                  <c:v>-94.113825823405961</c:v>
                </c:pt>
                <c:pt idx="779">
                  <c:v>-93.698811775269377</c:v>
                </c:pt>
                <c:pt idx="780">
                  <c:v>-93.286716156775313</c:v>
                </c:pt>
                <c:pt idx="781">
                  <c:v>-92.877511363919709</c:v>
                </c:pt>
                <c:pt idx="782">
                  <c:v>-92.471170120407649</c:v>
                </c:pt>
                <c:pt idx="783">
                  <c:v>-92.067665472975619</c:v>
                </c:pt>
                <c:pt idx="784">
                  <c:v>-91.666970786791211</c:v>
                </c:pt>
                <c:pt idx="785">
                  <c:v>-91.269059740929606</c:v>
                </c:pt>
                <c:pt idx="786">
                  <c:v>-90.873906323924956</c:v>
                </c:pt>
                <c:pt idx="787">
                  <c:v>-90.481484829395555</c:v>
                </c:pt>
                <c:pt idx="788">
                  <c:v>-90.091769851740779</c:v>
                </c:pt>
                <c:pt idx="789">
                  <c:v>-89.70473628190949</c:v>
                </c:pt>
                <c:pt idx="790">
                  <c:v>-89.320359303237581</c:v>
                </c:pt>
                <c:pt idx="791">
                  <c:v>-88.938614387353567</c:v>
                </c:pt>
                <c:pt idx="792">
                  <c:v>-88.55947729015152</c:v>
                </c:pt>
                <c:pt idx="793">
                  <c:v>-88.182924047829545</c:v>
                </c:pt>
                <c:pt idx="794">
                  <c:v>-87.808930972992599</c:v>
                </c:pt>
                <c:pt idx="795">
                  <c:v>-87.43747465081853</c:v>
                </c:pt>
                <c:pt idx="796">
                  <c:v>-87.068531935286487</c:v>
                </c:pt>
                <c:pt idx="797">
                  <c:v>-86.702079945466039</c:v>
                </c:pt>
                <c:pt idx="798">
                  <c:v>-86.338096061866082</c:v>
                </c:pt>
                <c:pt idx="799">
                  <c:v>-85.97655792284263</c:v>
                </c:pt>
                <c:pt idx="800">
                  <c:v>-85.617443421064095</c:v>
                </c:pt>
                <c:pt idx="801">
                  <c:v>-85.260730700033236</c:v>
                </c:pt>
                <c:pt idx="802">
                  <c:v>-81.762725692143448</c:v>
                </c:pt>
                <c:pt idx="803">
                  <c:v>-78.491275869084077</c:v>
                </c:pt>
                <c:pt idx="804">
                  <c:v>-75.42695244254331</c:v>
                </c:pt>
                <c:pt idx="805">
                  <c:v>-72.552383937826235</c:v>
                </c:pt>
                <c:pt idx="806">
                  <c:v>-69.851998528596368</c:v>
                </c:pt>
                <c:pt idx="807">
                  <c:v>-67.311803427526456</c:v>
                </c:pt>
                <c:pt idx="808">
                  <c:v>-64.919195342490738</c:v>
                </c:pt>
                <c:pt idx="809">
                  <c:v>-62.662797079041297</c:v>
                </c:pt>
                <c:pt idx="810">
                  <c:v>-60.532316231839552</c:v>
                </c:pt>
                <c:pt idx="811">
                  <c:v>-58.51842260463058</c:v>
                </c:pt>
                <c:pt idx="812">
                  <c:v>-56.612641564421168</c:v>
                </c:pt>
                <c:pt idx="813">
                  <c:v>-54.807260997333501</c:v>
                </c:pt>
                <c:pt idx="814">
                  <c:v>-53.095249911939604</c:v>
                </c:pt>
                <c:pt idx="815">
                  <c:v>-51.47018704707483</c:v>
                </c:pt>
                <c:pt idx="816">
                  <c:v>-49.926198098086587</c:v>
                </c:pt>
                <c:pt idx="817">
                  <c:v>-48.457900388436855</c:v>
                </c:pt>
                <c:pt idx="818">
                  <c:v>-47.060353990707782</c:v>
                </c:pt>
                <c:pt idx="819">
                  <c:v>-45.729018448892461</c:v>
                </c:pt>
                <c:pt idx="820">
                  <c:v>-44.459714377644111</c:v>
                </c:pt>
                <c:pt idx="821">
                  <c:v>-43.248589318145036</c:v>
                </c:pt>
                <c:pt idx="822">
                  <c:v>-42.092087317880058</c:v>
                </c:pt>
                <c:pt idx="823">
                  <c:v>-40.986921775649918</c:v>
                </c:pt>
                <c:pt idx="824">
                  <c:v>-39.930051155923813</c:v>
                </c:pt>
                <c:pt idx="825">
                  <c:v>-38.918657229969583</c:v>
                </c:pt>
                <c:pt idx="826">
                  <c:v>-37.950125546656786</c:v>
                </c:pt>
                <c:pt idx="827">
                  <c:v>-37.022027874662875</c:v>
                </c:pt>
                <c:pt idx="828">
                  <c:v>-36.132106391076604</c:v>
                </c:pt>
                <c:pt idx="829">
                  <c:v>-35.278259419952633</c:v>
                </c:pt>
                <c:pt idx="830">
                  <c:v>-34.458528548949815</c:v>
                </c:pt>
                <c:pt idx="831">
                  <c:v>-33.671086973387816</c:v>
                </c:pt>
                <c:pt idx="832">
                  <c:v>-32.914228935383861</c:v>
                </c:pt>
                <c:pt idx="833">
                  <c:v>-32.186360141610358</c:v>
                </c:pt>
                <c:pt idx="834">
                  <c:v>-31.485989056998761</c:v>
                </c:pt>
                <c:pt idx="835">
                  <c:v>-30.811718983705983</c:v>
                </c:pt>
                <c:pt idx="836">
                  <c:v>-30.162240845111739</c:v>
                </c:pt>
                <c:pt idx="837">
                  <c:v>-29.536326603742104</c:v>
                </c:pt>
                <c:pt idx="838">
                  <c:v>-28.932823250000062</c:v>
                </c:pt>
                <c:pt idx="839">
                  <c:v>-28.35064730558237</c:v>
                </c:pt>
                <c:pt idx="840">
                  <c:v>-27.788779791607894</c:v>
                </c:pt>
                <c:pt idx="841">
                  <c:v>-27.246261616886553</c:v>
                </c:pt>
                <c:pt idx="842">
                  <c:v>-26.72218934652026</c:v>
                </c:pt>
                <c:pt idx="843">
                  <c:v>-26.215711315228212</c:v>
                </c:pt>
                <c:pt idx="844">
                  <c:v>-25.72602405350306</c:v>
                </c:pt>
                <c:pt idx="845">
                  <c:v>-25.252368997990729</c:v>
                </c:pt>
                <c:pt idx="846">
                  <c:v>-24.794029460401298</c:v>
                </c:pt>
                <c:pt idx="847">
                  <c:v>-24.350327831844993</c:v>
                </c:pt>
                <c:pt idx="848">
                  <c:v>-23.920623001787533</c:v>
                </c:pt>
                <c:pt idx="849">
                  <c:v>-23.504307972866727</c:v>
                </c:pt>
                <c:pt idx="850">
                  <c:v>-23.100807654638018</c:v>
                </c:pt>
                <c:pt idx="851">
                  <c:v>-22.709576820946399</c:v>
                </c:pt>
                <c:pt idx="852">
                  <c:v>-22.330098217078685</c:v>
                </c:pt>
                <c:pt idx="853">
                  <c:v>-21.961880804154458</c:v>
                </c:pt>
                <c:pt idx="854">
                  <c:v>-21.604458129381797</c:v>
                </c:pt>
                <c:pt idx="855">
                  <c:v>-21.257386811852918</c:v>
                </c:pt>
                <c:pt idx="856">
                  <c:v>-20.920245134495698</c:v>
                </c:pt>
                <c:pt idx="857">
                  <c:v>-20.592631733644637</c:v>
                </c:pt>
                <c:pt idx="858">
                  <c:v>-20.274164378456724</c:v>
                </c:pt>
                <c:pt idx="859">
                  <c:v>-19.964478833085131</c:v>
                </c:pt>
                <c:pt idx="860">
                  <c:v>-19.663227795143619</c:v>
                </c:pt>
                <c:pt idx="861">
                  <c:v>-19.370079904554764</c:v>
                </c:pt>
                <c:pt idx="862">
                  <c:v>-19.084718817381312</c:v>
                </c:pt>
                <c:pt idx="863">
                  <c:v>-18.806842339698658</c:v>
                </c:pt>
                <c:pt idx="864">
                  <c:v>-18.536161616981591</c:v>
                </c:pt>
                <c:pt idx="865">
                  <c:v>-18.272400374855167</c:v>
                </c:pt>
                <c:pt idx="866">
                  <c:v>-18.015294207401567</c:v>
                </c:pt>
                <c:pt idx="867">
                  <c:v>-17.76458990952559</c:v>
                </c:pt>
                <c:pt idx="868">
                  <c:v>-17.520044850163963</c:v>
                </c:pt>
                <c:pt idx="869">
                  <c:v>-17.281426383380932</c:v>
                </c:pt>
                <c:pt idx="870">
                  <c:v>-17.048511294627396</c:v>
                </c:pt>
                <c:pt idx="871">
                  <c:v>-16.821085279654259</c:v>
                </c:pt>
                <c:pt idx="872">
                  <c:v>-16.598942453766245</c:v>
                </c:pt>
                <c:pt idx="873">
                  <c:v>-16.381884889280766</c:v>
                </c:pt>
                <c:pt idx="874">
                  <c:v>-16.169722179219541</c:v>
                </c:pt>
                <c:pt idx="875">
                  <c:v>-15.962271025410088</c:v>
                </c:pt>
                <c:pt idx="876">
                  <c:v>-15.759354849311245</c:v>
                </c:pt>
                <c:pt idx="877">
                  <c:v>-15.560803424002209</c:v>
                </c:pt>
                <c:pt idx="878">
                  <c:v>-15.366452525890146</c:v>
                </c:pt>
                <c:pt idx="879">
                  <c:v>-15.176143604797245</c:v>
                </c:pt>
                <c:pt idx="880">
                  <c:v>-14.989723471185771</c:v>
                </c:pt>
                <c:pt idx="881">
                  <c:v>-14.807043999369508</c:v>
                </c:pt>
                <c:pt idx="882">
                  <c:v>-14.627961845642897</c:v>
                </c:pt>
                <c:pt idx="883">
                  <c:v>-14.452338180335881</c:v>
                </c:pt>
                <c:pt idx="884">
                  <c:v>-14.280038432873376</c:v>
                </c:pt>
                <c:pt idx="885">
                  <c:v>-14.110932048983917</c:v>
                </c:pt>
                <c:pt idx="886">
                  <c:v>-13.944892259263408</c:v>
                </c:pt>
                <c:pt idx="887">
                  <c:v>-13.781795858356364</c:v>
                </c:pt>
                <c:pt idx="888">
                  <c:v>-13.621522994070439</c:v>
                </c:pt>
                <c:pt idx="889">
                  <c:v>-13.463956965789503</c:v>
                </c:pt>
                <c:pt idx="890">
                  <c:v>-13.308984031597213</c:v>
                </c:pt>
                <c:pt idx="891">
                  <c:v>-13.156493223566876</c:v>
                </c:pt>
                <c:pt idx="892">
                  <c:v>-13.00637617071499</c:v>
                </c:pt>
                <c:pt idx="893">
                  <c:v>-12.858526929155115</c:v>
                </c:pt>
                <c:pt idx="894">
                  <c:v>-12.712841819026664</c:v>
                </c:pt>
                <c:pt idx="895">
                  <c:v>-12.569219267808808</c:v>
                </c:pt>
                <c:pt idx="896">
                  <c:v>-12.42755965966496</c:v>
                </c:pt>
                <c:pt idx="897">
                  <c:v>-12.28776519049676</c:v>
                </c:pt>
                <c:pt idx="898">
                  <c:v>-12.149739728419586</c:v>
                </c:pt>
                <c:pt idx="899">
                  <c:v>-12.013388679404013</c:v>
                </c:pt>
                <c:pt idx="900">
                  <c:v>-11.87861885785976</c:v>
                </c:pt>
                <c:pt idx="901">
                  <c:v>-11.745338361970624</c:v>
                </c:pt>
                <c:pt idx="902">
                  <c:v>-11.613456453621017</c:v>
                </c:pt>
                <c:pt idx="903">
                  <c:v>-11.482883442787207</c:v>
                </c:pt>
                <c:pt idx="904">
                  <c:v>-11.353530576299267</c:v>
                </c:pt>
                <c:pt idx="905">
                  <c:v>-11.225309930913639</c:v>
                </c:pt>
                <c:pt idx="906">
                  <c:v>-11.098134310670748</c:v>
                </c:pt>
                <c:pt idx="907">
                  <c:v>-10.971917148548185</c:v>
                </c:pt>
                <c:pt idx="908">
                  <c:v>-10.846572412457114</c:v>
                </c:pt>
                <c:pt idx="909">
                  <c:v>-10.722014515668462</c:v>
                </c:pt>
                <c:pt idx="910">
                  <c:v>-10.598158231795949</c:v>
                </c:pt>
                <c:pt idx="911">
                  <c:v>-10.474918614505604</c:v>
                </c:pt>
                <c:pt idx="912">
                  <c:v>-10.352210922165828</c:v>
                </c:pt>
                <c:pt idx="913">
                  <c:v>-10.229950547698913</c:v>
                </c:pt>
                <c:pt idx="914">
                  <c:v>-10.108052953943899</c:v>
                </c:pt>
                <c:pt idx="915">
                  <c:v>-9.9864336148920909</c:v>
                </c:pt>
                <c:pt idx="916">
                  <c:v>-9.8650079632102692</c:v>
                </c:pt>
                <c:pt idx="917">
                  <c:v>-9.7436913445229365</c:v>
                </c:pt>
                <c:pt idx="918">
                  <c:v>-9.6223989789832096</c:v>
                </c:pt>
                <c:pt idx="919">
                  <c:v>-9.5010459307227055</c:v>
                </c:pt>
                <c:pt idx="920">
                  <c:v>-9.379547085833055</c:v>
                </c:pt>
                <c:pt idx="921">
                  <c:v>-9.2578171395957778</c:v>
                </c:pt>
                <c:pt idx="922">
                  <c:v>-9.1357705937421727</c:v>
                </c:pt>
                <c:pt idx="923">
                  <c:v>-9.0133217645903922</c:v>
                </c:pt>
                <c:pt idx="924">
                  <c:v>-8.8903848029719068</c:v>
                </c:pt>
                <c:pt idx="925">
                  <c:v>-8.7668737269235475</c:v>
                </c:pt>
                <c:pt idx="926">
                  <c:v>-8.6427024681824918</c:v>
                </c:pt>
                <c:pt idx="927">
                  <c:v>-8.5177849335793034</c:v>
                </c:pt>
                <c:pt idx="928">
                  <c:v>-8.3920350824761538</c:v>
                </c:pt>
                <c:pt idx="929">
                  <c:v>-8.265367021442044</c:v>
                </c:pt>
                <c:pt idx="930">
                  <c:v>-8.1376951173921661</c:v>
                </c:pt>
                <c:pt idx="931">
                  <c:v>-8.0089341304415509</c:v>
                </c:pt>
                <c:pt idx="932">
                  <c:v>-7.8789993677315024</c:v>
                </c:pt>
                <c:pt idx="933">
                  <c:v>-7.7478068594776728</c:v>
                </c:pt>
                <c:pt idx="934">
                  <c:v>-7.6152735584574316</c:v>
                </c:pt>
                <c:pt idx="935">
                  <c:v>-7.4813175640981386</c:v>
                </c:pt>
                <c:pt idx="936">
                  <c:v>-7.3458583722424713</c:v>
                </c:pt>
                <c:pt idx="937">
                  <c:v>-7.2088171515485815</c:v>
                </c:pt>
                <c:pt idx="938">
                  <c:v>-7.0701170473266934</c:v>
                </c:pt>
                <c:pt idx="939">
                  <c:v>-6.9296835134159469</c:v>
                </c:pt>
                <c:pt idx="940">
                  <c:v>-6.7874446724613859</c:v>
                </c:pt>
                <c:pt idx="941">
                  <c:v>-6.6433317046573102</c:v>
                </c:pt>
                <c:pt idx="942">
                  <c:v>-6.4972792646760951</c:v>
                </c:pt>
                <c:pt idx="943">
                  <c:v>-6.3492259260985522</c:v>
                </c:pt>
                <c:pt idx="944">
                  <c:v>-6.1991146522010805</c:v>
                </c:pt>
                <c:pt idx="945">
                  <c:v>-6.0468932914357989</c:v>
                </c:pt>
                <c:pt idx="946">
                  <c:v>-5.8925150953636223</c:v>
                </c:pt>
                <c:pt idx="947">
                  <c:v>-5.7359392561699316</c:v>
                </c:pt>
                <c:pt idx="948">
                  <c:v>-5.5771314602132351</c:v>
                </c:pt>
                <c:pt idx="949">
                  <c:v>-5.4160644533368796</c:v>
                </c:pt>
                <c:pt idx="950">
                  <c:v>-5.252718612923144</c:v>
                </c:pt>
                <c:pt idx="951">
                  <c:v>-5.0870825209014798</c:v>
                </c:pt>
                <c:pt idx="952">
                  <c:v>-4.9191535311553327</c:v>
                </c:pt>
                <c:pt idx="953">
                  <c:v>-4.7489383240249241</c:v>
                </c:pt>
                <c:pt idx="954">
                  <c:v>-4.5764534398997201</c:v>
                </c:pt>
                <c:pt idx="955">
                  <c:v>-4.401725783260197</c:v>
                </c:pt>
                <c:pt idx="956">
                  <c:v>-4.2247930879919897</c:v>
                </c:pt>
                <c:pt idx="957">
                  <c:v>-4.0457043343864356</c:v>
                </c:pt>
                <c:pt idx="958">
                  <c:v>-3.8645201079902374</c:v>
                </c:pt>
                <c:pt idx="959">
                  <c:v>-3.6813128904030026</c:v>
                </c:pt>
                <c:pt idx="960">
                  <c:v>-3.4961672722726815</c:v>
                </c:pt>
                <c:pt idx="961">
                  <c:v>-3.309180079129427</c:v>
                </c:pt>
                <c:pt idx="962">
                  <c:v>-3.1204604013470427</c:v>
                </c:pt>
                <c:pt idx="963">
                  <c:v>-2.9301295204403428</c:v>
                </c:pt>
                <c:pt idx="964">
                  <c:v>-2.7383207250999049</c:v>
                </c:pt>
                <c:pt idx="965">
                  <c:v>-2.5451790118271145</c:v>
                </c:pt>
                <c:pt idx="966">
                  <c:v>-2.3508606667452758</c:v>
                </c:pt>
                <c:pt idx="967">
                  <c:v>-2.1555327270989459</c:v>
                </c:pt>
                <c:pt idx="968">
                  <c:v>-1.9593723230741051</c:v>
                </c:pt>
                <c:pt idx="969">
                  <c:v>-1.7625659028262437</c:v>
                </c:pt>
                <c:pt idx="970">
                  <c:v>-1.565308345932191</c:v>
                </c:pt>
                <c:pt idx="971">
                  <c:v>-1.3678019728173292</c:v>
                </c:pt>
                <c:pt idx="972">
                  <c:v>-1.1702554599802322</c:v>
                </c:pt>
                <c:pt idx="973">
                  <c:v>-0.97288267296744491</c:v>
                </c:pt>
                <c:pt idx="974">
                  <c:v>-0.7759014309686747</c:v>
                </c:pt>
                <c:pt idx="975">
                  <c:v>-0.57953221853887271</c:v>
                </c:pt>
                <c:pt idx="976">
                  <c:v>-0.38399686124821486</c:v>
                </c:pt>
                <c:pt idx="977">
                  <c:v>-0.18951718296510256</c:v>
                </c:pt>
                <c:pt idx="978">
                  <c:v>3.6863370438405818E-3</c:v>
                </c:pt>
                <c:pt idx="979">
                  <c:v>0.19539588897817373</c:v>
                </c:pt>
                <c:pt idx="980">
                  <c:v>0.38539762152530921</c:v>
                </c:pt>
                <c:pt idx="981">
                  <c:v>0.57348287807482412</c:v>
                </c:pt>
                <c:pt idx="982">
                  <c:v>0.7594493644027851</c:v>
                </c:pt>
                <c:pt idx="983">
                  <c:v>0.94310223369901336</c:v>
                </c:pt>
                <c:pt idx="984">
                  <c:v>1.1242550767010826</c:v>
                </c:pt>
                <c:pt idx="985">
                  <c:v>1.3027308068177144</c:v>
                </c:pt>
                <c:pt idx="986">
                  <c:v>1.4783624323981859</c:v>
                </c:pt>
                <c:pt idx="987">
                  <c:v>1.6509937106581629</c:v>
                </c:pt>
                <c:pt idx="988">
                  <c:v>1.8204796801322245</c:v>
                </c:pt>
                <c:pt idx="989">
                  <c:v>1.9866870708197653</c:v>
                </c:pt>
                <c:pt idx="990">
                  <c:v>2.1494945933617728</c:v>
                </c:pt>
                <c:pt idx="991">
                  <c:v>2.3087931105780499</c:v>
                </c:pt>
                <c:pt idx="992">
                  <c:v>2.4644856964655872</c:v>
                </c:pt>
                <c:pt idx="993">
                  <c:v>2.6164875892779507</c:v>
                </c:pt>
                <c:pt idx="994">
                  <c:v>2.7647260465536316</c:v>
                </c:pt>
                <c:pt idx="995">
                  <c:v>2.9091401109299913</c:v>
                </c:pt>
                <c:pt idx="996">
                  <c:v>3.0496802962708296</c:v>
                </c:pt>
                <c:pt idx="997">
                  <c:v>3.1863082040605915</c:v>
                </c:pt>
                <c:pt idx="998">
                  <c:v>3.3189960801950527</c:v>
                </c:pt>
                <c:pt idx="999">
                  <c:v>3.4477263222508494</c:v>
                </c:pt>
                <c:pt idx="1000">
                  <c:v>3.5724909470724473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Calculs!$AH$4:$AH$1004</c:f>
              <c:numCache>
                <c:formatCode>0.00</c:formatCode>
                <c:ptCount val="1001"/>
                <c:pt idx="0">
                  <c:v>0</c:v>
                </c:pt>
                <c:pt idx="1">
                  <c:v>9.4757323558957598</c:v>
                </c:pt>
                <c:pt idx="2">
                  <c:v>25.926513668291619</c:v>
                </c:pt>
                <c:pt idx="3">
                  <c:v>43.222078369782828</c:v>
                </c:pt>
                <c:pt idx="4">
                  <c:v>60.532863175193881</c:v>
                </c:pt>
                <c:pt idx="5">
                  <c:v>71.191566030501178</c:v>
                </c:pt>
                <c:pt idx="6">
                  <c:v>75.188560023229229</c:v>
                </c:pt>
                <c:pt idx="7">
                  <c:v>79.190731890740906</c:v>
                </c:pt>
                <c:pt idx="8">
                  <c:v>83.198320732368657</c:v>
                </c:pt>
                <c:pt idx="9">
                  <c:v>85.395385118669793</c:v>
                </c:pt>
                <c:pt idx="10">
                  <c:v>85.778277582684254</c:v>
                </c:pt>
                <c:pt idx="11">
                  <c:v>86.161326719343393</c:v>
                </c:pt>
                <c:pt idx="12">
                  <c:v>86.5445290290278</c:v>
                </c:pt>
                <c:pt idx="13">
                  <c:v>86.927880974900475</c:v>
                </c:pt>
                <c:pt idx="14">
                  <c:v>87.311378982854009</c:v>
                </c:pt>
                <c:pt idx="15">
                  <c:v>87.695019441459849</c:v>
                </c:pt>
                <c:pt idx="16">
                  <c:v>88.078798701919766</c:v>
                </c:pt>
                <c:pt idx="17">
                  <c:v>88.462713078019419</c:v>
                </c:pt>
                <c:pt idx="18">
                  <c:v>88.846758846084228</c:v>
                </c:pt>
                <c:pt idx="19">
                  <c:v>89.230932244937421</c:v>
                </c:pt>
                <c:pt idx="20">
                  <c:v>89.615229475860374</c:v>
                </c:pt>
                <c:pt idx="21">
                  <c:v>89.872376227491955</c:v>
                </c:pt>
                <c:pt idx="22">
                  <c:v>89.938434454749498</c:v>
                </c:pt>
                <c:pt idx="23">
                  <c:v>90.004118231426133</c:v>
                </c:pt>
                <c:pt idx="24">
                  <c:v>90.069425938777087</c:v>
                </c:pt>
                <c:pt idx="25">
                  <c:v>90.134355964174134</c:v>
                </c:pt>
                <c:pt idx="26">
                  <c:v>90.198906701192485</c:v>
                </c:pt>
                <c:pt idx="27">
                  <c:v>90.263076549697473</c:v>
                </c:pt>
                <c:pt idx="28">
                  <c:v>90.32686391593117</c:v>
                </c:pt>
                <c:pt idx="29">
                  <c:v>90.390267212599227</c:v>
                </c:pt>
                <c:pt idx="30">
                  <c:v>90.453284858957218</c:v>
                </c:pt>
                <c:pt idx="31">
                  <c:v>90.515915280897403</c:v>
                </c:pt>
                <c:pt idx="32">
                  <c:v>90.578156911035009</c:v>
                </c:pt>
                <c:pt idx="33">
                  <c:v>90.640008188794738</c:v>
                </c:pt>
                <c:pt idx="34">
                  <c:v>90.70146756049698</c:v>
                </c:pt>
                <c:pt idx="35">
                  <c:v>90.762533479444116</c:v>
                </c:pt>
                <c:pt idx="36">
                  <c:v>90.823204406006568</c:v>
                </c:pt>
                <c:pt idx="37">
                  <c:v>90.883478807708812</c:v>
                </c:pt>
                <c:pt idx="38">
                  <c:v>90.94335493883699</c:v>
                </c:pt>
                <c:pt idx="39">
                  <c:v>91.002831021607335</c:v>
                </c:pt>
                <c:pt idx="40">
                  <c:v>91.061905514022428</c:v>
                </c:pt>
                <c:pt idx="41">
                  <c:v>91.120576882126471</c:v>
                </c:pt>
                <c:pt idx="42">
                  <c:v>91.178843600064425</c:v>
                </c:pt>
                <c:pt idx="43">
                  <c:v>91.236704150140184</c:v>
                </c:pt>
                <c:pt idx="44">
                  <c:v>91.29415702287686</c:v>
                </c:pt>
                <c:pt idx="45">
                  <c:v>91.351200717078541</c:v>
                </c:pt>
                <c:pt idx="46">
                  <c:v>91.43614988809891</c:v>
                </c:pt>
                <c:pt idx="47">
                  <c:v>91.527809892686591</c:v>
                </c:pt>
                <c:pt idx="48">
                  <c:v>91.619105907322108</c:v>
                </c:pt>
                <c:pt idx="49">
                  <c:v>91.710035988730837</c:v>
                </c:pt>
                <c:pt idx="50">
                  <c:v>91.800598198764533</c:v>
                </c:pt>
                <c:pt idx="51">
                  <c:v>91.890790604485531</c:v>
                </c:pt>
                <c:pt idx="52">
                  <c:v>91.980611278251914</c:v>
                </c:pt>
                <c:pt idx="53">
                  <c:v>92.070058297803627</c:v>
                </c:pt>
                <c:pt idx="54">
                  <c:v>92.15912974634962</c:v>
                </c:pt>
                <c:pt idx="55">
                  <c:v>92.247823712655432</c:v>
                </c:pt>
                <c:pt idx="56">
                  <c:v>92.336138291132002</c:v>
                </c:pt>
                <c:pt idx="57">
                  <c:v>92.424071581924764</c:v>
                </c:pt>
                <c:pt idx="58">
                  <c:v>92.511621691003725</c:v>
                </c:pt>
                <c:pt idx="59">
                  <c:v>92.598786730253906</c:v>
                </c:pt>
                <c:pt idx="60">
                  <c:v>92.685564817566402</c:v>
                </c:pt>
                <c:pt idx="61">
                  <c:v>92.771954076930058</c:v>
                </c:pt>
                <c:pt idx="62">
                  <c:v>92.857952638523372</c:v>
                </c:pt>
                <c:pt idx="63">
                  <c:v>92.943558638807204</c:v>
                </c:pt>
                <c:pt idx="64">
                  <c:v>93.028770220617545</c:v>
                </c:pt>
                <c:pt idx="65">
                  <c:v>93.113585533258814</c:v>
                </c:pt>
                <c:pt idx="66">
                  <c:v>93.198002732597601</c:v>
                </c:pt>
                <c:pt idx="67">
                  <c:v>93.282019981156381</c:v>
                </c:pt>
                <c:pt idx="68">
                  <c:v>93.365635448207996</c:v>
                </c:pt>
                <c:pt idx="69">
                  <c:v>93.889455961868208</c:v>
                </c:pt>
                <c:pt idx="70">
                  <c:v>94.602398355925246</c:v>
                </c:pt>
                <c:pt idx="71">
                  <c:v>95.315770824546576</c:v>
                </c:pt>
                <c:pt idx="72">
                  <c:v>96.029569938937655</c:v>
                </c:pt>
                <c:pt idx="73">
                  <c:v>96.743792161372241</c:v>
                </c:pt>
                <c:pt idx="74">
                  <c:v>97.458433844853658</c:v>
                </c:pt>
                <c:pt idx="75">
                  <c:v>98.173491232777891</c:v>
                </c:pt>
                <c:pt idx="76">
                  <c:v>98.88896045859893</c:v>
                </c:pt>
                <c:pt idx="77">
                  <c:v>98.791446465781448</c:v>
                </c:pt>
                <c:pt idx="78">
                  <c:v>98.344410860066247</c:v>
                </c:pt>
                <c:pt idx="79">
                  <c:v>97.896189416249499</c:v>
                </c:pt>
                <c:pt idx="80">
                  <c:v>97.446793081906776</c:v>
                </c:pt>
                <c:pt idx="81">
                  <c:v>96.996232831864589</c:v>
                </c:pt>
                <c:pt idx="82">
                  <c:v>96.544519667129777</c:v>
                </c:pt>
                <c:pt idx="83">
                  <c:v>96.091664613819574</c:v>
                </c:pt>
                <c:pt idx="84">
                  <c:v>95.637678722092275</c:v>
                </c:pt>
                <c:pt idx="85">
                  <c:v>95.182573065078969</c:v>
                </c:pt>
                <c:pt idx="86">
                  <c:v>94.836836808535452</c:v>
                </c:pt>
                <c:pt idx="87">
                  <c:v>94.932306659701936</c:v>
                </c:pt>
                <c:pt idx="88">
                  <c:v>95.027363626492487</c:v>
                </c:pt>
                <c:pt idx="89">
                  <c:v>95.122005762772062</c:v>
                </c:pt>
                <c:pt idx="90">
                  <c:v>95.216231129369589</c:v>
                </c:pt>
                <c:pt idx="91">
                  <c:v>95.31003779418387</c:v>
                </c:pt>
                <c:pt idx="92">
                  <c:v>95.403423832289704</c:v>
                </c:pt>
                <c:pt idx="93">
                  <c:v>95.496387326044001</c:v>
                </c:pt>
                <c:pt idx="94">
                  <c:v>95.58892636519198</c:v>
                </c:pt>
                <c:pt idx="95">
                  <c:v>95.681039046973453</c:v>
                </c:pt>
                <c:pt idx="96">
                  <c:v>95.77272347622899</c:v>
                </c:pt>
                <c:pt idx="97">
                  <c:v>95.863977765506306</c:v>
                </c:pt>
                <c:pt idx="98">
                  <c:v>95.954800035166471</c:v>
                </c:pt>
                <c:pt idx="99">
                  <c:v>96.045188413490266</c:v>
                </c:pt>
                <c:pt idx="100">
                  <c:v>96.135141036784461</c:v>
                </c:pt>
                <c:pt idx="101">
                  <c:v>96.22465604948799</c:v>
                </c:pt>
                <c:pt idx="102">
                  <c:v>96.31373160427826</c:v>
                </c:pt>
                <c:pt idx="103">
                  <c:v>96.402365862177334</c:v>
                </c:pt>
                <c:pt idx="104">
                  <c:v>96.490556992657901</c:v>
                </c:pt>
                <c:pt idx="105">
                  <c:v>96.578303173749504</c:v>
                </c:pt>
                <c:pt idx="106">
                  <c:v>96.665602592144339</c:v>
                </c:pt>
                <c:pt idx="107">
                  <c:v>96.75245344330331</c:v>
                </c:pt>
                <c:pt idx="108">
                  <c:v>96.83885393156163</c:v>
                </c:pt>
                <c:pt idx="109">
                  <c:v>96.924802270234565</c:v>
                </c:pt>
                <c:pt idx="110">
                  <c:v>97.010296681722977</c:v>
                </c:pt>
                <c:pt idx="111">
                  <c:v>97.095335397618697</c:v>
                </c:pt>
                <c:pt idx="112">
                  <c:v>97.179916658809816</c:v>
                </c:pt>
                <c:pt idx="113">
                  <c:v>97.264038715585755</c:v>
                </c:pt>
                <c:pt idx="114">
                  <c:v>97.347699827742247</c:v>
                </c:pt>
                <c:pt idx="115">
                  <c:v>97.430898264686107</c:v>
                </c:pt>
                <c:pt idx="116">
                  <c:v>97.513632305539744</c:v>
                </c:pt>
                <c:pt idx="117">
                  <c:v>97.595900239245594</c:v>
                </c:pt>
                <c:pt idx="118">
                  <c:v>97.677700364670358</c:v>
                </c:pt>
                <c:pt idx="119">
                  <c:v>97.759030990708794</c:v>
                </c:pt>
                <c:pt idx="120">
                  <c:v>97.839890436387634</c:v>
                </c:pt>
                <c:pt idx="121">
                  <c:v>97.920277030968947</c:v>
                </c:pt>
                <c:pt idx="122">
                  <c:v>98.000189114053441</c:v>
                </c:pt>
                <c:pt idx="123">
                  <c:v>98.079625035683407</c:v>
                </c:pt>
                <c:pt idx="124">
                  <c:v>98.158583156445488</c:v>
                </c:pt>
                <c:pt idx="125">
                  <c:v>98.237061847573074</c:v>
                </c:pt>
                <c:pt idx="126">
                  <c:v>98.31505949104843</c:v>
                </c:pt>
                <c:pt idx="127">
                  <c:v>98.392574479704649</c:v>
                </c:pt>
                <c:pt idx="128">
                  <c:v>98.469605217326986</c:v>
                </c:pt>
                <c:pt idx="129">
                  <c:v>98.546150118754326</c:v>
                </c:pt>
                <c:pt idx="130">
                  <c:v>98.622207609979796</c:v>
                </c:pt>
                <c:pt idx="131">
                  <c:v>98.697776128251547</c:v>
                </c:pt>
                <c:pt idx="132">
                  <c:v>98.772854122172774</c:v>
                </c:pt>
                <c:pt idx="133">
                  <c:v>98.847440051801655</c:v>
                </c:pt>
                <c:pt idx="134">
                  <c:v>98.921532388750663</c:v>
                </c:pt>
                <c:pt idx="135">
                  <c:v>98.995129616285894</c:v>
                </c:pt>
                <c:pt idx="136">
                  <c:v>99.068230229425438</c:v>
                </c:pt>
                <c:pt idx="137">
                  <c:v>99.140832735037861</c:v>
                </c:pt>
                <c:pt idx="138">
                  <c:v>99.2129356519401</c:v>
                </c:pt>
                <c:pt idx="139">
                  <c:v>99.284537510994696</c:v>
                </c:pt>
                <c:pt idx="140">
                  <c:v>99.355636855207052</c:v>
                </c:pt>
                <c:pt idx="141">
                  <c:v>99.426232239821829</c:v>
                </c:pt>
                <c:pt idx="142">
                  <c:v>99.496322232419217</c:v>
                </c:pt>
                <c:pt idx="143">
                  <c:v>99.565905413010356</c:v>
                </c:pt>
                <c:pt idx="144">
                  <c:v>99.634980374132837</c:v>
                </c:pt>
                <c:pt idx="145">
                  <c:v>99.703545720945115</c:v>
                </c:pt>
                <c:pt idx="146">
                  <c:v>99.771600071320933</c:v>
                </c:pt>
                <c:pt idx="147">
                  <c:v>99.839142055942858</c:v>
                </c:pt>
                <c:pt idx="148">
                  <c:v>99.906170318395638</c:v>
                </c:pt>
                <c:pt idx="149">
                  <c:v>99.972683515258737</c:v>
                </c:pt>
                <c:pt idx="150">
                  <c:v>100.03868031619865</c:v>
                </c:pt>
                <c:pt idx="151">
                  <c:v>100.10415940406031</c:v>
                </c:pt>
                <c:pt idx="152">
                  <c:v>100.16911947495829</c:v>
                </c:pt>
                <c:pt idx="153">
                  <c:v>100.23355923836728</c:v>
                </c:pt>
                <c:pt idx="154">
                  <c:v>100.29747741721187</c:v>
                </c:pt>
                <c:pt idx="155">
                  <c:v>100.36087274795618</c:v>
                </c:pt>
                <c:pt idx="156">
                  <c:v>100.42374398069231</c:v>
                </c:pt>
                <c:pt idx="157">
                  <c:v>100.48608987922873</c:v>
                </c:pt>
                <c:pt idx="158">
                  <c:v>100.54790922117773</c:v>
                </c:pt>
                <c:pt idx="159">
                  <c:v>100.60920079804237</c:v>
                </c:pt>
                <c:pt idx="160">
                  <c:v>100.66996341530282</c:v>
                </c:pt>
                <c:pt idx="161">
                  <c:v>100.73019589250194</c:v>
                </c:pt>
                <c:pt idx="162">
                  <c:v>100.78989706333051</c:v>
                </c:pt>
                <c:pt idx="163">
                  <c:v>100.84906577571138</c:v>
                </c:pt>
                <c:pt idx="164">
                  <c:v>100.90770089188334</c:v>
                </c:pt>
                <c:pt idx="165">
                  <c:v>100.9658012884841</c:v>
                </c:pt>
                <c:pt idx="166">
                  <c:v>101.02336585663267</c:v>
                </c:pt>
                <c:pt idx="167">
                  <c:v>101.08039350201099</c:v>
                </c:pt>
                <c:pt idx="168">
                  <c:v>101.136883144945</c:v>
                </c:pt>
                <c:pt idx="169">
                  <c:v>101.1928337204848</c:v>
                </c:pt>
                <c:pt idx="170">
                  <c:v>101.24824417848426</c:v>
                </c:pt>
                <c:pt idx="171">
                  <c:v>101.30311348367981</c:v>
                </c:pt>
                <c:pt idx="172">
                  <c:v>101.35744061576855</c:v>
                </c:pt>
                <c:pt idx="173">
                  <c:v>101.41122456948558</c:v>
                </c:pt>
                <c:pt idx="174">
                  <c:v>101.46446435468063</c:v>
                </c:pt>
                <c:pt idx="175">
                  <c:v>101.51715899639382</c:v>
                </c:pt>
                <c:pt idx="176">
                  <c:v>101.56930753493076</c:v>
                </c:pt>
                <c:pt idx="177">
                  <c:v>101.62090902593691</c:v>
                </c:pt>
                <c:pt idx="178">
                  <c:v>101.67196254047097</c:v>
                </c:pt>
                <c:pt idx="179">
                  <c:v>101.7224671650776</c:v>
                </c:pt>
                <c:pt idx="180">
                  <c:v>101.77242200185948</c:v>
                </c:pt>
                <c:pt idx="181">
                  <c:v>101.82182616854814</c:v>
                </c:pt>
                <c:pt idx="182">
                  <c:v>101.87067879857452</c:v>
                </c:pt>
                <c:pt idx="183">
                  <c:v>101.9189790411382</c:v>
                </c:pt>
                <c:pt idx="184">
                  <c:v>101.96672606127615</c:v>
                </c:pt>
                <c:pt idx="185">
                  <c:v>102.01391903993043</c:v>
                </c:pt>
                <c:pt idx="186">
                  <c:v>102.0605571740152</c:v>
                </c:pt>
                <c:pt idx="187">
                  <c:v>102.10663967648271</c:v>
                </c:pt>
                <c:pt idx="188">
                  <c:v>102.15216577638849</c:v>
                </c:pt>
                <c:pt idx="189">
                  <c:v>102.19713471895579</c:v>
                </c:pt>
                <c:pt idx="190">
                  <c:v>102.24154576563893</c:v>
                </c:pt>
                <c:pt idx="191">
                  <c:v>102.28539819418593</c:v>
                </c:pt>
                <c:pt idx="192">
                  <c:v>102.32869129870006</c:v>
                </c:pt>
                <c:pt idx="193">
                  <c:v>102.37142438970079</c:v>
                </c:pt>
                <c:pt idx="194">
                  <c:v>102.41359679418346</c:v>
                </c:pt>
                <c:pt idx="195">
                  <c:v>102.45520785567841</c:v>
                </c:pt>
                <c:pt idx="196">
                  <c:v>102.49625693430876</c:v>
                </c:pt>
                <c:pt idx="197">
                  <c:v>102.53674340684775</c:v>
                </c:pt>
                <c:pt idx="198">
                  <c:v>102.57666666677468</c:v>
                </c:pt>
                <c:pt idx="199">
                  <c:v>102.61602612433025</c:v>
                </c:pt>
                <c:pt idx="200">
                  <c:v>102.65482120657077</c:v>
                </c:pt>
                <c:pt idx="201">
                  <c:v>102.69305135742147</c:v>
                </c:pt>
                <c:pt idx="202">
                  <c:v>102.73071603772875</c:v>
                </c:pt>
                <c:pt idx="203">
                  <c:v>102.76781472531172</c:v>
                </c:pt>
                <c:pt idx="204">
                  <c:v>102.80434691501237</c:v>
                </c:pt>
                <c:pt idx="205">
                  <c:v>102.8403121187452</c:v>
                </c:pt>
                <c:pt idx="206">
                  <c:v>102.87570986554549</c:v>
                </c:pt>
                <c:pt idx="207">
                  <c:v>102.9105397016167</c:v>
                </c:pt>
                <c:pt idx="208">
                  <c:v>102.94480119037708</c:v>
                </c:pt>
                <c:pt idx="209">
                  <c:v>102.97849391250483</c:v>
                </c:pt>
                <c:pt idx="210">
                  <c:v>103.01161746598274</c:v>
                </c:pt>
                <c:pt idx="211">
                  <c:v>103.04417146614145</c:v>
                </c:pt>
                <c:pt idx="212">
                  <c:v>103.07615554570184</c:v>
                </c:pt>
                <c:pt idx="213">
                  <c:v>103.10756935481639</c:v>
                </c:pt>
                <c:pt idx="214">
                  <c:v>103.13841256110946</c:v>
                </c:pt>
                <c:pt idx="215">
                  <c:v>103.16868484971657</c:v>
                </c:pt>
                <c:pt idx="216">
                  <c:v>103.1983859233226</c:v>
                </c:pt>
                <c:pt idx="217">
                  <c:v>103.22751550219905</c:v>
                </c:pt>
                <c:pt idx="218">
                  <c:v>103.25607332424003</c:v>
                </c:pt>
                <c:pt idx="219">
                  <c:v>103.2840591449974</c:v>
                </c:pt>
                <c:pt idx="220">
                  <c:v>103.31147273771482</c:v>
                </c:pt>
                <c:pt idx="221">
                  <c:v>103.33831389336055</c:v>
                </c:pt>
                <c:pt idx="222">
                  <c:v>103.36458242065947</c:v>
                </c:pt>
                <c:pt idx="223">
                  <c:v>103.39027814612375</c:v>
                </c:pt>
                <c:pt idx="224">
                  <c:v>103.41540091408257</c:v>
                </c:pt>
                <c:pt idx="225">
                  <c:v>103.43995058671079</c:v>
                </c:pt>
                <c:pt idx="226">
                  <c:v>103.46392704405652</c:v>
                </c:pt>
                <c:pt idx="227">
                  <c:v>103.48733018406742</c:v>
                </c:pt>
                <c:pt idx="228">
                  <c:v>103.51015992261624</c:v>
                </c:pt>
                <c:pt idx="229">
                  <c:v>103.53241619352482</c:v>
                </c:pt>
                <c:pt idx="230">
                  <c:v>103.55409894858755</c:v>
                </c:pt>
                <c:pt idx="231">
                  <c:v>103.57520815759315</c:v>
                </c:pt>
                <c:pt idx="232">
                  <c:v>103.5957438083457</c:v>
                </c:pt>
                <c:pt idx="233">
                  <c:v>103.61570590668457</c:v>
                </c:pt>
                <c:pt idx="234">
                  <c:v>103.6350944765028</c:v>
                </c:pt>
                <c:pt idx="235">
                  <c:v>103.65390955976515</c:v>
                </c:pt>
                <c:pt idx="236">
                  <c:v>103.67215121652413</c:v>
                </c:pt>
                <c:pt idx="237">
                  <c:v>103.68981952493563</c:v>
                </c:pt>
                <c:pt idx="238">
                  <c:v>103.70691458127303</c:v>
                </c:pt>
                <c:pt idx="239">
                  <c:v>103.72343649994025</c:v>
                </c:pt>
                <c:pt idx="240">
                  <c:v>103.73938541348377</c:v>
                </c:pt>
                <c:pt idx="241">
                  <c:v>103.75476147260349</c:v>
                </c:pt>
                <c:pt idx="242">
                  <c:v>103.76956484616233</c:v>
                </c:pt>
                <c:pt idx="243">
                  <c:v>103.78379572119479</c:v>
                </c:pt>
                <c:pt idx="244">
                  <c:v>104.26479952288398</c:v>
                </c:pt>
                <c:pt idx="245">
                  <c:v>104.74543135323104</c:v>
                </c:pt>
                <c:pt idx="246">
                  <c:v>105.22568644052065</c:v>
                </c:pt>
                <c:pt idx="247">
                  <c:v>105.70555997417472</c:v>
                </c:pt>
                <c:pt idx="248">
                  <c:v>106.18504710500963</c:v>
                </c:pt>
                <c:pt idx="249">
                  <c:v>106.66414294549678</c:v>
                </c:pt>
                <c:pt idx="250">
                  <c:v>107.14284257002744</c:v>
                </c:pt>
                <c:pt idx="251">
                  <c:v>107.62114101518077</c:v>
                </c:pt>
                <c:pt idx="252">
                  <c:v>108.09903327999604</c:v>
                </c:pt>
                <c:pt idx="253">
                  <c:v>108.31754017610191</c:v>
                </c:pt>
                <c:pt idx="254">
                  <c:v>108.2763408680764</c:v>
                </c:pt>
                <c:pt idx="255">
                  <c:v>108.23449176468205</c:v>
                </c:pt>
                <c:pt idx="256">
                  <c:v>108.19199432460364</c:v>
                </c:pt>
                <c:pt idx="257">
                  <c:v>108.14885002848965</c:v>
                </c:pt>
                <c:pt idx="258">
                  <c:v>108.10506037887185</c:v>
                </c:pt>
                <c:pt idx="259">
                  <c:v>108.06062690008417</c:v>
                </c:pt>
                <c:pt idx="260">
                  <c:v>108.01555113817936</c:v>
                </c:pt>
                <c:pt idx="261">
                  <c:v>107.9698346608448</c:v>
                </c:pt>
                <c:pt idx="262">
                  <c:v>107.9234790573162</c:v>
                </c:pt>
                <c:pt idx="263">
                  <c:v>107.87648593829047</c:v>
                </c:pt>
                <c:pt idx="264">
                  <c:v>107.82885693583643</c:v>
                </c:pt>
                <c:pt idx="265">
                  <c:v>107.78059370330473</c:v>
                </c:pt>
                <c:pt idx="266">
                  <c:v>107.73169791523577</c:v>
                </c:pt>
                <c:pt idx="267">
                  <c:v>107.6821712672666</c:v>
                </c:pt>
                <c:pt idx="268">
                  <c:v>107.63201547603603</c:v>
                </c:pt>
                <c:pt idx="269">
                  <c:v>107.58123227908875</c:v>
                </c:pt>
                <c:pt idx="270">
                  <c:v>107.5298234347774</c:v>
                </c:pt>
                <c:pt idx="271">
                  <c:v>107.47779072216404</c:v>
                </c:pt>
                <c:pt idx="272">
                  <c:v>107.42513594091952</c:v>
                </c:pt>
                <c:pt idx="273">
                  <c:v>107.37186091122194</c:v>
                </c:pt>
                <c:pt idx="274">
                  <c:v>107.31796747365344</c:v>
                </c:pt>
                <c:pt idx="275">
                  <c:v>107.263457489096</c:v>
                </c:pt>
                <c:pt idx="276">
                  <c:v>107.20833283862525</c:v>
                </c:pt>
                <c:pt idx="277">
                  <c:v>107.13992187990669</c:v>
                </c:pt>
                <c:pt idx="278">
                  <c:v>107.05187150158281</c:v>
                </c:pt>
                <c:pt idx="279">
                  <c:v>106.96320442941733</c:v>
                </c:pt>
                <c:pt idx="280">
                  <c:v>106.87392334128306</c:v>
                </c:pt>
                <c:pt idx="281">
                  <c:v>106.78403093409194</c:v>
                </c:pt>
                <c:pt idx="282">
                  <c:v>106.69352992362863</c:v>
                </c:pt>
                <c:pt idx="283">
                  <c:v>106.60242304438279</c:v>
                </c:pt>
                <c:pt idx="284">
                  <c:v>106.51071304938026</c:v>
                </c:pt>
                <c:pt idx="285">
                  <c:v>106.41840271001325</c:v>
                </c:pt>
                <c:pt idx="286">
                  <c:v>106.32549481586936</c:v>
                </c:pt>
                <c:pt idx="287">
                  <c:v>106.23199217455945</c:v>
                </c:pt>
                <c:pt idx="288">
                  <c:v>106.13789761154466</c:v>
                </c:pt>
                <c:pt idx="289">
                  <c:v>106.04321396996221</c:v>
                </c:pt>
                <c:pt idx="290">
                  <c:v>105.94794411045039</c:v>
                </c:pt>
                <c:pt idx="291">
                  <c:v>105.85209091097238</c:v>
                </c:pt>
                <c:pt idx="292">
                  <c:v>105.75565726663908</c:v>
                </c:pt>
                <c:pt idx="293">
                  <c:v>105.65864608953135</c:v>
                </c:pt>
                <c:pt idx="294">
                  <c:v>105.56106030852075</c:v>
                </c:pt>
                <c:pt idx="295">
                  <c:v>105.46290286908983</c:v>
                </c:pt>
                <c:pt idx="296">
                  <c:v>105.36417673315155</c:v>
                </c:pt>
                <c:pt idx="297">
                  <c:v>105.26488487886725</c:v>
                </c:pt>
                <c:pt idx="298">
                  <c:v>105.16503030046458</c:v>
                </c:pt>
                <c:pt idx="299">
                  <c:v>105.06461600805385</c:v>
                </c:pt>
                <c:pt idx="300">
                  <c:v>104.9636450274443</c:v>
                </c:pt>
                <c:pt idx="301">
                  <c:v>104.86212039995883</c:v>
                </c:pt>
                <c:pt idx="302">
                  <c:v>104.76004518224856</c:v>
                </c:pt>
                <c:pt idx="303">
                  <c:v>104.65742244610641</c:v>
                </c:pt>
                <c:pt idx="304">
                  <c:v>104.55425527827977</c:v>
                </c:pt>
                <c:pt idx="305">
                  <c:v>104.45054678028289</c:v>
                </c:pt>
                <c:pt idx="306">
                  <c:v>104.34630006820811</c:v>
                </c:pt>
                <c:pt idx="307">
                  <c:v>104.24151827253688</c:v>
                </c:pt>
                <c:pt idx="308">
                  <c:v>104.13620453794964</c:v>
                </c:pt>
                <c:pt idx="309">
                  <c:v>104.03036202313557</c:v>
                </c:pt>
                <c:pt idx="310">
                  <c:v>103.92399390060137</c:v>
                </c:pt>
                <c:pt idx="311">
                  <c:v>103.81710335647958</c:v>
                </c:pt>
                <c:pt idx="312">
                  <c:v>103.70969359033646</c:v>
                </c:pt>
                <c:pt idx="313">
                  <c:v>103.60176781497908</c:v>
                </c:pt>
                <c:pt idx="314">
                  <c:v>103.493329256262</c:v>
                </c:pt>
                <c:pt idx="315">
                  <c:v>103.38438115289358</c:v>
                </c:pt>
                <c:pt idx="316">
                  <c:v>103.27492675624156</c:v>
                </c:pt>
                <c:pt idx="317">
                  <c:v>103.16496933013831</c:v>
                </c:pt>
                <c:pt idx="318">
                  <c:v>103.0545121506857</c:v>
                </c:pt>
                <c:pt idx="319">
                  <c:v>102.94355850605945</c:v>
                </c:pt>
                <c:pt idx="320">
                  <c:v>102.83211169631302</c:v>
                </c:pt>
                <c:pt idx="321">
                  <c:v>102.72017503318131</c:v>
                </c:pt>
                <c:pt idx="322">
                  <c:v>102.6077518398838</c:v>
                </c:pt>
                <c:pt idx="323">
                  <c:v>102.49484545092761</c:v>
                </c:pt>
                <c:pt idx="324">
                  <c:v>102.3814592119098</c:v>
                </c:pt>
                <c:pt idx="325">
                  <c:v>102.26759647931992</c:v>
                </c:pt>
                <c:pt idx="326">
                  <c:v>102.15326062034177</c:v>
                </c:pt>
                <c:pt idx="327">
                  <c:v>102.03845501265528</c:v>
                </c:pt>
                <c:pt idx="328">
                  <c:v>101.923183044238</c:v>
                </c:pt>
                <c:pt idx="329">
                  <c:v>101.80744811316632</c:v>
                </c:pt>
                <c:pt idx="330">
                  <c:v>101.69125362741659</c:v>
                </c:pt>
                <c:pt idx="331">
                  <c:v>101.57460300466596</c:v>
                </c:pt>
                <c:pt idx="332">
                  <c:v>101.45749967209323</c:v>
                </c:pt>
                <c:pt idx="333">
                  <c:v>101.33994706617943</c:v>
                </c:pt>
                <c:pt idx="334">
                  <c:v>101.2219486325082</c:v>
                </c:pt>
                <c:pt idx="335">
                  <c:v>101.1035078255663</c:v>
                </c:pt>
                <c:pt idx="336">
                  <c:v>100.98462810854392</c:v>
                </c:pt>
                <c:pt idx="337">
                  <c:v>100.86531295313489</c:v>
                </c:pt>
                <c:pt idx="338">
                  <c:v>100.74556583933693</c:v>
                </c:pt>
                <c:pt idx="339">
                  <c:v>100.62539025525174</c:v>
                </c:pt>
                <c:pt idx="340">
                  <c:v>100.50478969688544</c:v>
                </c:pt>
                <c:pt idx="341">
                  <c:v>100.38376766794858</c:v>
                </c:pt>
                <c:pt idx="342">
                  <c:v>100.26232767965645</c:v>
                </c:pt>
                <c:pt idx="343">
                  <c:v>100.14047325052947</c:v>
                </c:pt>
                <c:pt idx="344">
                  <c:v>100.02905379878096</c:v>
                </c:pt>
                <c:pt idx="345">
                  <c:v>100.01491868835569</c:v>
                </c:pt>
                <c:pt idx="346">
                  <c:v>100.00034808037925</c:v>
                </c:pt>
                <c:pt idx="347">
                  <c:v>99.985343348206456</c:v>
                </c:pt>
                <c:pt idx="348">
                  <c:v>99.969905877755465</c:v>
                </c:pt>
                <c:pt idx="349">
                  <c:v>99.954037067445512</c:v>
                </c:pt>
                <c:pt idx="350">
                  <c:v>99.937738328133349</c:v>
                </c:pt>
                <c:pt idx="351">
                  <c:v>99.92101108304972</c:v>
                </c:pt>
                <c:pt idx="352">
                  <c:v>99.903856767734837</c:v>
                </c:pt>
                <c:pt idx="353">
                  <c:v>99.886276829973156</c:v>
                </c:pt>
                <c:pt idx="354">
                  <c:v>99.868272729727735</c:v>
                </c:pt>
                <c:pt idx="355">
                  <c:v>99.849845939073845</c:v>
                </c:pt>
                <c:pt idx="356">
                  <c:v>99.830997942132058</c:v>
                </c:pt>
                <c:pt idx="357">
                  <c:v>99.811730235000482</c:v>
                </c:pt>
                <c:pt idx="358">
                  <c:v>99.792044325686788</c:v>
                </c:pt>
                <c:pt idx="359">
                  <c:v>99.771941734039189</c:v>
                </c:pt>
                <c:pt idx="360">
                  <c:v>99.751423991677214</c:v>
                </c:pt>
                <c:pt idx="361">
                  <c:v>99.730492641921742</c:v>
                </c:pt>
                <c:pt idx="362">
                  <c:v>99.709149239724212</c:v>
                </c:pt>
                <c:pt idx="363">
                  <c:v>99.687395351595811</c:v>
                </c:pt>
                <c:pt idx="364">
                  <c:v>99.665232555535454</c:v>
                </c:pt>
                <c:pt idx="365">
                  <c:v>99.642662440957849</c:v>
                </c:pt>
                <c:pt idx="366">
                  <c:v>99.619686608620398</c:v>
                </c:pt>
                <c:pt idx="367">
                  <c:v>99.596306670550078</c:v>
                </c:pt>
                <c:pt idx="368">
                  <c:v>99.572524249969277</c:v>
                </c:pt>
                <c:pt idx="369">
                  <c:v>99.548340981221614</c:v>
                </c:pt>
                <c:pt idx="370">
                  <c:v>99.523758509696734</c:v>
                </c:pt>
                <c:pt idx="371">
                  <c:v>99.498778491755147</c:v>
                </c:pt>
                <c:pt idx="372">
                  <c:v>99.473402594651816</c:v>
                </c:pt>
                <c:pt idx="373">
                  <c:v>99.376094247212976</c:v>
                </c:pt>
                <c:pt idx="374">
                  <c:v>99.278426597843179</c:v>
                </c:pt>
                <c:pt idx="375">
                  <c:v>99.180402716951704</c:v>
                </c:pt>
                <c:pt idx="376">
                  <c:v>99.082025680802261</c:v>
                </c:pt>
                <c:pt idx="377">
                  <c:v>98.983298571352833</c:v>
                </c:pt>
                <c:pt idx="378">
                  <c:v>98.884224476095739</c:v>
                </c:pt>
                <c:pt idx="379">
                  <c:v>98.784806487897384</c:v>
                </c:pt>
                <c:pt idx="380">
                  <c:v>98.685047704838638</c:v>
                </c:pt>
                <c:pt idx="381">
                  <c:v>98.584951230054813</c:v>
                </c:pt>
                <c:pt idx="382">
                  <c:v>98.484520171576293</c:v>
                </c:pt>
                <c:pt idx="383">
                  <c:v>98.383757642169158</c:v>
                </c:pt>
                <c:pt idx="384">
                  <c:v>98.282666759175896</c:v>
                </c:pt>
                <c:pt idx="385">
                  <c:v>98.181250644356652</c:v>
                </c:pt>
                <c:pt idx="386">
                  <c:v>98.079512423730222</c:v>
                </c:pt>
                <c:pt idx="387">
                  <c:v>97.97745522741576</c:v>
                </c:pt>
                <c:pt idx="388">
                  <c:v>97.875082189474412</c:v>
                </c:pt>
                <c:pt idx="389">
                  <c:v>97.772396447751248</c:v>
                </c:pt>
                <c:pt idx="390">
                  <c:v>97.669401143717977</c:v>
                </c:pt>
                <c:pt idx="391">
                  <c:v>97.56609942231492</c:v>
                </c:pt>
                <c:pt idx="392">
                  <c:v>97.462494431794482</c:v>
                </c:pt>
                <c:pt idx="393">
                  <c:v>97.358589323563933</c:v>
                </c:pt>
                <c:pt idx="394">
                  <c:v>97.254387252029161</c:v>
                </c:pt>
                <c:pt idx="395">
                  <c:v>97.149891374438553</c:v>
                </c:pt>
                <c:pt idx="396">
                  <c:v>97.045104850727128</c:v>
                </c:pt>
                <c:pt idx="397">
                  <c:v>96.940030843361242</c:v>
                </c:pt>
                <c:pt idx="398">
                  <c:v>96.834672517183577</c:v>
                </c:pt>
                <c:pt idx="399">
                  <c:v>96.729033039258496</c:v>
                </c:pt>
                <c:pt idx="400">
                  <c:v>96.623115578717901</c:v>
                </c:pt>
                <c:pt idx="401">
                  <c:v>96.516923306607282</c:v>
                </c:pt>
                <c:pt idx="402">
                  <c:v>96.410459395732502</c:v>
                </c:pt>
                <c:pt idx="403">
                  <c:v>96.303727020506955</c:v>
                </c:pt>
                <c:pt idx="404">
                  <c:v>96.196729356798855</c:v>
                </c:pt>
                <c:pt idx="405">
                  <c:v>96.089469581779497</c:v>
                </c:pt>
                <c:pt idx="406">
                  <c:v>95.981950873771638</c:v>
                </c:pt>
                <c:pt idx="407">
                  <c:v>95.874176412098436</c:v>
                </c:pt>
                <c:pt idx="408">
                  <c:v>95.766149376933015</c:v>
                </c:pt>
                <c:pt idx="409">
                  <c:v>95.576298057215212</c:v>
                </c:pt>
                <c:pt idx="410">
                  <c:v>95.365848501005672</c:v>
                </c:pt>
                <c:pt idx="411">
                  <c:v>95.155233399541189</c:v>
                </c:pt>
                <c:pt idx="412">
                  <c:v>94.944458066541884</c:v>
                </c:pt>
                <c:pt idx="413">
                  <c:v>94.733527801840182</c:v>
                </c:pt>
                <c:pt idx="414">
                  <c:v>94.522447891129985</c:v>
                </c:pt>
                <c:pt idx="415">
                  <c:v>94.311223605718155</c:v>
                </c:pt>
                <c:pt idx="416">
                  <c:v>94.099860202278506</c:v>
                </c:pt>
                <c:pt idx="417">
                  <c:v>93.888362922608337</c:v>
                </c:pt>
                <c:pt idx="418">
                  <c:v>93.676736993387607</c:v>
                </c:pt>
                <c:pt idx="419">
                  <c:v>93.464987625940594</c:v>
                </c:pt>
                <c:pt idx="420">
                  <c:v>93.253120016000139</c:v>
                </c:pt>
                <c:pt idx="421">
                  <c:v>93.041139343474384</c:v>
                </c:pt>
                <c:pt idx="422">
                  <c:v>92.829050772216419</c:v>
                </c:pt>
                <c:pt idx="423">
                  <c:v>92.616859449796124</c:v>
                </c:pt>
                <c:pt idx="424">
                  <c:v>92.404570507274897</c:v>
                </c:pt>
                <c:pt idx="425">
                  <c:v>92.192189058982862</c:v>
                </c:pt>
                <c:pt idx="426">
                  <c:v>91.979720202298893</c:v>
                </c:pt>
                <c:pt idx="427">
                  <c:v>91.767169017432948</c:v>
                </c:pt>
                <c:pt idx="428">
                  <c:v>91.554540567211347</c:v>
                </c:pt>
                <c:pt idx="429">
                  <c:v>91.341839896864556</c:v>
                </c:pt>
                <c:pt idx="430">
                  <c:v>91.129072033817678</c:v>
                </c:pt>
                <c:pt idx="431">
                  <c:v>90.916241987483602</c:v>
                </c:pt>
                <c:pt idx="432">
                  <c:v>90.703354749058704</c:v>
                </c:pt>
                <c:pt idx="433">
                  <c:v>90.490415291321412</c:v>
                </c:pt>
                <c:pt idx="434">
                  <c:v>90.277428568433336</c:v>
                </c:pt>
                <c:pt idx="435">
                  <c:v>90.064399515743091</c:v>
                </c:pt>
                <c:pt idx="436">
                  <c:v>89.851333049592625</c:v>
                </c:pt>
                <c:pt idx="437">
                  <c:v>89.638234067126731</c:v>
                </c:pt>
                <c:pt idx="438">
                  <c:v>89.425107446104604</c:v>
                </c:pt>
                <c:pt idx="439">
                  <c:v>89.211958044714621</c:v>
                </c:pt>
                <c:pt idx="440">
                  <c:v>88.998790701391599</c:v>
                </c:pt>
                <c:pt idx="441">
                  <c:v>88.785610234636451</c:v>
                </c:pt>
                <c:pt idx="442">
                  <c:v>88.572421442839413</c:v>
                </c:pt>
                <c:pt idx="443">
                  <c:v>88.359229104104742</c:v>
                </c:pt>
                <c:pt idx="444">
                  <c:v>88.146037976079299</c:v>
                </c:pt>
                <c:pt idx="445">
                  <c:v>87.932852795782892</c:v>
                </c:pt>
                <c:pt idx="446">
                  <c:v>87.719678279442078</c:v>
                </c:pt>
                <c:pt idx="447">
                  <c:v>87.506519122325926</c:v>
                </c:pt>
                <c:pt idx="448">
                  <c:v>87.293379998585081</c:v>
                </c:pt>
                <c:pt idx="449">
                  <c:v>87.080265561093384</c:v>
                </c:pt>
                <c:pt idx="450">
                  <c:v>86.867180441291794</c:v>
                </c:pt>
                <c:pt idx="451">
                  <c:v>86.654129249035506</c:v>
                </c:pt>
                <c:pt idx="452">
                  <c:v>86.441116572443619</c:v>
                </c:pt>
                <c:pt idx="453">
                  <c:v>86.228146977751109</c:v>
                </c:pt>
                <c:pt idx="454">
                  <c:v>86.015225009164126</c:v>
                </c:pt>
                <c:pt idx="455">
                  <c:v>85.802355188717399</c:v>
                </c:pt>
                <c:pt idx="456">
                  <c:v>85.589542016134743</c:v>
                </c:pt>
                <c:pt idx="457">
                  <c:v>85.376789968691838</c:v>
                </c:pt>
                <c:pt idx="458">
                  <c:v>85.164103501082067</c:v>
                </c:pt>
                <c:pt idx="459">
                  <c:v>84.951487045284793</c:v>
                </c:pt>
                <c:pt idx="460">
                  <c:v>84.738945010436112</c:v>
                </c:pt>
                <c:pt idx="461">
                  <c:v>84.526481782702888</c:v>
                </c:pt>
                <c:pt idx="462">
                  <c:v>84.314101725158508</c:v>
                </c:pt>
                <c:pt idx="463">
                  <c:v>84.101809177662247</c:v>
                </c:pt>
                <c:pt idx="464">
                  <c:v>83.889608456740419</c:v>
                </c:pt>
                <c:pt idx="465">
                  <c:v>83.677503855470903</c:v>
                </c:pt>
                <c:pt idx="466">
                  <c:v>83.465499643369412</c:v>
                </c:pt>
                <c:pt idx="467">
                  <c:v>83.253600066279589</c:v>
                </c:pt>
                <c:pt idx="468">
                  <c:v>83.041809346264145</c:v>
                </c:pt>
                <c:pt idx="469">
                  <c:v>82.830131681500134</c:v>
                </c:pt>
                <c:pt idx="470">
                  <c:v>82.618571246175776</c:v>
                </c:pt>
                <c:pt idx="471">
                  <c:v>82.407132190390215</c:v>
                </c:pt>
                <c:pt idx="472">
                  <c:v>82.195818640056004</c:v>
                </c:pt>
                <c:pt idx="473">
                  <c:v>81.984634696803624</c:v>
                </c:pt>
                <c:pt idx="474">
                  <c:v>81.77358443788934</c:v>
                </c:pt>
                <c:pt idx="475">
                  <c:v>81.562671916104847</c:v>
                </c:pt>
                <c:pt idx="476">
                  <c:v>81.351901159689859</c:v>
                </c:pt>
                <c:pt idx="477">
                  <c:v>81.141276172247103</c:v>
                </c:pt>
                <c:pt idx="478">
                  <c:v>80.930800932659807</c:v>
                </c:pt>
                <c:pt idx="479">
                  <c:v>80.720479395011878</c:v>
                </c:pt>
                <c:pt idx="480">
                  <c:v>80.510315488510159</c:v>
                </c:pt>
                <c:pt idx="481">
                  <c:v>80.30031311740953</c:v>
                </c:pt>
                <c:pt idx="482">
                  <c:v>80.090476160940355</c:v>
                </c:pt>
                <c:pt idx="483">
                  <c:v>79.880808473238403</c:v>
                </c:pt>
                <c:pt idx="484">
                  <c:v>79.671313883277236</c:v>
                </c:pt>
                <c:pt idx="485">
                  <c:v>79.461996194802794</c:v>
                </c:pt>
                <c:pt idx="486">
                  <c:v>79.252859186270754</c:v>
                </c:pt>
                <c:pt idx="487">
                  <c:v>79.043906610786053</c:v>
                </c:pt>
                <c:pt idx="488">
                  <c:v>78.835142196044828</c:v>
                </c:pt>
                <c:pt idx="489">
                  <c:v>78.626569644278959</c:v>
                </c:pt>
                <c:pt idx="490">
                  <c:v>78.418192632202647</c:v>
                </c:pt>
                <c:pt idx="491">
                  <c:v>78.210014810961439</c:v>
                </c:pt>
                <c:pt idx="492">
                  <c:v>78.002039806083857</c:v>
                </c:pt>
                <c:pt idx="493">
                  <c:v>77.794271217434968</c:v>
                </c:pt>
                <c:pt idx="494">
                  <c:v>77.586712619172573</c:v>
                </c:pt>
                <c:pt idx="495">
                  <c:v>77.379367559705315</c:v>
                </c:pt>
                <c:pt idx="496">
                  <c:v>77.172239561653754</c:v>
                </c:pt>
                <c:pt idx="497">
                  <c:v>76.938506546672798</c:v>
                </c:pt>
                <c:pt idx="498">
                  <c:v>76.678186817326136</c:v>
                </c:pt>
                <c:pt idx="499">
                  <c:v>76.418177134377657</c:v>
                </c:pt>
                <c:pt idx="500">
                  <c:v>76.158481810811793</c:v>
                </c:pt>
                <c:pt idx="501">
                  <c:v>75.899105121968446</c:v>
                </c:pt>
                <c:pt idx="502">
                  <c:v>75.640051305527621</c:v>
                </c:pt>
                <c:pt idx="503">
                  <c:v>75.381324561497436</c:v>
                </c:pt>
                <c:pt idx="504">
                  <c:v>75.122929052204938</c:v>
                </c:pt>
                <c:pt idx="505">
                  <c:v>74.86486890229132</c:v>
                </c:pt>
                <c:pt idx="506">
                  <c:v>74.607148198709112</c:v>
                </c:pt>
                <c:pt idx="507">
                  <c:v>74.349770990723769</c:v>
                </c:pt>
                <c:pt idx="508">
                  <c:v>74.092741289917825</c:v>
                </c:pt>
                <c:pt idx="509">
                  <c:v>73.836063070198279</c:v>
                </c:pt>
                <c:pt idx="510">
                  <c:v>73.579740267807907</c:v>
                </c:pt>
                <c:pt idx="511">
                  <c:v>73.323776781338239</c:v>
                </c:pt>
                <c:pt idx="512">
                  <c:v>73.068176471747307</c:v>
                </c:pt>
                <c:pt idx="513">
                  <c:v>72.812943162379398</c:v>
                </c:pt>
                <c:pt idx="514">
                  <c:v>72.558080638987903</c:v>
                </c:pt>
                <c:pt idx="515">
                  <c:v>72.303592649761981</c:v>
                </c:pt>
                <c:pt idx="516">
                  <c:v>72.049482905355163</c:v>
                </c:pt>
                <c:pt idx="517">
                  <c:v>71.79575507891775</c:v>
                </c:pt>
                <c:pt idx="518">
                  <c:v>71.542412806131694</c:v>
                </c:pt>
                <c:pt idx="519">
                  <c:v>71.289459685248573</c:v>
                </c:pt>
                <c:pt idx="520">
                  <c:v>71.036899277130118</c:v>
                </c:pt>
                <c:pt idx="521">
                  <c:v>70.784735105292071</c:v>
                </c:pt>
                <c:pt idx="522">
                  <c:v>70.53297065595072</c:v>
                </c:pt>
                <c:pt idx="523">
                  <c:v>70.281609378071323</c:v>
                </c:pt>
                <c:pt idx="524">
                  <c:v>70.030654683421105</c:v>
                </c:pt>
                <c:pt idx="525">
                  <c:v>69.780109946622943</c:v>
                </c:pt>
                <c:pt idx="526">
                  <c:v>69.529978505213194</c:v>
                </c:pt>
                <c:pt idx="527">
                  <c:v>69.280263659701546</c:v>
                </c:pt>
                <c:pt idx="528">
                  <c:v>69.030968673633382</c:v>
                </c:pt>
                <c:pt idx="529">
                  <c:v>68.782096773655084</c:v>
                </c:pt>
                <c:pt idx="530">
                  <c:v>68.533651149581786</c:v>
                </c:pt>
                <c:pt idx="531">
                  <c:v>68.28563495446754</c:v>
                </c:pt>
                <c:pt idx="532">
                  <c:v>68.038051304677879</c:v>
                </c:pt>
                <c:pt idx="533">
                  <c:v>67.79090327996505</c:v>
                </c:pt>
                <c:pt idx="534">
                  <c:v>67.544193923545663</c:v>
                </c:pt>
                <c:pt idx="535">
                  <c:v>67.297926242180708</c:v>
                </c:pt>
                <c:pt idx="536">
                  <c:v>67.05210320625757</c:v>
                </c:pt>
                <c:pt idx="537">
                  <c:v>66.806727749875151</c:v>
                </c:pt>
                <c:pt idx="538">
                  <c:v>66.561802770930356</c:v>
                </c:pt>
                <c:pt idx="539">
                  <c:v>66.317331131207709</c:v>
                </c:pt>
                <c:pt idx="540">
                  <c:v>66.073315656470427</c:v>
                </c:pt>
                <c:pt idx="541">
                  <c:v>65.829759136554415</c:v>
                </c:pt>
                <c:pt idx="542">
                  <c:v>65.586664325463971</c:v>
                </c:pt>
                <c:pt idx="543">
                  <c:v>65.344033941469618</c:v>
                </c:pt>
                <c:pt idx="544">
                  <c:v>65.10187066720826</c:v>
                </c:pt>
                <c:pt idx="545">
                  <c:v>64.860177149785443</c:v>
                </c:pt>
                <c:pt idx="546">
                  <c:v>64.618956000879194</c:v>
                </c:pt>
                <c:pt idx="547">
                  <c:v>64.378209796846718</c:v>
                </c:pt>
                <c:pt idx="548">
                  <c:v>64.137941078832029</c:v>
                </c:pt>
                <c:pt idx="549">
                  <c:v>63.898152352876387</c:v>
                </c:pt>
                <c:pt idx="550">
                  <c:v>63.640446799022492</c:v>
                </c:pt>
                <c:pt idx="551">
                  <c:v>63.34028865820197</c:v>
                </c:pt>
                <c:pt idx="552">
                  <c:v>63.040740719590318</c:v>
                </c:pt>
                <c:pt idx="553">
                  <c:v>62.741806146311333</c:v>
                </c:pt>
                <c:pt idx="554">
                  <c:v>62.443488051570583</c:v>
                </c:pt>
                <c:pt idx="555">
                  <c:v>62.145789498842603</c:v>
                </c:pt>
                <c:pt idx="556">
                  <c:v>61.848713502060747</c:v>
                </c:pt>
                <c:pt idx="557">
                  <c:v>61.552263025810142</c:v>
                </c:pt>
                <c:pt idx="558">
                  <c:v>61.256440985523064</c:v>
                </c:pt>
                <c:pt idx="559">
                  <c:v>60.961250247677455</c:v>
                </c:pt>
                <c:pt idx="560">
                  <c:v>60.666693629997489</c:v>
                </c:pt>
                <c:pt idx="561">
                  <c:v>60.372773901657467</c:v>
                </c:pt>
                <c:pt idx="562">
                  <c:v>60.079493783487457</c:v>
                </c:pt>
                <c:pt idx="563">
                  <c:v>59.786855948182207</c:v>
                </c:pt>
                <c:pt idx="564">
                  <c:v>59.494863020511815</c:v>
                </c:pt>
                <c:pt idx="565">
                  <c:v>59.2035175775355</c:v>
                </c:pt>
                <c:pt idx="566">
                  <c:v>58.912822148816822</c:v>
                </c:pt>
                <c:pt idx="567">
                  <c:v>58.62277921664203</c:v>
                </c:pt>
                <c:pt idx="568">
                  <c:v>58.333391216240216</c:v>
                </c:pt>
                <c:pt idx="569">
                  <c:v>58.044660536005779</c:v>
                </c:pt>
                <c:pt idx="570">
                  <c:v>57.756589517722624</c:v>
                </c:pt>
                <c:pt idx="571">
                  <c:v>57.469180456791378</c:v>
                </c:pt>
                <c:pt idx="572">
                  <c:v>57.182435602457481</c:v>
                </c:pt>
                <c:pt idx="573">
                  <c:v>56.896357158042385</c:v>
                </c:pt>
                <c:pt idx="574">
                  <c:v>56.61094728117547</c:v>
                </c:pt>
                <c:pt idx="575">
                  <c:v>56.326208084029332</c:v>
                </c:pt>
                <c:pt idx="576">
                  <c:v>56.042141633555254</c:v>
                </c:pt>
                <c:pt idx="577">
                  <c:v>55.75874995172191</c:v>
                </c:pt>
                <c:pt idx="578">
                  <c:v>55.476035015754668</c:v>
                </c:pt>
                <c:pt idx="579">
                  <c:v>55.193998758377752</c:v>
                </c:pt>
                <c:pt idx="580">
                  <c:v>54.912643068056894</c:v>
                </c:pt>
                <c:pt idx="581">
                  <c:v>54.631969789244089</c:v>
                </c:pt>
                <c:pt idx="582">
                  <c:v>54.351980722624269</c:v>
                </c:pt>
                <c:pt idx="583">
                  <c:v>54.072677625362886</c:v>
                </c:pt>
                <c:pt idx="584">
                  <c:v>53.794062211355005</c:v>
                </c:pt>
                <c:pt idx="585">
                  <c:v>53.516136151476459</c:v>
                </c:pt>
                <c:pt idx="586">
                  <c:v>53.238901073835322</c:v>
                </c:pt>
                <c:pt idx="587">
                  <c:v>52.962358564025855</c:v>
                </c:pt>
                <c:pt idx="588">
                  <c:v>52.686510165382622</c:v>
                </c:pt>
                <c:pt idx="589">
                  <c:v>52.41135737923674</c:v>
                </c:pt>
                <c:pt idx="590">
                  <c:v>52.136901665172893</c:v>
                </c:pt>
                <c:pt idx="591">
                  <c:v>51.863144441287197</c:v>
                </c:pt>
                <c:pt idx="592">
                  <c:v>51.590087084446971</c:v>
                </c:pt>
                <c:pt idx="593">
                  <c:v>51.317730930550937</c:v>
                </c:pt>
                <c:pt idx="594">
                  <c:v>51.046077274790427</c:v>
                </c:pt>
                <c:pt idx="595">
                  <c:v>50.775127371912077</c:v>
                </c:pt>
                <c:pt idx="596">
                  <c:v>50.504882436480806</c:v>
                </c:pt>
                <c:pt idx="597">
                  <c:v>50.235343643144198</c:v>
                </c:pt>
                <c:pt idx="598">
                  <c:v>49.966512126897378</c:v>
                </c:pt>
                <c:pt idx="599">
                  <c:v>49.698388983349126</c:v>
                </c:pt>
                <c:pt idx="600">
                  <c:v>49.430975268988185</c:v>
                </c:pt>
                <c:pt idx="601">
                  <c:v>49.16427200145079</c:v>
                </c:pt>
                <c:pt idx="602">
                  <c:v>48.898280159788712</c:v>
                </c:pt>
                <c:pt idx="603">
                  <c:v>48.633000684737738</c:v>
                </c:pt>
                <c:pt idx="604">
                  <c:v>48.368434478987339</c:v>
                </c:pt>
                <c:pt idx="605">
                  <c:v>48.104582407450209</c:v>
                </c:pt>
                <c:pt idx="606">
                  <c:v>47.841445297532871</c:v>
                </c:pt>
                <c:pt idx="607">
                  <c:v>47.579023939406575</c:v>
                </c:pt>
                <c:pt idx="608">
                  <c:v>47.317319086278545</c:v>
                </c:pt>
                <c:pt idx="609">
                  <c:v>47.056331454664026</c:v>
                </c:pt>
                <c:pt idx="610">
                  <c:v>46.796061724658337</c:v>
                </c:pt>
                <c:pt idx="611">
                  <c:v>46.536510540209392</c:v>
                </c:pt>
                <c:pt idx="612">
                  <c:v>46.111448986797129</c:v>
                </c:pt>
                <c:pt idx="613">
                  <c:v>45.687527784735238</c:v>
                </c:pt>
                <c:pt idx="614">
                  <c:v>45.264748993896099</c:v>
                </c:pt>
                <c:pt idx="615">
                  <c:v>44.843114589012018</c:v>
                </c:pt>
                <c:pt idx="616">
                  <c:v>44.422626460334683</c:v>
                </c:pt>
                <c:pt idx="617">
                  <c:v>44.003286414295594</c:v>
                </c:pt>
                <c:pt idx="618">
                  <c:v>43.58509617416815</c:v>
                </c:pt>
                <c:pt idx="619">
                  <c:v>43.1680573807324</c:v>
                </c:pt>
                <c:pt idx="620">
                  <c:v>42.752171592940826</c:v>
                </c:pt>
                <c:pt idx="621">
                  <c:v>42.337440288586592</c:v>
                </c:pt>
                <c:pt idx="622">
                  <c:v>41.923864864972558</c:v>
                </c:pt>
                <c:pt idx="623">
                  <c:v>41.511446639582616</c:v>
                </c:pt>
                <c:pt idx="624">
                  <c:v>41.100186850753822</c:v>
                </c:pt>
                <c:pt idx="625">
                  <c:v>40.690086658349962</c:v>
                </c:pt>
                <c:pt idx="626">
                  <c:v>40.281147144435963</c:v>
                </c:pt>
                <c:pt idx="627">
                  <c:v>39.873369313953816</c:v>
                </c:pt>
                <c:pt idx="628">
                  <c:v>39.466754095398898</c:v>
                </c:pt>
                <c:pt idx="629">
                  <c:v>39.061302341497175</c:v>
                </c:pt>
                <c:pt idx="630">
                  <c:v>38.657014829883408</c:v>
                </c:pt>
                <c:pt idx="631">
                  <c:v>38.253892263779164</c:v>
                </c:pt>
                <c:pt idx="632">
                  <c:v>37.8519352726722</c:v>
                </c:pt>
                <c:pt idx="633">
                  <c:v>37.451144412995447</c:v>
                </c:pt>
                <c:pt idx="634">
                  <c:v>37.051520168806576</c:v>
                </c:pt>
                <c:pt idx="635">
                  <c:v>36.653062952467458</c:v>
                </c:pt>
                <c:pt idx="636">
                  <c:v>36.255773105323975</c:v>
                </c:pt>
                <c:pt idx="637">
                  <c:v>35.859650898385389</c:v>
                </c:pt>
                <c:pt idx="638">
                  <c:v>35.464696533003981</c:v>
                </c:pt>
                <c:pt idx="639">
                  <c:v>35.070910141553703</c:v>
                </c:pt>
                <c:pt idx="640">
                  <c:v>34.678291788109334</c:v>
                </c:pt>
                <c:pt idx="641">
                  <c:v>34.286841469124511</c:v>
                </c:pt>
                <c:pt idx="642">
                  <c:v>33.896559114109444</c:v>
                </c:pt>
                <c:pt idx="643">
                  <c:v>33.507444586308068</c:v>
                </c:pt>
                <c:pt idx="644">
                  <c:v>33.11949768337422</c:v>
                </c:pt>
                <c:pt idx="645">
                  <c:v>32.732718138047325</c:v>
                </c:pt>
                <c:pt idx="646">
                  <c:v>31.882325416527582</c:v>
                </c:pt>
                <c:pt idx="647">
                  <c:v>30.982751912364964</c:v>
                </c:pt>
                <c:pt idx="648">
                  <c:v>30.085844750755289</c:v>
                </c:pt>
                <c:pt idx="649">
                  <c:v>29.191610814456475</c:v>
                </c:pt>
                <c:pt idx="650">
                  <c:v>28.300056649256518</c:v>
                </c:pt>
                <c:pt idx="651">
                  <c:v>27.411188467112069</c:v>
                </c:pt>
                <c:pt idx="652">
                  <c:v>26.525012149305422</c:v>
                </c:pt>
                <c:pt idx="653">
                  <c:v>25.641533249618629</c:v>
                </c:pt>
                <c:pt idx="654">
                  <c:v>24.760756997522666</c:v>
                </c:pt>
                <c:pt idx="655">
                  <c:v>23.882688301383247</c:v>
                </c:pt>
                <c:pt idx="656">
                  <c:v>23.00733175167894</c:v>
                </c:pt>
                <c:pt idx="657">
                  <c:v>22.134691624233174</c:v>
                </c:pt>
                <c:pt idx="658">
                  <c:v>21.264771883457627</c:v>
                </c:pt>
                <c:pt idx="659">
                  <c:v>20.397576185606599</c:v>
                </c:pt>
                <c:pt idx="660">
                  <c:v>19.533107882041389</c:v>
                </c:pt>
                <c:pt idx="661">
                  <c:v>18.671370022503787</c:v>
                </c:pt>
                <c:pt idx="662">
                  <c:v>17.812365358396786</c:v>
                </c:pt>
                <c:pt idx="663">
                  <c:v>16.956096346073508</c:v>
                </c:pt>
                <c:pt idx="664">
                  <c:v>16.102565150131188</c:v>
                </c:pt>
                <c:pt idx="665">
                  <c:v>15.251773646710923</c:v>
                </c:pt>
                <c:pt idx="666">
                  <c:v>13.414472822132282</c:v>
                </c:pt>
                <c:pt idx="667">
                  <c:v>11.335643315662477</c:v>
                </c:pt>
                <c:pt idx="668">
                  <c:v>9.2636609534278911</c:v>
                </c:pt>
                <c:pt idx="669">
                  <c:v>7.1985718797543718</c:v>
                </c:pt>
                <c:pt idx="670">
                  <c:v>5.1404204353329064</c:v>
                </c:pt>
                <c:pt idx="671">
                  <c:v>3.0892491729895362</c:v>
                </c:pt>
                <c:pt idx="672">
                  <c:v>1.0450988737816145</c:v>
                </c:pt>
                <c:pt idx="673">
                  <c:v>-0.9919914365938115</c:v>
                </c:pt>
                <c:pt idx="674">
                  <c:v>-3.0219844710932033</c:v>
                </c:pt>
                <c:pt idx="675">
                  <c:v>-5.0448446643333451</c:v>
                </c:pt>
                <c:pt idx="676">
                  <c:v>-7.0605381553272037</c:v>
                </c:pt>
                <c:pt idx="677">
                  <c:v>-9.0690327699601649</c:v>
                </c:pt>
                <c:pt idx="678">
                  <c:v>-11.070298003220989</c:v>
                </c:pt>
                <c:pt idx="679">
                  <c:v>-13.064305001199299</c:v>
                </c:pt>
                <c:pt idx="680">
                  <c:v>-15.051026542863909</c:v>
                </c:pt>
                <c:pt idx="681">
                  <c:v>-17.03043702163259</c:v>
                </c:pt>
                <c:pt idx="682">
                  <c:v>-19.002512426747472</c:v>
                </c:pt>
                <c:pt idx="683">
                  <c:v>-20.967230324467977</c:v>
                </c:pt>
                <c:pt idx="684">
                  <c:v>-22.924569839092474</c:v>
                </c:pt>
                <c:pt idx="685">
                  <c:v>-24.87451163382206</c:v>
                </c:pt>
                <c:pt idx="686">
                  <c:v>-26.817037891477113</c:v>
                </c:pt>
                <c:pt idx="687">
                  <c:v>-28.752132295078841</c:v>
                </c:pt>
                <c:pt idx="688">
                  <c:v>-30.679780008307254</c:v>
                </c:pt>
                <c:pt idx="689">
                  <c:v>-32.599967655846498</c:v>
                </c:pt>
                <c:pt idx="690">
                  <c:v>-34.512683303628677</c:v>
                </c:pt>
                <c:pt idx="691">
                  <c:v>-36.417916438987518</c:v>
                </c:pt>
                <c:pt idx="692">
                  <c:v>-38.315657950731733</c:v>
                </c:pt>
                <c:pt idx="693">
                  <c:v>-40.205900109149603</c:v>
                </c:pt>
                <c:pt idx="694">
                  <c:v>-42.088636545953662</c:v>
                </c:pt>
                <c:pt idx="695">
                  <c:v>-43.963862234177157</c:v>
                </c:pt>
                <c:pt idx="696">
                  <c:v>-45.831573468030818</c:v>
                </c:pt>
                <c:pt idx="697">
                  <c:v>-47.691767842730471</c:v>
                </c:pt>
                <c:pt idx="698">
                  <c:v>-49.544444234304635</c:v>
                </c:pt>
                <c:pt idx="699">
                  <c:v>-51.389602779391261</c:v>
                </c:pt>
                <c:pt idx="700">
                  <c:v>-53.227244855032851</c:v>
                </c:pt>
                <c:pt idx="701">
                  <c:v>-55.057373058478746</c:v>
                </c:pt>
                <c:pt idx="702">
                  <c:v>-56.879991187003263</c:v>
                </c:pt>
                <c:pt idx="703">
                  <c:v>-58.695104217748117</c:v>
                </c:pt>
                <c:pt idx="704">
                  <c:v>-60.502718287596871</c:v>
                </c:pt>
                <c:pt idx="705">
                  <c:v>-62.302840673090429</c:v>
                </c:pt>
                <c:pt idx="706">
                  <c:v>-64.095479770390455</c:v>
                </c:pt>
                <c:pt idx="707">
                  <c:v>-65.880645075298702</c:v>
                </c:pt>
                <c:pt idx="708">
                  <c:v>-67.685336816277356</c:v>
                </c:pt>
                <c:pt idx="709">
                  <c:v>-69.725426965860166</c:v>
                </c:pt>
                <c:pt idx="710">
                  <c:v>-71.756796661415123</c:v>
                </c:pt>
                <c:pt idx="711">
                  <c:v>-73.779452948094615</c:v>
                </c:pt>
                <c:pt idx="712">
                  <c:v>-75.793404307515402</c:v>
                </c:pt>
                <c:pt idx="713">
                  <c:v>-77.798660631613842</c:v>
                </c:pt>
                <c:pt idx="714">
                  <c:v>-79.795233196574131</c:v>
                </c:pt>
                <c:pt idx="715">
                  <c:v>-81.783134636840089</c:v>
                </c:pt>
                <c:pt idx="716">
                  <c:v>-83.762378919220609</c:v>
                </c:pt>
                <c:pt idx="717">
                  <c:v>-85.73298131709825</c:v>
                </c:pt>
                <c:pt idx="718">
                  <c:v>-87.69495838475197</c:v>
                </c:pt>
                <c:pt idx="719">
                  <c:v>-89.648327931801646</c:v>
                </c:pt>
                <c:pt idx="720">
                  <c:v>-91.593108997784881</c:v>
                </c:pt>
                <c:pt idx="721">
                  <c:v>-93.529321826874039</c:v>
                </c:pt>
                <c:pt idx="722">
                  <c:v>-95.456987842742365</c:v>
                </c:pt>
                <c:pt idx="723">
                  <c:v>-97.376129623586763</c:v>
                </c:pt>
                <c:pt idx="724">
                  <c:v>-99.286770877316272</c:v>
                </c:pt>
                <c:pt idx="725">
                  <c:v>-104.62046233699262</c:v>
                </c:pt>
                <c:pt idx="726">
                  <c:v>-111.39756252863667</c:v>
                </c:pt>
                <c:pt idx="727">
                  <c:v>-110.78293429005515</c:v>
                </c:pt>
                <c:pt idx="728">
                  <c:v>-110.17326199233653</c:v>
                </c:pt>
                <c:pt idx="729">
                  <c:v>-109.56849194852393</c:v>
                </c:pt>
                <c:pt idx="730">
                  <c:v>-108.96857120155695</c:v>
                </c:pt>
                <c:pt idx="731">
                  <c:v>-108.37344751234477</c:v>
                </c:pt>
                <c:pt idx="732">
                  <c:v>-107.78306934806643</c:v>
                </c:pt>
                <c:pt idx="733">
                  <c:v>-107.19738587069374</c:v>
                </c:pt>
                <c:pt idx="734">
                  <c:v>-106.61634692573182</c:v>
                </c:pt>
                <c:pt idx="735">
                  <c:v>-106.03990303117237</c:v>
                </c:pt>
                <c:pt idx="736">
                  <c:v>-105.4680053666559</c:v>
                </c:pt>
                <c:pt idx="737">
                  <c:v>-104.90060576283722</c:v>
                </c:pt>
                <c:pt idx="738">
                  <c:v>-104.33765669095071</c:v>
                </c:pt>
                <c:pt idx="739">
                  <c:v>-103.77911125257064</c:v>
                </c:pt>
                <c:pt idx="740">
                  <c:v>-103.22492316956281</c:v>
                </c:pt>
                <c:pt idx="741">
                  <c:v>-102.67504677422276</c:v>
                </c:pt>
                <c:pt idx="742">
                  <c:v>-102.1294369995974</c:v>
                </c:pt>
                <c:pt idx="743">
                  <c:v>-101.58804936998534</c:v>
                </c:pt>
                <c:pt idx="744">
                  <c:v>-101.05083999161289</c:v>
                </c:pt>
                <c:pt idx="745">
                  <c:v>-100.51776554348142</c:v>
                </c:pt>
                <c:pt idx="746">
                  <c:v>-99.988783268382946</c:v>
                </c:pt>
                <c:pt idx="747">
                  <c:v>-99.463850964080109</c:v>
                </c:pt>
                <c:pt idx="748">
                  <c:v>-98.942926974647307</c:v>
                </c:pt>
                <c:pt idx="749">
                  <c:v>-98.42597018196922</c:v>
                </c:pt>
                <c:pt idx="750">
                  <c:v>-97.912939997394218</c:v>
                </c:pt>
                <c:pt idx="751">
                  <c:v>-97.403796353538553</c:v>
                </c:pt>
                <c:pt idx="752">
                  <c:v>-96.898499696238872</c:v>
                </c:pt>
                <c:pt idx="753">
                  <c:v>-96.39701097664981</c:v>
                </c:pt>
                <c:pt idx="754">
                  <c:v>-95.899291643483195</c:v>
                </c:pt>
                <c:pt idx="755">
                  <c:v>-95.405303635387057</c:v>
                </c:pt>
                <c:pt idx="756">
                  <c:v>-94.915009373460151</c:v>
                </c:pt>
                <c:pt idx="757">
                  <c:v>-94.428371753900592</c:v>
                </c:pt>
                <c:pt idx="758">
                  <c:v>-93.945354140785028</c:v>
                </c:pt>
                <c:pt idx="759">
                  <c:v>-93.465920358975609</c:v>
                </c:pt>
                <c:pt idx="760">
                  <c:v>-92.990034687153099</c:v>
                </c:pt>
                <c:pt idx="761">
                  <c:v>-92.517661850972416</c:v>
                </c:pt>
                <c:pt idx="762">
                  <c:v>-92.048767016338928</c:v>
                </c:pt>
                <c:pt idx="763">
                  <c:v>-91.583315782802757</c:v>
                </c:pt>
                <c:pt idx="764">
                  <c:v>-91.121274177068869</c:v>
                </c:pt>
                <c:pt idx="765">
                  <c:v>-90.6626086466202</c:v>
                </c:pt>
                <c:pt idx="766">
                  <c:v>-90.207286053452506</c:v>
                </c:pt>
                <c:pt idx="767">
                  <c:v>-89.755273667917635</c:v>
                </c:pt>
                <c:pt idx="768">
                  <c:v>-89.306539162673687</c:v>
                </c:pt>
                <c:pt idx="769">
                  <c:v>-88.861050606739795</c:v>
                </c:pt>
                <c:pt idx="770">
                  <c:v>-88.418776459653529</c:v>
                </c:pt>
                <c:pt idx="771">
                  <c:v>-87.979685565728857</c:v>
                </c:pt>
                <c:pt idx="772">
                  <c:v>-87.54374714841255</c:v>
                </c:pt>
                <c:pt idx="773">
                  <c:v>-87.110930804737265</c:v>
                </c:pt>
                <c:pt idx="774">
                  <c:v>-86.681206499869447</c:v>
                </c:pt>
                <c:pt idx="775">
                  <c:v>-86.254544561750038</c:v>
                </c:pt>
                <c:pt idx="776">
                  <c:v>-85.830915675826304</c:v>
                </c:pt>
                <c:pt idx="777">
                  <c:v>-85.410290879872818</c:v>
                </c:pt>
                <c:pt idx="778">
                  <c:v>-84.992641558900559</c:v>
                </c:pt>
                <c:pt idx="779">
                  <c:v>-84.577939440151084</c:v>
                </c:pt>
                <c:pt idx="780">
                  <c:v>-84.166156588175639</c:v>
                </c:pt>
                <c:pt idx="781">
                  <c:v>-83.757265399996584</c:v>
                </c:pt>
                <c:pt idx="782">
                  <c:v>-83.35123860034966</c:v>
                </c:pt>
                <c:pt idx="783">
                  <c:v>-82.948049237006302</c:v>
                </c:pt>
                <c:pt idx="784">
                  <c:v>-82.54767067617334</c:v>
                </c:pt>
                <c:pt idx="785">
                  <c:v>-82.150076597969445</c:v>
                </c:pt>
                <c:pt idx="786">
                  <c:v>-81.755240991976564</c:v>
                </c:pt>
                <c:pt idx="787">
                  <c:v>-81.363138152865091</c:v>
                </c:pt>
                <c:pt idx="788">
                  <c:v>-80.973742676090808</c:v>
                </c:pt>
                <c:pt idx="789">
                  <c:v>-80.587029453663263</c:v>
                </c:pt>
                <c:pt idx="790">
                  <c:v>-80.202973669983365</c:v>
                </c:pt>
                <c:pt idx="791">
                  <c:v>-79.821550797748955</c:v>
                </c:pt>
                <c:pt idx="792">
                  <c:v>-79.442736593927776</c:v>
                </c:pt>
                <c:pt idx="793">
                  <c:v>-79.066507095795913</c:v>
                </c:pt>
                <c:pt idx="794">
                  <c:v>-78.692838617040636</c:v>
                </c:pt>
                <c:pt idx="795">
                  <c:v>-78.321707743926481</c:v>
                </c:pt>
                <c:pt idx="796">
                  <c:v>-77.953091331523595</c:v>
                </c:pt>
                <c:pt idx="797">
                  <c:v>-77.586966499996947</c:v>
                </c:pt>
                <c:pt idx="798">
                  <c:v>-77.22331063095514</c:v>
                </c:pt>
                <c:pt idx="799">
                  <c:v>-76.862101363858301</c:v>
                </c:pt>
                <c:pt idx="800">
                  <c:v>-76.503316592483316</c:v>
                </c:pt>
                <c:pt idx="801">
                  <c:v>-76.146934461445809</c:v>
                </c:pt>
                <c:pt idx="802">
                  <c:v>-72.652312759604428</c:v>
                </c:pt>
                <c:pt idx="803">
                  <c:v>-69.384334974804474</c:v>
                </c:pt>
                <c:pt idx="804">
                  <c:v>-66.323573511459344</c:v>
                </c:pt>
                <c:pt idx="805">
                  <c:v>-63.452658135373305</c:v>
                </c:pt>
                <c:pt idx="806">
                  <c:v>-60.75601830922335</c:v>
                </c:pt>
                <c:pt idx="807">
                  <c:v>-58.219662584017421</c:v>
                </c:pt>
                <c:pt idx="808">
                  <c:v>-55.830989056160128</c:v>
                </c:pt>
                <c:pt idx="809">
                  <c:v>-53.578621970868149</c:v>
                </c:pt>
                <c:pt idx="810">
                  <c:v>-51.452270414605913</c:v>
                </c:pt>
                <c:pt idx="811">
                  <c:v>-49.442605736129458</c:v>
                </c:pt>
                <c:pt idx="812">
                  <c:v>-47.541154901799395</c:v>
                </c:pt>
                <c:pt idx="813">
                  <c:v>-45.740207452635467</c:v>
                </c:pt>
                <c:pt idx="814">
                  <c:v>-44.032734108918511</c:v>
                </c:pt>
                <c:pt idx="815">
                  <c:v>-42.412315379338914</c:v>
                </c:pt>
                <c:pt idx="816">
                  <c:v>-40.87307878864884</c:v>
                </c:pt>
                <c:pt idx="817">
                  <c:v>-39.409643550738167</c:v>
                </c:pt>
                <c:pt idx="818">
                  <c:v>-38.017071691184576</c:v>
                </c:pt>
                <c:pt idx="819">
                  <c:v>-36.6908247711618</c:v>
                </c:pt>
                <c:pt idx="820">
                  <c:v>-35.426725488380725</c:v>
                </c:pt>
                <c:pt idx="821">
                  <c:v>-34.220923534726843</c:v>
                </c:pt>
                <c:pt idx="822">
                  <c:v>-33.069865177880729</c:v>
                </c:pt>
                <c:pt idx="823">
                  <c:v>-31.970266108259299</c:v>
                </c:pt>
                <c:pt idx="824">
                  <c:v>-30.919087155379394</c:v>
                </c:pt>
                <c:pt idx="825">
                  <c:v>-29.91351253108478</c:v>
                </c:pt>
                <c:pt idx="826">
                  <c:v>-28.950930302534569</c:v>
                </c:pt>
                <c:pt idx="827">
                  <c:v>-28.028914836685992</c:v>
                </c:pt>
                <c:pt idx="828">
                  <c:v>-27.145210991268929</c:v>
                </c:pt>
                <c:pt idx="829">
                  <c:v>-26.297719855809117</c:v>
                </c:pt>
                <c:pt idx="830">
                  <c:v>-25.484485870836192</c:v>
                </c:pt>
                <c:pt idx="831">
                  <c:v>-24.703685174614488</c:v>
                </c:pt>
                <c:pt idx="832">
                  <c:v>-23.953615045062335</c:v>
                </c:pt>
                <c:pt idx="833">
                  <c:v>-23.232684320404466</c:v>
                </c:pt>
                <c:pt idx="834">
                  <c:v>-22.539404695886958</c:v>
                </c:pt>
                <c:pt idx="835">
                  <c:v>-21.872382805875411</c:v>
                </c:pt>
                <c:pt idx="836">
                  <c:v>-21.230313011109224</c:v>
                </c:pt>
                <c:pt idx="837">
                  <c:v>-20.611970820011948</c:v>
                </c:pt>
                <c:pt idx="838">
                  <c:v>-20.016206880943436</c:v>
                </c:pt>
                <c:pt idx="839">
                  <c:v>-19.44194148927831</c:v>
                </c:pt>
                <c:pt idx="840">
                  <c:v>-18.888159559341204</c:v>
                </c:pt>
                <c:pt idx="841">
                  <c:v>-18.353906016633616</c:v>
                </c:pt>
                <c:pt idx="842">
                  <c:v>-17.838281570549523</c:v>
                </c:pt>
                <c:pt idx="843">
                  <c:v>-17.340438831978307</c:v>
                </c:pt>
                <c:pt idx="844">
                  <c:v>-16.859578743907822</c:v>
                </c:pt>
                <c:pt idx="845">
                  <c:v>-16.394947296427006</c:v>
                </c:pt>
                <c:pt idx="846">
                  <c:v>-15.945832500442371</c:v>
                </c:pt>
                <c:pt idx="847">
                  <c:v>-15.511561597009594</c:v>
                </c:pt>
                <c:pt idx="848">
                  <c:v>-15.091498481481862</c:v>
                </c:pt>
                <c:pt idx="849">
                  <c:v>-14.685041323724747</c:v>
                </c:pt>
                <c:pt idx="850">
                  <c:v>-14.291620367473252</c:v>
                </c:pt>
                <c:pt idx="851">
                  <c:v>-13.910695893536888</c:v>
                </c:pt>
                <c:pt idx="852">
                  <c:v>-13.541756333015476</c:v>
                </c:pt>
                <c:pt idx="853">
                  <c:v>-13.184316517992965</c:v>
                </c:pt>
                <c:pt idx="854">
                  <c:v>-12.83791605834478</c:v>
                </c:pt>
                <c:pt idx="855">
                  <c:v>-12.502117834343458</c:v>
                </c:pt>
                <c:pt idx="856">
                  <c:v>-12.176506595688632</c:v>
                </c:pt>
                <c:pt idx="857">
                  <c:v>-11.860687658435257</c:v>
                </c:pt>
                <c:pt idx="858">
                  <c:v>-11.554285692056288</c:v>
                </c:pt>
                <c:pt idx="859">
                  <c:v>-11.256943589563793</c:v>
                </c:pt>
                <c:pt idx="860">
                  <c:v>-10.96832141423287</c:v>
                </c:pt>
                <c:pt idx="861">
                  <c:v>-10.688095417033146</c:v>
                </c:pt>
                <c:pt idx="862">
                  <c:v>-10.415957119379424</c:v>
                </c:pt>
                <c:pt idx="863">
                  <c:v>-10.151612456271842</c:v>
                </c:pt>
                <c:pt idx="864">
                  <c:v>-9.8947809753115319</c:v>
                </c:pt>
                <c:pt idx="865">
                  <c:v>-9.6451950874547556</c:v>
                </c:pt>
                <c:pt idx="866">
                  <c:v>-9.4025993657108184</c:v>
                </c:pt>
                <c:pt idx="867">
                  <c:v>-9.1667498883000871</c:v>
                </c:pt>
                <c:pt idx="868">
                  <c:v>-8.9374136230713273</c:v>
                </c:pt>
                <c:pt idx="869">
                  <c:v>-8.7143678502350763</c:v>
                </c:pt>
                <c:pt idx="870">
                  <c:v>-8.4973996207046234</c:v>
                </c:pt>
                <c:pt idx="871">
                  <c:v>-8.2863052475500272</c:v>
                </c:pt>
                <c:pt idx="872">
                  <c:v>-8.0808898282660255</c:v>
                </c:pt>
                <c:pt idx="873">
                  <c:v>-7.8809667957332366</c:v>
                </c:pt>
                <c:pt idx="874">
                  <c:v>-7.6863574959151784</c:v>
                </c:pt>
                <c:pt idx="875">
                  <c:v>-7.4968907904828654</c:v>
                </c:pt>
                <c:pt idx="876">
                  <c:v>-7.3124026826957547</c:v>
                </c:pt>
                <c:pt idx="877">
                  <c:v>-7.1327359649927953</c:v>
                </c:pt>
                <c:pt idx="878">
                  <c:v>-6.9577398868625959</c:v>
                </c:pt>
                <c:pt idx="879">
                  <c:v>-6.7872698416669905</c:v>
                </c:pt>
                <c:pt idx="880">
                  <c:v>-6.621187071189409</c:v>
                </c:pt>
                <c:pt idx="881">
                  <c:v>-6.4593583867683844</c:v>
                </c:pt>
                <c:pt idx="882">
                  <c:v>-6.3016559059585875</c:v>
                </c:pt>
                <c:pt idx="883">
                  <c:v>-6.1479568037371806</c:v>
                </c:pt>
                <c:pt idx="884">
                  <c:v>-5.9981430773428004</c:v>
                </c:pt>
                <c:pt idx="885">
                  <c:v>-5.8521013238985002</c:v>
                </c:pt>
                <c:pt idx="886">
                  <c:v>-5.7097225300291621</c:v>
                </c:pt>
                <c:pt idx="887">
                  <c:v>-5.5709018727383137</c:v>
                </c:pt>
                <c:pt idx="888">
                  <c:v>-5.4355385308597777</c:v>
                </c:pt>
                <c:pt idx="889">
                  <c:v>-5.3035355064460434</c:v>
                </c:pt>
                <c:pt idx="890">
                  <c:v>-5.1747994554984063</c:v>
                </c:pt>
                <c:pt idx="891">
                  <c:v>-5.0492405274836409</c:v>
                </c:pt>
                <c:pt idx="892">
                  <c:v>-4.926772213119011</c:v>
                </c:pt>
                <c:pt idx="893">
                  <c:v>-4.8073111999414104</c:v>
                </c:pt>
                <c:pt idx="894">
                  <c:v>-4.6907772352083592</c:v>
                </c:pt>
                <c:pt idx="895">
                  <c:v>-4.5770929957076616</c:v>
                </c:pt>
                <c:pt idx="896">
                  <c:v>-4.4661839640800709</c:v>
                </c:pt>
                <c:pt idx="897">
                  <c:v>-4.3579783112844748</c:v>
                </c:pt>
                <c:pt idx="898">
                  <c:v>-4.2524067848586737</c:v>
                </c:pt>
                <c:pt idx="899">
                  <c:v>-4.1494026026506967</c:v>
                </c:pt>
                <c:pt idx="900">
                  <c:v>-4.048901351715938</c:v>
                </c:pt>
                <c:pt idx="901">
                  <c:v>-3.9508408920943165</c:v>
                </c:pt>
                <c:pt idx="902">
                  <c:v>-3.855161265199242</c:v>
                </c:pt>
                <c:pt idx="903">
                  <c:v>-3.7618046065666451</c:v>
                </c:pt>
                <c:pt idx="904">
                  <c:v>-3.6707150627275369</c:v>
                </c:pt>
                <c:pt idx="905">
                  <c:v>-3.5818387119818924</c:v>
                </c:pt>
                <c:pt idx="906">
                  <c:v>-3.4951234888648592</c:v>
                </c:pt>
                <c:pt idx="907">
                  <c:v>-3.4105191121088017</c:v>
                </c:pt>
                <c:pt idx="908">
                  <c:v>-3.3279770159161473</c:v>
                </c:pt>
                <c:pt idx="909">
                  <c:v>-3.2474502843689241</c:v>
                </c:pt>
                <c:pt idx="910">
                  <c:v>-3.1688935888109055</c:v>
                </c:pt>
                <c:pt idx="911">
                  <c:v>-3.0922631280477617</c:v>
                </c:pt>
                <c:pt idx="912">
                  <c:v>-3.0175165712194114</c:v>
                </c:pt>
                <c:pt idx="913">
                  <c:v>-2.9446130032070519</c:v>
                </c:pt>
                <c:pt idx="914">
                  <c:v>-2.8735128724450552</c:v>
                </c:pt>
                <c:pt idx="915">
                  <c:v>-2.8041779410151642</c:v>
                </c:pt>
                <c:pt idx="916">
                  <c:v>-2.7365712369071442</c:v>
                </c:pt>
                <c:pt idx="917">
                  <c:v>-2.6706570083364634</c:v>
                </c:pt>
                <c:pt idx="918">
                  <c:v>-2.6064006800154367</c:v>
                </c:pt>
                <c:pt idx="919">
                  <c:v>-2.5437688112798962</c:v>
                </c:pt>
                <c:pt idx="920">
                  <c:v>-2.4827290559786177</c:v>
                </c:pt>
                <c:pt idx="921">
                  <c:v>-2.4232501240376565</c:v>
                </c:pt>
                <c:pt idx="922">
                  <c:v>-2.3653017446163371</c:v>
                </c:pt>
                <c:pt idx="923">
                  <c:v>-2.3088546307759108</c:v>
                </c:pt>
                <c:pt idx="924">
                  <c:v>-2.253880445585974</c:v>
                </c:pt>
                <c:pt idx="925">
                  <c:v>-2.2003517695975128</c:v>
                </c:pt>
                <c:pt idx="926">
                  <c:v>-2.1482420696149864</c:v>
                </c:pt>
                <c:pt idx="927">
                  <c:v>-2.0975256687032311</c:v>
                </c:pt>
                <c:pt idx="928">
                  <c:v>-2.0481777173680995</c:v>
                </c:pt>
                <c:pt idx="929">
                  <c:v>-2.0001741658526653</c:v>
                </c:pt>
                <c:pt idx="930">
                  <c:v>-1.9534917374936638</c:v>
                </c:pt>
                <c:pt idx="931">
                  <c:v>-1.9081079030853947</c:v>
                </c:pt>
                <c:pt idx="932">
                  <c:v>-1.8640008562007879</c:v>
                </c:pt>
                <c:pt idx="933">
                  <c:v>-1.821149489421648</c:v>
                </c:pt>
                <c:pt idx="934">
                  <c:v>-1.7795333714322761</c:v>
                </c:pt>
                <c:pt idx="935">
                  <c:v>-1.7391327249327109</c:v>
                </c:pt>
                <c:pt idx="936">
                  <c:v>-1.6999284053297878</c:v>
                </c:pt>
                <c:pt idx="937">
                  <c:v>-1.6619018801660423</c:v>
                </c:pt>
                <c:pt idx="938">
                  <c:v>-1.6250352092482203</c:v>
                </c:pt>
                <c:pt idx="939">
                  <c:v>-1.5893110254388274</c:v>
                </c:pt>
                <c:pt idx="940">
                  <c:v>-1.5547125160756756</c:v>
                </c:pt>
                <c:pt idx="941">
                  <c:v>-1.5212234049859532</c:v>
                </c:pt>
                <c:pt idx="942">
                  <c:v>-1.4888279350626812</c:v>
                </c:pt>
                <c:pt idx="943">
                  <c:v>-1.4575108513728683</c:v>
                </c:pt>
                <c:pt idx="944">
                  <c:v>-1.4272573847679604</c:v>
                </c:pt>
                <c:pt idx="945">
                  <c:v>-1.3980532359684441</c:v>
                </c:pt>
                <c:pt idx="946">
                  <c:v>-1.3698845600957341</c:v>
                </c:pt>
                <c:pt idx="947">
                  <c:v>-1.3427379516256401</c:v>
                </c:pt>
                <c:pt idx="948">
                  <c:v>-1.3166004297389167</c:v>
                </c:pt>
                <c:pt idx="949">
                  <c:v>-1.2914594240455359</c:v>
                </c:pt>
                <c:pt idx="950">
                  <c:v>-1.267302760660493</c:v>
                </c:pt>
                <c:pt idx="951">
                  <c:v>-1.2441186486100555</c:v>
                </c:pt>
                <c:pt idx="952">
                  <c:v>-1.2218956665485401</c:v>
                </c:pt>
                <c:pt idx="953">
                  <c:v>-1.2006227497667996</c:v>
                </c:pt>
                <c:pt idx="954">
                  <c:v>-1.1802891774747664</c:v>
                </c:pt>
                <c:pt idx="955">
                  <c:v>-1.1608845603415188</c:v>
                </c:pt>
                <c:pt idx="956">
                  <c:v>-1.142398828277527</c:v>
                </c:pt>
                <c:pt idx="957">
                  <c:v>-1.1248222184448569</c:v>
                </c:pt>
                <c:pt idx="958">
                  <c:v>-1.1081452634823399</c:v>
                </c:pt>
                <c:pt idx="959">
                  <c:v>-1.0923587799338703</c:v>
                </c:pt>
                <c:pt idx="960">
                  <c:v>-1.077453856869212</c:v>
                </c:pt>
                <c:pt idx="961">
                  <c:v>-1.0634218446879184</c:v>
                </c:pt>
                <c:pt idx="962">
                  <c:v>-1.050254344098164</c:v>
                </c:pt>
                <c:pt idx="963">
                  <c:v>-1.037943195263529</c:v>
                </c:pt>
                <c:pt idx="964">
                  <c:v>-1.0264804671119863</c:v>
                </c:pt>
                <c:pt idx="965">
                  <c:v>-1.0158584468025382</c:v>
                </c:pt>
                <c:pt idx="966">
                  <c:v>-1.0060696293461502</c:v>
                </c:pt>
                <c:pt idx="967">
                  <c:v>-0.99710670737878582</c:v>
                </c:pt>
                <c:pt idx="968">
                  <c:v>-0.98896256108546854</c:v>
                </c:pt>
                <c:pt idx="969">
                  <c:v>-0.98163024827538892</c:v>
                </c:pt>
                <c:pt idx="970">
                  <c:v>-0.975102994609088</c:v>
                </c:pt>
                <c:pt idx="971">
                  <c:v>-0.96937418397974362</c:v>
                </c:pt>
                <c:pt idx="972">
                  <c:v>-0.96443734905143252</c:v>
                </c:pt>
                <c:pt idx="973">
                  <c:v>-0.96028616195810523</c:v>
                </c:pt>
                <c:pt idx="974">
                  <c:v>-0.95691442516768754</c:v>
                </c:pt>
                <c:pt idx="975">
                  <c:v>-0.95431606251637713</c:v>
                </c:pt>
                <c:pt idx="976">
                  <c:v>-0.95248511041871253</c:v>
                </c:pt>
                <c:pt idx="977">
                  <c:v>-0.95141570925940355</c:v>
                </c:pt>
                <c:pt idx="978">
                  <c:v>-0.95110209497323583</c:v>
                </c:pt>
                <c:pt idx="979">
                  <c:v>-0.95153859081953285</c:v>
                </c:pt>
                <c:pt idx="980">
                  <c:v>-0.95271959935776174</c:v>
                </c:pt>
                <c:pt idx="981">
                  <c:v>-0.95463959463082115</c:v>
                </c:pt>
                <c:pt idx="982">
                  <c:v>-0.95729311456244859</c:v>
                </c:pt>
                <c:pt idx="983">
                  <c:v>-0.96067475357492804</c:v>
                </c:pt>
                <c:pt idx="984">
                  <c:v>-0.96477915543296699</c:v>
                </c:pt>
                <c:pt idx="985">
                  <c:v>-0.96960100631921575</c:v>
                </c:pt>
                <c:pt idx="986">
                  <c:v>-0.97513502814640241</c:v>
                </c:pt>
                <c:pt idx="987">
                  <c:v>-0.98137597211052907</c:v>
                </c:pt>
                <c:pt idx="988">
                  <c:v>-0.98831861248897102</c:v>
                </c:pt>
                <c:pt idx="989">
                  <c:v>-0.99595774068667242</c:v>
                </c:pt>
                <c:pt idx="990">
                  <c:v>-1.0042881595329785</c:v>
                </c:pt>
                <c:pt idx="991">
                  <c:v>-1.0133046778309307</c:v>
                </c:pt>
                <c:pt idx="992">
                  <c:v>-1.0230021051601601</c:v>
                </c:pt>
                <c:pt idx="993">
                  <c:v>-1.0333752469338155</c:v>
                </c:pt>
                <c:pt idx="994">
                  <c:v>-1.0444188997092565</c:v>
                </c:pt>
                <c:pt idx="995">
                  <c:v>-1.0561278467515784</c:v>
                </c:pt>
                <c:pt idx="996">
                  <c:v>-1.068496853848373</c:v>
                </c:pt>
                <c:pt idx="997">
                  <c:v>-1.0815206653735241</c:v>
                </c:pt>
                <c:pt idx="998">
                  <c:v>-1.0951940005972285</c:v>
                </c:pt>
                <c:pt idx="999">
                  <c:v>-1.1095115502389137</c:v>
                </c:pt>
                <c:pt idx="1000">
                  <c:v>-1.1244679732592073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Calculs!$J$4:$J$1004</c:f>
              <c:numCache>
                <c:formatCode>0.00</c:formatCode>
                <c:ptCount val="1001"/>
                <c:pt idx="0">
                  <c:v>0</c:v>
                </c:pt>
                <c:pt idx="1">
                  <c:v>0</c:v>
                </c:pt>
                <c:pt idx="2">
                  <c:v>2.1286965640371534E-4</c:v>
                </c:pt>
                <c:pt idx="3">
                  <c:v>1.0752869482800148E-3</c:v>
                </c:pt>
                <c:pt idx="4">
                  <c:v>3.0350654723228713E-3</c:v>
                </c:pt>
                <c:pt idx="5">
                  <c:v>6.4541364070142843E-3</c:v>
                </c:pt>
                <c:pt idx="6">
                  <c:v>1.1522147617290123E-2</c:v>
                </c:pt>
                <c:pt idx="7">
                  <c:v>1.8342610026685718E-2</c:v>
                </c:pt>
                <c:pt idx="8">
                  <c:v>2.7019171657832148E-2</c:v>
                </c:pt>
                <c:pt idx="9">
                  <c:v>3.7632122054170887E-2</c:v>
                </c:pt>
                <c:pt idx="10">
                  <c:v>5.0214846408702343E-2</c:v>
                </c:pt>
                <c:pt idx="11">
                  <c:v>6.4777256166770963E-2</c:v>
                </c:pt>
                <c:pt idx="12">
                  <c:v>8.132926678256977E-2</c:v>
                </c:pt>
                <c:pt idx="13">
                  <c:v>9.9880797628077084E-2</c:v>
                </c:pt>
                <c:pt idx="14">
                  <c:v>0.1204417719010293</c:v>
                </c:pt>
                <c:pt idx="15">
                  <c:v>0.14302211653192831</c:v>
                </c:pt>
                <c:pt idx="16">
                  <c:v>0.1676317620900824</c:v>
                </c:pt>
                <c:pt idx="17">
                  <c:v>0.19428064268867923</c:v>
                </c:pt>
                <c:pt idx="18">
                  <c:v>0.22297869588888994</c:v>
                </c:pt>
                <c:pt idx="19">
                  <c:v>0.25373586260300307</c:v>
                </c:pt>
                <c:pt idx="20">
                  <c:v>0.28656208699658731</c:v>
                </c:pt>
                <c:pt idx="21">
                  <c:v>0.32146566948239463</c:v>
                </c:pt>
                <c:pt idx="22">
                  <c:v>0.35845079239139011</c:v>
                </c:pt>
                <c:pt idx="23">
                  <c:v>0.39751916048181207</c:v>
                </c:pt>
                <c:pt idx="24">
                  <c:v>0.43867246879931882</c:v>
                </c:pt>
                <c:pt idx="25">
                  <c:v>0.4819124026351711</c:v>
                </c:pt>
                <c:pt idx="26">
                  <c:v>0.5272406374845745</c:v>
                </c:pt>
                <c:pt idx="27">
                  <c:v>0.57465883900518289</c:v>
                </c:pt>
                <c:pt idx="28">
                  <c:v>0.62416866297576645</c:v>
                </c:pt>
                <c:pt idx="29">
                  <c:v>0.67577175525504551</c:v>
                </c:pt>
                <c:pt idx="30">
                  <c:v>0.72946975174069251</c:v>
                </c:pt>
                <c:pt idx="31">
                  <c:v>0.78526427832850532</c:v>
                </c:pt>
                <c:pt idx="32">
                  <c:v>0.84315695087175302</c:v>
                </c:pt>
                <c:pt idx="33">
                  <c:v>0.90314937514069649</c:v>
                </c:pt>
                <c:pt idx="34">
                  <c:v>0.96524314678228706</c:v>
                </c:pt>
                <c:pt idx="35">
                  <c:v>1.0294398512800442</c:v>
                </c:pt>
                <c:pt idx="36">
                  <c:v>1.0957410639141156</c:v>
                </c:pt>
                <c:pt idx="37">
                  <c:v>1.1642710419184992</c:v>
                </c:pt>
                <c:pt idx="38">
                  <c:v>1.2351581134853029</c:v>
                </c:pt>
                <c:pt idx="39">
                  <c:v>1.3084119547852284</c:v>
                </c:pt>
                <c:pt idx="40">
                  <c:v>1.3840421026231302</c:v>
                </c:pt>
                <c:pt idx="41">
                  <c:v>1.462057891991557</c:v>
                </c:pt>
                <c:pt idx="42">
                  <c:v>1.5424684658561456</c:v>
                </c:pt>
                <c:pt idx="43">
                  <c:v>1.6252827841866793</c:v>
                </c:pt>
                <c:pt idx="44">
                  <c:v>1.7105096323094051</c:v>
                </c:pt>
                <c:pt idx="45">
                  <c:v>1.7981576286469281</c:v>
                </c:pt>
                <c:pt idx="46">
                  <c:v>1.8882356088726509</c:v>
                </c:pt>
                <c:pt idx="47">
                  <c:v>1.9807527297404641</c:v>
                </c:pt>
                <c:pt idx="48">
                  <c:v>2.0757181014809589</c:v>
                </c:pt>
                <c:pt idx="49">
                  <c:v>2.1731406994978113</c:v>
                </c:pt>
                <c:pt idx="50">
                  <c:v>2.2730293695936625</c:v>
                </c:pt>
                <c:pt idx="51">
                  <c:v>2.3753928328622029</c:v>
                </c:pt>
                <c:pt idx="52">
                  <c:v>2.4802396902740318</c:v>
                </c:pt>
                <c:pt idx="53">
                  <c:v>2.5875784269810702</c:v>
                </c:pt>
                <c:pt idx="54">
                  <c:v>2.6974174163618412</c:v>
                </c:pt>
                <c:pt idx="55">
                  <c:v>2.8097649238277591</c:v>
                </c:pt>
                <c:pt idx="56">
                  <c:v>2.924629110408643</c:v>
                </c:pt>
                <c:pt idx="57">
                  <c:v>3.0420180361339675</c:v>
                </c:pt>
                <c:pt idx="58">
                  <c:v>3.1619396632248375</c:v>
                </c:pt>
                <c:pt idx="59">
                  <c:v>3.2844018591103334</c:v>
                </c:pt>
                <c:pt idx="60">
                  <c:v>3.4094123992806504</c:v>
                </c:pt>
                <c:pt idx="61">
                  <c:v>3.5369789699883842</c:v>
                </c:pt>
                <c:pt idx="62">
                  <c:v>3.6671091708083385</c:v>
                </c:pt>
                <c:pt idx="63">
                  <c:v>3.7998105170653598</c:v>
                </c:pt>
                <c:pt idx="64">
                  <c:v>3.9350904421389203</c:v>
                </c:pt>
                <c:pt idx="65">
                  <c:v>4.0729562996524562</c:v>
                </c:pt>
                <c:pt idx="66">
                  <c:v>4.2134153655548356</c:v>
                </c:pt>
                <c:pt idx="67">
                  <c:v>4.3564748401007414</c:v>
                </c:pt>
                <c:pt idx="68">
                  <c:v>4.5021418497362378</c:v>
                </c:pt>
                <c:pt idx="69">
                  <c:v>4.650429621026289</c:v>
                </c:pt>
                <c:pt idx="70">
                  <c:v>4.8013601636080381</c:v>
                </c:pt>
                <c:pt idx="71">
                  <c:v>4.954958141609298</c:v>
                </c:pt>
                <c:pt idx="72">
                  <c:v>5.1112482350418906</c:v>
                </c:pt>
                <c:pt idx="73">
                  <c:v>5.2702551396419839</c:v>
                </c:pt>
                <c:pt idx="74">
                  <c:v>5.4320035667093007</c:v>
                </c:pt>
                <c:pt idx="75">
                  <c:v>5.5965182429450628</c:v>
                </c:pt>
                <c:pt idx="76">
                  <c:v>5.7638239102885542</c:v>
                </c:pt>
                <c:pt idx="77">
                  <c:v>5.9339337782406547</c:v>
                </c:pt>
                <c:pt idx="78">
                  <c:v>6.106844512428637</c:v>
                </c:pt>
                <c:pt idx="79">
                  <c:v>6.2825477094822197</c:v>
                </c:pt>
                <c:pt idx="80">
                  <c:v>6.4610348371420434</c:v>
                </c:pt>
                <c:pt idx="81">
                  <c:v>6.6422972369863622</c:v>
                </c:pt>
                <c:pt idx="82">
                  <c:v>6.8263261270482394</c:v>
                </c:pt>
                <c:pt idx="83">
                  <c:v>7.0131126043299465</c:v>
                </c:pt>
                <c:pt idx="84">
                  <c:v>7.2026476472207586</c:v>
                </c:pt>
                <c:pt idx="85">
                  <c:v>7.3949221178238824</c:v>
                </c:pt>
                <c:pt idx="86">
                  <c:v>7.5899283535672906</c:v>
                </c:pt>
                <c:pt idx="87">
                  <c:v>7.7876665455950747</c:v>
                </c:pt>
                <c:pt idx="88">
                  <c:v>7.988143182677538</c:v>
                </c:pt>
                <c:pt idx="89">
                  <c:v>8.1913647075470202</c:v>
                </c:pt>
                <c:pt idx="90">
                  <c:v>8.3973375175802971</c:v>
                </c:pt>
                <c:pt idx="91">
                  <c:v>8.6060679654556385</c:v>
                </c:pt>
                <c:pt idx="92">
                  <c:v>8.817562359785649</c:v>
                </c:pt>
                <c:pt idx="93">
                  <c:v>9.0318269657269781</c:v>
                </c:pt>
                <c:pt idx="94">
                  <c:v>9.2488680055679104</c:v>
                </c:pt>
                <c:pt idx="95">
                  <c:v>9.4686916592947963</c:v>
                </c:pt>
                <c:pt idx="96">
                  <c:v>9.6913040651382314</c:v>
                </c:pt>
                <c:pt idx="97">
                  <c:v>9.9167113200998571</c:v>
                </c:pt>
                <c:pt idx="98">
                  <c:v>10.144919480460596</c:v>
                </c:pt>
                <c:pt idx="99">
                  <c:v>10.375934562271096</c:v>
                </c:pt>
                <c:pt idx="100">
                  <c:v>10.609762541825125</c:v>
                </c:pt>
                <c:pt idx="101">
                  <c:v>10.84640935611661</c:v>
                </c:pt>
                <c:pt idx="102">
                  <c:v>11.085880903281002</c:v>
                </c:pt>
                <c:pt idx="103">
                  <c:v>11.328183043021577</c:v>
                </c:pt>
                <c:pt idx="104">
                  <c:v>11.573321597021298</c:v>
                </c:pt>
                <c:pt idx="105">
                  <c:v>11.821302349340794</c:v>
                </c:pt>
                <c:pt idx="106">
                  <c:v>12.07213104680301</c:v>
                </c:pt>
                <c:pt idx="107">
                  <c:v>12.32581339936505</c:v>
                </c:pt>
                <c:pt idx="108">
                  <c:v>12.582355080477701</c:v>
                </c:pt>
                <c:pt idx="109">
                  <c:v>12.841761727433127</c:v>
                </c:pt>
                <c:pt idx="110">
                  <c:v>13.104038941701162</c:v>
                </c:pt>
                <c:pt idx="111">
                  <c:v>13.36919228925465</c:v>
                </c:pt>
                <c:pt idx="112">
                  <c:v>13.637227300884238</c:v>
                </c:pt>
                <c:pt idx="113">
                  <c:v>13.908149472503014</c:v>
                </c:pt>
                <c:pt idx="114">
                  <c:v>14.181964265441374</c:v>
                </c:pt>
                <c:pt idx="115">
                  <c:v>14.458677106732464</c:v>
                </c:pt>
                <c:pt idx="116">
                  <c:v>14.73829338938855</c:v>
                </c:pt>
                <c:pt idx="117">
                  <c:v>15.020818472668644</c:v>
                </c:pt>
                <c:pt idx="118">
                  <c:v>15.3062576823377</c:v>
                </c:pt>
                <c:pt idx="119">
                  <c:v>15.594616310917683</c:v>
                </c:pt>
                <c:pt idx="120">
                  <c:v>15.885899617930805</c:v>
                </c:pt>
                <c:pt idx="121">
                  <c:v>16.18011283013519</c:v>
                </c:pt>
                <c:pt idx="122">
                  <c:v>16.477261141753253</c:v>
                </c:pt>
                <c:pt idx="123">
                  <c:v>16.777349714693035</c:v>
                </c:pt>
                <c:pt idx="124">
                  <c:v>17.080383678762747</c:v>
                </c:pt>
                <c:pt idx="125">
                  <c:v>17.386368131878751</c:v>
                </c:pt>
                <c:pt idx="126">
                  <c:v>17.695308140267215</c:v>
                </c:pt>
                <c:pt idx="127">
                  <c:v>18.007208738659646</c:v>
                </c:pt>
                <c:pt idx="128">
                  <c:v>18.322074930482511</c:v>
                </c:pt>
                <c:pt idx="129">
                  <c:v>18.63991168804116</c:v>
                </c:pt>
                <c:pt idx="130">
                  <c:v>18.960723952698231</c:v>
                </c:pt>
                <c:pt idx="131">
                  <c:v>19.284516635046725</c:v>
                </c:pt>
                <c:pt idx="132">
                  <c:v>19.611294615077934</c:v>
                </c:pt>
                <c:pt idx="133">
                  <c:v>19.941062742344386</c:v>
                </c:pt>
                <c:pt idx="134">
                  <c:v>20.273825836117982</c:v>
                </c:pt>
                <c:pt idx="135">
                  <c:v>20.609588685543482</c:v>
                </c:pt>
                <c:pt idx="136">
                  <c:v>20.948356049787478</c:v>
                </c:pt>
                <c:pt idx="137">
                  <c:v>21.29013265818303</c:v>
                </c:pt>
                <c:pt idx="138">
                  <c:v>21.634923210370093</c:v>
                </c:pt>
                <c:pt idx="139">
                  <c:v>21.982732376431859</c:v>
                </c:pt>
                <c:pt idx="140">
                  <c:v>22.333564797027179</c:v>
                </c:pt>
                <c:pt idx="141">
                  <c:v>22.687425083519162</c:v>
                </c:pt>
                <c:pt idx="142">
                  <c:v>23.044317818100094</c:v>
                </c:pt>
                <c:pt idx="143">
                  <c:v>23.404247553912789</c:v>
                </c:pt>
                <c:pt idx="144">
                  <c:v>23.767218815168494</c:v>
                </c:pt>
                <c:pt idx="145">
                  <c:v>24.133236097261445</c:v>
                </c:pt>
                <c:pt idx="146">
                  <c:v>24.502303866880201</c:v>
                </c:pt>
                <c:pt idx="147">
                  <c:v>24.87442656211584</c:v>
                </c:pt>
                <c:pt idx="148">
                  <c:v>25.249608592567142</c:v>
                </c:pt>
                <c:pt idx="149">
                  <c:v>25.62785433944283</c:v>
                </c:pt>
                <c:pt idx="150">
                  <c:v>26.009168155660991</c:v>
                </c:pt>
                <c:pt idx="151">
                  <c:v>26.393554365945729</c:v>
                </c:pt>
                <c:pt idx="152">
                  <c:v>26.781017266921186</c:v>
                </c:pt>
                <c:pt idx="153">
                  <c:v>27.171561127202992</c:v>
                </c:pt>
                <c:pt idx="154">
                  <c:v>27.565190187487204</c:v>
                </c:pt>
                <c:pt idx="155">
                  <c:v>27.961908660636862</c:v>
                </c:pt>
                <c:pt idx="156">
                  <c:v>28.361720731766216</c:v>
                </c:pt>
                <c:pt idx="157">
                  <c:v>28.764630558322672</c:v>
                </c:pt>
                <c:pt idx="158">
                  <c:v>29.170642270166596</c:v>
                </c:pt>
                <c:pt idx="159">
                  <c:v>29.579759969648968</c:v>
                </c:pt>
                <c:pt idx="160">
                  <c:v>29.991987731687029</c:v>
                </c:pt>
                <c:pt idx="161">
                  <c:v>30.407329603837926</c:v>
                </c:pt>
                <c:pt idx="162">
                  <c:v>30.825789606370456</c:v>
                </c:pt>
                <c:pt idx="163">
                  <c:v>31.247371732334972</c:v>
                </c:pt>
                <c:pt idx="164">
                  <c:v>31.672079947631481</c:v>
                </c:pt>
                <c:pt idx="165">
                  <c:v>32.099918191076029</c:v>
                </c:pt>
                <c:pt idx="166">
                  <c:v>32.530890374465407</c:v>
                </c:pt>
                <c:pt idx="167">
                  <c:v>32.965000382640248</c:v>
                </c:pt>
                <c:pt idx="168">
                  <c:v>33.402252073546556</c:v>
                </c:pt>
                <c:pt idx="169">
                  <c:v>33.842649278295724</c:v>
                </c:pt>
                <c:pt idx="170">
                  <c:v>34.286195801223101</c:v>
                </c:pt>
                <c:pt idx="171">
                  <c:v>34.732895419945145</c:v>
                </c:pt>
                <c:pt idx="172">
                  <c:v>35.182751885415229</c:v>
                </c:pt>
                <c:pt idx="173">
                  <c:v>35.635768921978098</c:v>
                </c:pt>
                <c:pt idx="174">
                  <c:v>36.091950227423105</c:v>
                </c:pt>
                <c:pt idx="175">
                  <c:v>36.551299473036188</c:v>
                </c:pt>
                <c:pt idx="176">
                  <c:v>37.013820303650675</c:v>
                </c:pt>
                <c:pt idx="177">
                  <c:v>37.47951633769695</c:v>
                </c:pt>
                <c:pt idx="178">
                  <c:v>37.948391167251046</c:v>
                </c:pt>
                <c:pt idx="179">
                  <c:v>38.420448358082133</c:v>
                </c:pt>
                <c:pt idx="180">
                  <c:v>38.895691449699015</c:v>
                </c:pt>
                <c:pt idx="181">
                  <c:v>39.374123955395653</c:v>
                </c:pt>
                <c:pt idx="182">
                  <c:v>39.855749362295718</c:v>
                </c:pt>
                <c:pt idx="183">
                  <c:v>40.340571131396246</c:v>
                </c:pt>
                <c:pt idx="184">
                  <c:v>40.828592697610418</c:v>
                </c:pt>
                <c:pt idx="185">
                  <c:v>41.319817469809507</c:v>
                </c:pt>
                <c:pt idx="186">
                  <c:v>41.814248830864003</c:v>
                </c:pt>
                <c:pt idx="187">
                  <c:v>42.311890137683967</c:v>
                </c:pt>
                <c:pt idx="188">
                  <c:v>42.812744721258639</c:v>
                </c:pt>
                <c:pt idx="189">
                  <c:v>43.316815886695331</c:v>
                </c:pt>
                <c:pt idx="190">
                  <c:v>43.824106913257637</c:v>
                </c:pt>
                <c:pt idx="191">
                  <c:v>44.334621054403009</c:v>
                </c:pt>
                <c:pt idx="192">
                  <c:v>44.848361537819656</c:v>
                </c:pt>
                <c:pt idx="193">
                  <c:v>45.365331565462881</c:v>
                </c:pt>
                <c:pt idx="194">
                  <c:v>45.885534313590853</c:v>
                </c:pt>
                <c:pt idx="195">
                  <c:v>46.408972932799784</c:v>
                </c:pt>
                <c:pt idx="196">
                  <c:v>46.935650548058653</c:v>
                </c:pt>
                <c:pt idx="197">
                  <c:v>47.465570258743384</c:v>
                </c:pt>
                <c:pt idx="198">
                  <c:v>47.998735138670547</c:v>
                </c:pt>
                <c:pt idx="199">
                  <c:v>48.535148236130659</c:v>
                </c:pt>
                <c:pt idx="200">
                  <c:v>49.074812573921029</c:v>
                </c:pt>
                <c:pt idx="201">
                  <c:v>49.617731149378194</c:v>
                </c:pt>
                <c:pt idx="202">
                  <c:v>50.163906934409987</c:v>
                </c:pt>
                <c:pt idx="203">
                  <c:v>50.713342875527253</c:v>
                </c:pt>
                <c:pt idx="204">
                  <c:v>51.266041893875226</c:v>
                </c:pt>
                <c:pt idx="205">
                  <c:v>51.822006885264578</c:v>
                </c:pt>
                <c:pt idx="206">
                  <c:v>52.381240720202172</c:v>
                </c:pt>
                <c:pt idx="207">
                  <c:v>52.943746243921559</c:v>
                </c:pt>
                <c:pt idx="208">
                  <c:v>53.50952627641319</c:v>
                </c:pt>
                <c:pt idx="209">
                  <c:v>54.078583612454423</c:v>
                </c:pt>
                <c:pt idx="210">
                  <c:v>54.650921021639263</c:v>
                </c:pt>
                <c:pt idx="211">
                  <c:v>55.226541248407955</c:v>
                </c:pt>
                <c:pt idx="212">
                  <c:v>55.805447012076343</c:v>
                </c:pt>
                <c:pt idx="213">
                  <c:v>56.387641006865081</c:v>
                </c:pt>
                <c:pt idx="214">
                  <c:v>56.973125901928711</c:v>
                </c:pt>
                <c:pt idx="215">
                  <c:v>57.561904341384569</c:v>
                </c:pt>
                <c:pt idx="216">
                  <c:v>58.153978944341596</c:v>
                </c:pt>
                <c:pt idx="217">
                  <c:v>58.749352304929047</c:v>
                </c:pt>
                <c:pt idx="218">
                  <c:v>59.34802699232511</c:v>
                </c:pt>
                <c:pt idx="219">
                  <c:v>59.95000555078542</c:v>
                </c:pt>
                <c:pt idx="220">
                  <c:v>60.555290499671564</c:v>
                </c:pt>
                <c:pt idx="221">
                  <c:v>61.163884333479515</c:v>
                </c:pt>
                <c:pt idx="222">
                  <c:v>61.775789521868035</c:v>
                </c:pt>
                <c:pt idx="223">
                  <c:v>62.391008509687062</c:v>
                </c:pt>
                <c:pt idx="224">
                  <c:v>63.009543717006096</c:v>
                </c:pt>
                <c:pt idx="225">
                  <c:v>63.63139753914259</c:v>
                </c:pt>
                <c:pt idx="226">
                  <c:v>64.256572346690376</c:v>
                </c:pt>
                <c:pt idx="227">
                  <c:v>64.885070485548098</c:v>
                </c:pt>
                <c:pt idx="228">
                  <c:v>65.51689427694771</c:v>
                </c:pt>
                <c:pt idx="229">
                  <c:v>66.152046017483045</c:v>
                </c:pt>
                <c:pt idx="230">
                  <c:v>66.790527979138417</c:v>
                </c:pt>
                <c:pt idx="231">
                  <c:v>67.432342409317329</c:v>
                </c:pt>
                <c:pt idx="232">
                  <c:v>68.077491530871271</c:v>
                </c:pt>
                <c:pt idx="233">
                  <c:v>68.725977542128632</c:v>
                </c:pt>
                <c:pt idx="234">
                  <c:v>69.37780261692366</c:v>
                </c:pt>
                <c:pt idx="235">
                  <c:v>70.032968904625662</c:v>
                </c:pt>
                <c:pt idx="236">
                  <c:v>70.691478530168197</c:v>
                </c:pt>
                <c:pt idx="237">
                  <c:v>71.353333594078563</c:v>
                </c:pt>
                <c:pt idx="238">
                  <c:v>72.018536172507297</c:v>
                </c:pt>
                <c:pt idx="239">
                  <c:v>72.687088317257917</c:v>
                </c:pt>
                <c:pt idx="240">
                  <c:v>73.358992055816827</c:v>
                </c:pt>
                <c:pt idx="241">
                  <c:v>74.034249391383398</c:v>
                </c:pt>
                <c:pt idx="242">
                  <c:v>74.71286230290022</c:v>
                </c:pt>
                <c:pt idx="243">
                  <c:v>75.394832745083548</c:v>
                </c:pt>
                <c:pt idx="244">
                  <c:v>76.080170213554823</c:v>
                </c:pt>
                <c:pt idx="245">
                  <c:v>76.768891754716208</c:v>
                </c:pt>
                <c:pt idx="246">
                  <c:v>77.461014410392096</c:v>
                </c:pt>
                <c:pt idx="247">
                  <c:v>78.156555217592967</c:v>
                </c:pt>
                <c:pt idx="248">
                  <c:v>78.855531208278393</c:v>
                </c:pt>
                <c:pt idx="249">
                  <c:v>79.557959409119135</c:v>
                </c:pt>
                <c:pt idx="250">
                  <c:v>80.263856841258473</c:v>
                </c:pt>
                <c:pt idx="251">
                  <c:v>80.973240520072665</c:v>
                </c:pt>
                <c:pt idx="252">
                  <c:v>81.686127454930542</c:v>
                </c:pt>
                <c:pt idx="253">
                  <c:v>82.402530440595655</c:v>
                </c:pt>
                <c:pt idx="254">
                  <c:v>83.1224538382003</c:v>
                </c:pt>
                <c:pt idx="255">
                  <c:v>83.845897772632611</c:v>
                </c:pt>
                <c:pt idx="256">
                  <c:v>84.57286234051314</c:v>
                </c:pt>
                <c:pt idx="257">
                  <c:v>85.303347610277086</c:v>
                </c:pt>
                <c:pt idx="258">
                  <c:v>86.037353622256731</c:v>
                </c:pt>
                <c:pt idx="259">
                  <c:v>86.77488038876416</c:v>
                </c:pt>
                <c:pt idx="260">
                  <c:v>87.515927894174226</c:v>
                </c:pt>
                <c:pt idx="261">
                  <c:v>88.260496095007781</c:v>
                </c:pt>
                <c:pt idx="262">
                  <c:v>89.008584920015167</c:v>
                </c:pt>
                <c:pt idx="263">
                  <c:v>89.760194270259973</c:v>
                </c:pt>
                <c:pt idx="264">
                  <c:v>90.515324019203121</c:v>
                </c:pt>
                <c:pt idx="265">
                  <c:v>91.273974012787221</c:v>
                </c:pt>
                <c:pt idx="266">
                  <c:v>92.036144069521185</c:v>
                </c:pt>
                <c:pt idx="267">
                  <c:v>92.801833980565192</c:v>
                </c:pt>
                <c:pt idx="268">
                  <c:v>93.571043509815951</c:v>
                </c:pt>
                <c:pt idx="269">
                  <c:v>94.343772393992282</c:v>
                </c:pt>
                <c:pt idx="270">
                  <c:v>95.120020342720949</c:v>
                </c:pt>
                <c:pt idx="271">
                  <c:v>95.899787038622918</c:v>
                </c:pt>
                <c:pt idx="272">
                  <c:v>96.68307213739989</c:v>
                </c:pt>
                <c:pt idx="273">
                  <c:v>97.46987526792114</c:v>
                </c:pt>
                <c:pt idx="274">
                  <c:v>98.260196032310745</c:v>
                </c:pt>
                <c:pt idx="275">
                  <c:v>99.054034006035124</c:v>
                </c:pt>
                <c:pt idx="276">
                  <c:v>99.851388737990888</c:v>
                </c:pt>
                <c:pt idx="277">
                  <c:v>100.65225954266246</c:v>
                </c:pt>
                <c:pt idx="278">
                  <c:v>101.45664518773938</c:v>
                </c:pt>
                <c:pt idx="279">
                  <c:v>102.26454410161674</c:v>
                </c:pt>
                <c:pt idx="280">
                  <c:v>103.07595468545098</c:v>
                </c:pt>
                <c:pt idx="281">
                  <c:v>103.89087531327883</c:v>
                </c:pt>
                <c:pt idx="282">
                  <c:v>104.70930433213628</c:v>
                </c:pt>
                <c:pt idx="283">
                  <c:v>105.53124006217813</c:v>
                </c:pt>
                <c:pt idx="284">
                  <c:v>106.35668079679756</c:v>
                </c:pt>
                <c:pt idx="285">
                  <c:v>107.18562480274622</c:v>
                </c:pt>
                <c:pt idx="286">
                  <c:v>108.01807032025449</c:v>
                </c:pt>
                <c:pt idx="287">
                  <c:v>108.85401556315209</c:v>
                </c:pt>
                <c:pt idx="288">
                  <c:v>109.69345871898894</c:v>
                </c:pt>
                <c:pt idx="289">
                  <c:v>110.53639794915637</c:v>
                </c:pt>
                <c:pt idx="290">
                  <c:v>111.38283138900866</c:v>
                </c:pt>
                <c:pt idx="291">
                  <c:v>112.23275714798476</c:v>
                </c:pt>
                <c:pt idx="292">
                  <c:v>113.08617330973044</c:v>
                </c:pt>
                <c:pt idx="293">
                  <c:v>113.9430779322207</c:v>
                </c:pt>
                <c:pt idx="294">
                  <c:v>114.80346904788243</c:v>
                </c:pt>
                <c:pt idx="295">
                  <c:v>115.66734466371746</c:v>
                </c:pt>
                <c:pt idx="296">
                  <c:v>116.53470276142582</c:v>
                </c:pt>
                <c:pt idx="297">
                  <c:v>117.4055412975294</c:v>
                </c:pt>
                <c:pt idx="298">
                  <c:v>118.27985820349585</c:v>
                </c:pt>
                <c:pt idx="299">
                  <c:v>119.15765138586278</c:v>
                </c:pt>
                <c:pt idx="300">
                  <c:v>120.03891872636227</c:v>
                </c:pt>
                <c:pt idx="301">
                  <c:v>120.9236580820457</c:v>
                </c:pt>
                <c:pt idx="302">
                  <c:v>121.81186728540887</c:v>
                </c:pt>
                <c:pt idx="303">
                  <c:v>122.70354414451734</c:v>
                </c:pt>
                <c:pt idx="304">
                  <c:v>123.59868644313221</c:v>
                </c:pt>
                <c:pt idx="305">
                  <c:v>124.49729194083609</c:v>
                </c:pt>
                <c:pt idx="306">
                  <c:v>125.39935837315939</c:v>
                </c:pt>
                <c:pt idx="307">
                  <c:v>126.30488345170684</c:v>
                </c:pt>
                <c:pt idx="308">
                  <c:v>127.21386486428447</c:v>
                </c:pt>
                <c:pt idx="309">
                  <c:v>128.12630027502667</c:v>
                </c:pt>
                <c:pt idx="310">
                  <c:v>129.04218732452367</c:v>
                </c:pt>
                <c:pt idx="311">
                  <c:v>129.96152362994926</c:v>
                </c:pt>
                <c:pt idx="312">
                  <c:v>130.88430678518878</c:v>
                </c:pt>
                <c:pt idx="313">
                  <c:v>131.81053436096744</c:v>
                </c:pt>
                <c:pt idx="314">
                  <c:v>132.74020390497881</c:v>
                </c:pt>
                <c:pt idx="315">
                  <c:v>133.67331294201369</c:v>
                </c:pt>
                <c:pt idx="316">
                  <c:v>134.60985897408924</c:v>
                </c:pt>
                <c:pt idx="317">
                  <c:v>135.5498394805783</c:v>
                </c:pt>
                <c:pt idx="318">
                  <c:v>136.49325191833904</c:v>
                </c:pt>
                <c:pt idx="319">
                  <c:v>137.44009372184487</c:v>
                </c:pt>
                <c:pt idx="320">
                  <c:v>138.39036230331459</c:v>
                </c:pt>
                <c:pt idx="321">
                  <c:v>139.34405505284275</c:v>
                </c:pt>
                <c:pt idx="322">
                  <c:v>140.30116933853043</c:v>
                </c:pt>
                <c:pt idx="323">
                  <c:v>141.26170250661607</c:v>
                </c:pt>
                <c:pt idx="324">
                  <c:v>142.22565188160664</c:v>
                </c:pt>
                <c:pt idx="325">
                  <c:v>143.19301476640905</c:v>
                </c:pt>
                <c:pt idx="326">
                  <c:v>144.16378844246179</c:v>
                </c:pt>
                <c:pt idx="327">
                  <c:v>145.13797016986686</c:v>
                </c:pt>
                <c:pt idx="328">
                  <c:v>146.11555718752183</c:v>
                </c:pt>
                <c:pt idx="329">
                  <c:v>147.09654671325217</c:v>
                </c:pt>
                <c:pt idx="330">
                  <c:v>148.08093594394387</c:v>
                </c:pt>
                <c:pt idx="331">
                  <c:v>149.06872205567618</c:v>
                </c:pt>
                <c:pt idx="332">
                  <c:v>150.05990220385465</c:v>
                </c:pt>
                <c:pt idx="333">
                  <c:v>151.05447352334434</c:v>
                </c:pt>
                <c:pt idx="334">
                  <c:v>152.05243312860324</c:v>
                </c:pt>
                <c:pt idx="335">
                  <c:v>153.05377811381589</c:v>
                </c:pt>
                <c:pt idx="336">
                  <c:v>154.05850555302726</c:v>
                </c:pt>
                <c:pt idx="337">
                  <c:v>155.06661250027673</c:v>
                </c:pt>
                <c:pt idx="338">
                  <c:v>156.07809598973239</c:v>
                </c:pt>
                <c:pt idx="339">
                  <c:v>157.09295303582533</c:v>
                </c:pt>
                <c:pt idx="340">
                  <c:v>158.11118063338441</c:v>
                </c:pt>
                <c:pt idx="341">
                  <c:v>159.13277575777084</c:v>
                </c:pt>
                <c:pt idx="342">
                  <c:v>160.15773536501334</c:v>
                </c:pt>
                <c:pt idx="343">
                  <c:v>161.18605639194305</c:v>
                </c:pt>
                <c:pt idx="344">
                  <c:v>162.21773593833291</c:v>
                </c:pt>
                <c:pt idx="345">
                  <c:v>163.25277290698949</c:v>
                </c:pt>
                <c:pt idx="346">
                  <c:v>164.29116782244193</c:v>
                </c:pt>
                <c:pt idx="347">
                  <c:v>165.33292119163514</c:v>
                </c:pt>
                <c:pt idx="348">
                  <c:v>166.37803350397974</c:v>
                </c:pt>
                <c:pt idx="349">
                  <c:v>167.42650523140244</c:v>
                </c:pt>
                <c:pt idx="350">
                  <c:v>168.47833682839681</c:v>
                </c:pt>
                <c:pt idx="351">
                  <c:v>169.53352873207436</c:v>
                </c:pt>
                <c:pt idx="352">
                  <c:v>170.59208136221633</c:v>
                </c:pt>
                <c:pt idx="353">
                  <c:v>171.65399512132552</c:v>
                </c:pt>
                <c:pt idx="354">
                  <c:v>172.7192703946788</c:v>
                </c:pt>
                <c:pt idx="355">
                  <c:v>173.78790755037988</c:v>
                </c:pt>
                <c:pt idx="356">
                  <c:v>174.85990693941261</c:v>
                </c:pt>
                <c:pt idx="357">
                  <c:v>175.93526889569452</c:v>
                </c:pt>
                <c:pt idx="358">
                  <c:v>177.01399373613097</c:v>
                </c:pt>
                <c:pt idx="359">
                  <c:v>178.09608176066945</c:v>
                </c:pt>
                <c:pt idx="360">
                  <c:v>179.18153325235457</c:v>
                </c:pt>
                <c:pt idx="361">
                  <c:v>180.27034847738321</c:v>
                </c:pt>
                <c:pt idx="362">
                  <c:v>181.36252768516019</c:v>
                </c:pt>
                <c:pt idx="363">
                  <c:v>182.45807110835429</c:v>
                </c:pt>
                <c:pt idx="364">
                  <c:v>183.55697896295464</c:v>
                </c:pt>
                <c:pt idx="365">
                  <c:v>184.65925144832767</c:v>
                </c:pt>
                <c:pt idx="366">
                  <c:v>185.76488874727414</c:v>
                </c:pt>
                <c:pt idx="367">
                  <c:v>186.87389102608688</c:v>
                </c:pt>
                <c:pt idx="368">
                  <c:v>187.98625843460871</c:v>
                </c:pt>
                <c:pt idx="369">
                  <c:v>189.10199110629088</c:v>
                </c:pt>
                <c:pt idx="370">
                  <c:v>190.22108915825169</c:v>
                </c:pt>
                <c:pt idx="371">
                  <c:v>191.34355269133579</c:v>
                </c:pt>
                <c:pt idx="372">
                  <c:v>192.46938179017357</c:v>
                </c:pt>
                <c:pt idx="373">
                  <c:v>193.59857531268571</c:v>
                </c:pt>
                <c:pt idx="374">
                  <c:v>194.73113089003752</c:v>
                </c:pt>
                <c:pt idx="375">
                  <c:v>195.86704613717623</c:v>
                </c:pt>
                <c:pt idx="376">
                  <c:v>197.00631865294613</c:v>
                </c:pt>
                <c:pt idx="377">
                  <c:v>198.14894602020391</c:v>
                </c:pt>
                <c:pt idx="378">
                  <c:v>199.29492580593416</c:v>
                </c:pt>
                <c:pt idx="379">
                  <c:v>200.444255561365</c:v>
                </c:pt>
                <c:pt idx="380">
                  <c:v>201.59693282208403</c:v>
                </c:pt>
                <c:pt idx="381">
                  <c:v>202.75295510815423</c:v>
                </c:pt>
                <c:pt idx="382">
                  <c:v>203.91231992423013</c:v>
                </c:pt>
                <c:pt idx="383">
                  <c:v>205.07502475967422</c:v>
                </c:pt>
                <c:pt idx="384">
                  <c:v>206.24106708867333</c:v>
                </c:pt>
                <c:pt idx="385">
                  <c:v>207.41044437035529</c:v>
                </c:pt>
                <c:pt idx="386">
                  <c:v>208.58315404890564</c:v>
                </c:pt>
                <c:pt idx="387">
                  <c:v>209.75919355368453</c:v>
                </c:pt>
                <c:pt idx="388">
                  <c:v>210.93856029934378</c:v>
                </c:pt>
                <c:pt idx="389">
                  <c:v>212.12125168594397</c:v>
                </c:pt>
                <c:pt idx="390">
                  <c:v>213.30726509907177</c:v>
                </c:pt>
                <c:pt idx="391">
                  <c:v>214.49659790995727</c:v>
                </c:pt>
                <c:pt idx="392">
                  <c:v>215.68924747559149</c:v>
                </c:pt>
                <c:pt idx="393">
                  <c:v>216.88521113884397</c:v>
                </c:pt>
                <c:pt idx="394">
                  <c:v>218.08448622858054</c:v>
                </c:pt>
                <c:pt idx="395">
                  <c:v>219.28707005978109</c:v>
                </c:pt>
                <c:pt idx="396">
                  <c:v>220.49295993365743</c:v>
                </c:pt>
                <c:pt idx="397">
                  <c:v>221.7021531377714</c:v>
                </c:pt>
                <c:pt idx="398">
                  <c:v>222.91464694615283</c:v>
                </c:pt>
                <c:pt idx="399">
                  <c:v>224.1304386194177</c:v>
                </c:pt>
                <c:pt idx="400">
                  <c:v>225.34952540488649</c:v>
                </c:pt>
                <c:pt idx="401">
                  <c:v>226.57190453670236</c:v>
                </c:pt>
                <c:pt idx="402">
                  <c:v>227.79757323594959</c:v>
                </c:pt>
                <c:pt idx="403">
                  <c:v>229.02652871077194</c:v>
                </c:pt>
                <c:pt idx="404">
                  <c:v>230.25876815649127</c:v>
                </c:pt>
                <c:pt idx="405">
                  <c:v>231.49428875572593</c:v>
                </c:pt>
                <c:pt idx="406">
                  <c:v>232.73308767850943</c:v>
                </c:pt>
                <c:pt idx="407">
                  <c:v>233.97516208240907</c:v>
                </c:pt>
                <c:pt idx="408">
                  <c:v>235.22050911264461</c:v>
                </c:pt>
                <c:pt idx="409">
                  <c:v>236.4691245086307</c:v>
                </c:pt>
                <c:pt idx="410">
                  <c:v>237.72100225562485</c:v>
                </c:pt>
                <c:pt idx="411">
                  <c:v>238.97613597887371</c:v>
                </c:pt>
                <c:pt idx="412">
                  <c:v>240.2345192926955</c:v>
                </c:pt>
                <c:pt idx="413">
                  <c:v>241.49614580068109</c:v>
                </c:pt>
                <c:pt idx="414">
                  <c:v>242.76100909589476</c:v>
                </c:pt>
                <c:pt idx="415">
                  <c:v>244.0291027610744</c:v>
                </c:pt>
                <c:pt idx="416">
                  <c:v>245.30042036883111</c:v>
                </c:pt>
                <c:pt idx="417">
                  <c:v>246.57495548184841</c:v>
                </c:pt>
                <c:pt idx="418">
                  <c:v>247.85270165308086</c:v>
                </c:pt>
                <c:pt idx="419">
                  <c:v>249.13365242595208</c:v>
                </c:pt>
                <c:pt idx="420">
                  <c:v>250.41780133455239</c:v>
                </c:pt>
                <c:pt idx="421">
                  <c:v>251.70514190383571</c:v>
                </c:pt>
                <c:pt idx="422">
                  <c:v>252.99566764981597</c:v>
                </c:pt>
                <c:pt idx="423">
                  <c:v>254.28937207976304</c:v>
                </c:pt>
                <c:pt idx="424">
                  <c:v>255.58624869239796</c:v>
                </c:pt>
                <c:pt idx="425">
                  <c:v>256.88629097808763</c:v>
                </c:pt>
                <c:pt idx="426">
                  <c:v>258.18949241903903</c:v>
                </c:pt>
                <c:pt idx="427">
                  <c:v>259.49584648949252</c:v>
                </c:pt>
                <c:pt idx="428">
                  <c:v>260.805346655915</c:v>
                </c:pt>
                <c:pt idx="429">
                  <c:v>262.11798637719198</c:v>
                </c:pt>
                <c:pt idx="430">
                  <c:v>263.43375910481944</c:v>
                </c:pt>
                <c:pt idx="431">
                  <c:v>264.75265828309483</c:v>
                </c:pt>
                <c:pt idx="432">
                  <c:v>266.07467734930742</c:v>
                </c:pt>
                <c:pt idx="433">
                  <c:v>267.39980973392824</c:v>
                </c:pt>
                <c:pt idx="434">
                  <c:v>268.72804886079916</c:v>
                </c:pt>
                <c:pt idx="435">
                  <c:v>270.05938814732133</c:v>
                </c:pt>
                <c:pt idx="436">
                  <c:v>271.39382100464303</c:v>
                </c:pt>
                <c:pt idx="437">
                  <c:v>272.73134083784703</c:v>
                </c:pt>
                <c:pt idx="438">
                  <c:v>274.07194104613683</c:v>
                </c:pt>
                <c:pt idx="439">
                  <c:v>275.41561502302272</c:v>
                </c:pt>
                <c:pt idx="440">
                  <c:v>276.76235615650683</c:v>
                </c:pt>
                <c:pt idx="441">
                  <c:v>278.11215782926752</c:v>
                </c:pt>
                <c:pt idx="442">
                  <c:v>279.46501341884334</c:v>
                </c:pt>
                <c:pt idx="443">
                  <c:v>280.82091629781593</c:v>
                </c:pt>
                <c:pt idx="444">
                  <c:v>282.17985983399251</c:v>
                </c:pt>
                <c:pt idx="445">
                  <c:v>283.54183739058743</c:v>
                </c:pt>
                <c:pt idx="446">
                  <c:v>284.90684232640319</c:v>
                </c:pt>
                <c:pt idx="447">
                  <c:v>286.27486799601058</c:v>
                </c:pt>
                <c:pt idx="448">
                  <c:v>287.64590774992826</c:v>
                </c:pt>
                <c:pt idx="449">
                  <c:v>289.01995493480143</c:v>
                </c:pt>
                <c:pt idx="450">
                  <c:v>290.3970028935799</c:v>
                </c:pt>
                <c:pt idx="451">
                  <c:v>291.77704496569538</c:v>
                </c:pt>
                <c:pt idx="452">
                  <c:v>293.16007448723786</c:v>
                </c:pt>
                <c:pt idx="453">
                  <c:v>294.54608479113159</c:v>
                </c:pt>
                <c:pt idx="454">
                  <c:v>295.93506920730994</c:v>
                </c:pt>
                <c:pt idx="455">
                  <c:v>297.32702106288968</c:v>
                </c:pt>
                <c:pt idx="456">
                  <c:v>298.72193368234451</c:v>
                </c:pt>
                <c:pt idx="457">
                  <c:v>300.11980038767763</c:v>
                </c:pt>
                <c:pt idx="458">
                  <c:v>301.52061449859377</c:v>
                </c:pt>
                <c:pt idx="459">
                  <c:v>302.92436933267032</c:v>
                </c:pt>
                <c:pt idx="460">
                  <c:v>304.33105820552771</c:v>
                </c:pt>
                <c:pt idx="461">
                  <c:v>305.74067443099881</c:v>
                </c:pt>
                <c:pt idx="462">
                  <c:v>307.15321132129787</c:v>
                </c:pt>
                <c:pt idx="463">
                  <c:v>308.56866218718835</c:v>
                </c:pt>
                <c:pt idx="464">
                  <c:v>309.98702033815022</c:v>
                </c:pt>
                <c:pt idx="465">
                  <c:v>311.40827908254619</c:v>
                </c:pt>
                <c:pt idx="466">
                  <c:v>312.8324317277872</c:v>
                </c:pt>
                <c:pt idx="467">
                  <c:v>314.25947158049729</c:v>
                </c:pt>
                <c:pt idx="468">
                  <c:v>315.68939194667735</c:v>
                </c:pt>
                <c:pt idx="469">
                  <c:v>317.12218613186826</c:v>
                </c:pt>
                <c:pt idx="470">
                  <c:v>318.55784744131307</c:v>
                </c:pt>
                <c:pt idx="471">
                  <c:v>319.99636918011845</c:v>
                </c:pt>
                <c:pt idx="472">
                  <c:v>321.43774465341522</c:v>
                </c:pt>
                <c:pt idx="473">
                  <c:v>322.88196716651817</c:v>
                </c:pt>
                <c:pt idx="474">
                  <c:v>324.32903002508476</c:v>
                </c:pt>
                <c:pt idx="475">
                  <c:v>325.77892653527334</c:v>
                </c:pt>
                <c:pt idx="476">
                  <c:v>327.2316500039002</c:v>
                </c:pt>
                <c:pt idx="477">
                  <c:v>328.68719373859602</c:v>
                </c:pt>
                <c:pt idx="478">
                  <c:v>330.14555104796125</c:v>
                </c:pt>
                <c:pt idx="479">
                  <c:v>331.60671524172074</c:v>
                </c:pt>
                <c:pt idx="480">
                  <c:v>333.07067963087758</c:v>
                </c:pt>
                <c:pt idx="481">
                  <c:v>334.53743752786585</c:v>
                </c:pt>
                <c:pt idx="482">
                  <c:v>336.00698224670276</c:v>
                </c:pt>
                <c:pt idx="483">
                  <c:v>337.47930710313972</c:v>
                </c:pt>
                <c:pt idx="484">
                  <c:v>338.95440541481258</c:v>
                </c:pt>
                <c:pt idx="485">
                  <c:v>340.4322705013912</c:v>
                </c:pt>
                <c:pt idx="486">
                  <c:v>341.9128956847278</c:v>
                </c:pt>
                <c:pt idx="487">
                  <c:v>343.39627428900468</c:v>
                </c:pt>
                <c:pt idx="488">
                  <c:v>344.88239964088092</c:v>
                </c:pt>
                <c:pt idx="489">
                  <c:v>346.3712650696383</c:v>
                </c:pt>
                <c:pt idx="490">
                  <c:v>347.86286390732619</c:v>
                </c:pt>
                <c:pt idx="491">
                  <c:v>349.35718948890582</c:v>
                </c:pt>
                <c:pt idx="492">
                  <c:v>350.85423515239324</c:v>
                </c:pt>
                <c:pt idx="493">
                  <c:v>352.35399423900191</c:v>
                </c:pt>
                <c:pt idx="494">
                  <c:v>353.85646009328383</c:v>
                </c:pt>
                <c:pt idx="495">
                  <c:v>355.36162606327019</c:v>
                </c:pt>
                <c:pt idx="496">
                  <c:v>356.86948550061101</c:v>
                </c:pt>
                <c:pt idx="497">
                  <c:v>358.38003129305855</c:v>
                </c:pt>
                <c:pt idx="498">
                  <c:v>359.89325539691146</c:v>
                </c:pt>
                <c:pt idx="499">
                  <c:v>361.40914930585126</c:v>
                </c:pt>
                <c:pt idx="500">
                  <c:v>362.92770451983478</c:v>
                </c:pt>
                <c:pt idx="501">
                  <c:v>364.44891254526425</c:v>
                </c:pt>
                <c:pt idx="502">
                  <c:v>365.97276489515627</c:v>
                </c:pt>
                <c:pt idx="503">
                  <c:v>367.49925308930932</c:v>
                </c:pt>
                <c:pt idx="504">
                  <c:v>369.02836865446989</c:v>
                </c:pt>
                <c:pt idx="505">
                  <c:v>370.56010312449746</c:v>
                </c:pt>
                <c:pt idx="506">
                  <c:v>372.09444804052799</c:v>
                </c:pt>
                <c:pt idx="507">
                  <c:v>373.63139495113626</c:v>
                </c:pt>
                <c:pt idx="508">
                  <c:v>375.17093541249665</c:v>
                </c:pt>
                <c:pt idx="509">
                  <c:v>376.71306098854279</c:v>
                </c:pt>
                <c:pt idx="510">
                  <c:v>378.25776325112582</c:v>
                </c:pt>
                <c:pt idx="511">
                  <c:v>379.80503378017124</c:v>
                </c:pt>
                <c:pt idx="512">
                  <c:v>381.35486416383452</c:v>
                </c:pt>
                <c:pt idx="513">
                  <c:v>382.90724599865541</c:v>
                </c:pt>
                <c:pt idx="514">
                  <c:v>384.46217088971076</c:v>
                </c:pt>
                <c:pt idx="515">
                  <c:v>386.01963045076621</c:v>
                </c:pt>
                <c:pt idx="516">
                  <c:v>387.57961630442651</c:v>
                </c:pt>
                <c:pt idx="517">
                  <c:v>389.14212008228429</c:v>
                </c:pt>
                <c:pt idx="518">
                  <c:v>390.70713342506787</c:v>
                </c:pt>
                <c:pt idx="519">
                  <c:v>392.27464798278743</c:v>
                </c:pt>
                <c:pt idx="520">
                  <c:v>393.84465541488009</c:v>
                </c:pt>
                <c:pt idx="521">
                  <c:v>395.41714739035342</c:v>
                </c:pt>
                <c:pt idx="522">
                  <c:v>396.99211558792786</c:v>
                </c:pt>
                <c:pt idx="523">
                  <c:v>398.56955169617765</c:v>
                </c:pt>
                <c:pt idx="524">
                  <c:v>400.1494474136706</c:v>
                </c:pt>
                <c:pt idx="525">
                  <c:v>401.73179444910636</c:v>
                </c:pt>
                <c:pt idx="526">
                  <c:v>403.31658452145359</c:v>
                </c:pt>
                <c:pt idx="527">
                  <c:v>404.90380936008552</c:v>
                </c:pt>
                <c:pt idx="528">
                  <c:v>406.49346070491447</c:v>
                </c:pt>
                <c:pt idx="529">
                  <c:v>408.08553030652496</c:v>
                </c:pt>
                <c:pt idx="530">
                  <c:v>409.68000992630544</c:v>
                </c:pt>
                <c:pt idx="531">
                  <c:v>411.27689133657879</c:v>
                </c:pt>
                <c:pt idx="532">
                  <c:v>412.8761663207315</c:v>
                </c:pt>
                <c:pt idx="533">
                  <c:v>414.47782667334161</c:v>
                </c:pt>
                <c:pt idx="534">
                  <c:v>416.08186420030512</c:v>
                </c:pt>
                <c:pt idx="535">
                  <c:v>417.68827071896135</c:v>
                </c:pt>
                <c:pt idx="536">
                  <c:v>419.29703805821691</c:v>
                </c:pt>
                <c:pt idx="537">
                  <c:v>420.90815805866839</c:v>
                </c:pt>
                <c:pt idx="538">
                  <c:v>422.52162257272369</c:v>
                </c:pt>
                <c:pt idx="539">
                  <c:v>424.13742346472208</c:v>
                </c:pt>
                <c:pt idx="540">
                  <c:v>425.75555261105308</c:v>
                </c:pt>
                <c:pt idx="541">
                  <c:v>427.37600190027393</c:v>
                </c:pt>
                <c:pt idx="542">
                  <c:v>428.99876323322582</c:v>
                </c:pt>
                <c:pt idx="543">
                  <c:v>430.6238285231488</c:v>
                </c:pt>
                <c:pt idx="544">
                  <c:v>432.25118969579557</c:v>
                </c:pt>
                <c:pt idx="545">
                  <c:v>433.88083868954379</c:v>
                </c:pt>
                <c:pt idx="546">
                  <c:v>435.51276745550717</c:v>
                </c:pt>
                <c:pt idx="547">
                  <c:v>437.14696795764542</c:v>
                </c:pt>
                <c:pt idx="548">
                  <c:v>438.78343217287284</c:v>
                </c:pt>
                <c:pt idx="549">
                  <c:v>440.42215209116557</c:v>
                </c:pt>
                <c:pt idx="550">
                  <c:v>442.06311939141835</c:v>
                </c:pt>
                <c:pt idx="551">
                  <c:v>443.70632468458797</c:v>
                </c:pt>
                <c:pt idx="552">
                  <c:v>445.35175783978781</c:v>
                </c:pt>
                <c:pt idx="553">
                  <c:v>446.9994087431092</c:v>
                </c:pt>
                <c:pt idx="554">
                  <c:v>448.64926729775482</c:v>
                </c:pt>
                <c:pt idx="555">
                  <c:v>450.30132342417005</c:v>
                </c:pt>
                <c:pt idx="556">
                  <c:v>451.95556706017265</c:v>
                </c:pt>
                <c:pt idx="557">
                  <c:v>453.61198816108072</c:v>
                </c:pt>
                <c:pt idx="558">
                  <c:v>455.27057669983884</c:v>
                </c:pt>
                <c:pt idx="559">
                  <c:v>456.93132266714235</c:v>
                </c:pt>
                <c:pt idx="560">
                  <c:v>458.59421607156003</c:v>
                </c:pt>
                <c:pt idx="561">
                  <c:v>460.25924693965493</c:v>
                </c:pt>
                <c:pt idx="562">
                  <c:v>461.92640531610351</c:v>
                </c:pt>
                <c:pt idx="563">
                  <c:v>463.59568126381293</c:v>
                </c:pt>
                <c:pt idx="564">
                  <c:v>465.2670648640368</c:v>
                </c:pt>
                <c:pt idx="565">
                  <c:v>466.94054621648883</c:v>
                </c:pt>
                <c:pt idx="566">
                  <c:v>468.61611543945526</c:v>
                </c:pt>
                <c:pt idx="567">
                  <c:v>470.29376266990516</c:v>
                </c:pt>
                <c:pt idx="568">
                  <c:v>471.97347806359932</c:v>
                </c:pt>
                <c:pt idx="569">
                  <c:v>473.65525179519716</c:v>
                </c:pt>
                <c:pt idx="570">
                  <c:v>475.3390740583622</c:v>
                </c:pt>
                <c:pt idx="571">
                  <c:v>477.02493506586569</c:v>
                </c:pt>
                <c:pt idx="572">
                  <c:v>478.7128250496886</c:v>
                </c:pt>
                <c:pt idx="573">
                  <c:v>480.40273426112191</c:v>
                </c:pt>
                <c:pt idx="574">
                  <c:v>482.09465297086535</c:v>
                </c:pt>
                <c:pt idx="575">
                  <c:v>483.78857146912446</c:v>
                </c:pt>
                <c:pt idx="576">
                  <c:v>485.48448006570572</c:v>
                </c:pt>
                <c:pt idx="577">
                  <c:v>487.18236909011046</c:v>
                </c:pt>
                <c:pt idx="578">
                  <c:v>488.88222889162694</c:v>
                </c:pt>
                <c:pt idx="579">
                  <c:v>490.58404983942074</c:v>
                </c:pt>
                <c:pt idx="580">
                  <c:v>492.28782232262364</c:v>
                </c:pt>
                <c:pt idx="581">
                  <c:v>493.99353675042084</c:v>
                </c:pt>
                <c:pt idx="582">
                  <c:v>495.70118355213668</c:v>
                </c:pt>
                <c:pt idx="583">
                  <c:v>497.4107531773185</c:v>
                </c:pt>
                <c:pt idx="584">
                  <c:v>499.12223609581923</c:v>
                </c:pt>
                <c:pt idx="585">
                  <c:v>500.83562279787833</c:v>
                </c:pt>
                <c:pt idx="586">
                  <c:v>502.55090379420102</c:v>
                </c:pt>
                <c:pt idx="587">
                  <c:v>504.26806961603597</c:v>
                </c:pt>
                <c:pt idx="588">
                  <c:v>505.98711081525164</c:v>
                </c:pt>
                <c:pt idx="589">
                  <c:v>507.70801796441089</c:v>
                </c:pt>
                <c:pt idx="590">
                  <c:v>509.43078165684409</c:v>
                </c:pt>
                <c:pt idx="591">
                  <c:v>511.15539250672072</c:v>
                </c:pt>
                <c:pt idx="592">
                  <c:v>512.88184114911951</c:v>
                </c:pt>
                <c:pt idx="593">
                  <c:v>514.61011824009711</c:v>
                </c:pt>
                <c:pt idx="594">
                  <c:v>516.34021445675478</c:v>
                </c:pt>
                <c:pt idx="595">
                  <c:v>518.07212049730435</c:v>
                </c:pt>
                <c:pt idx="596">
                  <c:v>519.80582708113241</c:v>
                </c:pt>
                <c:pt idx="597">
                  <c:v>521.54132494886244</c:v>
                </c:pt>
                <c:pt idx="598">
                  <c:v>523.2786048624165</c:v>
                </c:pt>
                <c:pt idx="599">
                  <c:v>525.01765760507465</c:v>
                </c:pt>
                <c:pt idx="600">
                  <c:v>526.75847398153337</c:v>
                </c:pt>
                <c:pt idx="601">
                  <c:v>528.50104481796234</c:v>
                </c:pt>
                <c:pt idx="602">
                  <c:v>530.24536096205964</c:v>
                </c:pt>
                <c:pt idx="603">
                  <c:v>531.99141328310611</c:v>
                </c:pt>
                <c:pt idx="604">
                  <c:v>533.73919267201757</c:v>
                </c:pt>
                <c:pt idx="605">
                  <c:v>535.48869004139624</c:v>
                </c:pt>
                <c:pt idx="606">
                  <c:v>537.23989632558039</c:v>
                </c:pt>
                <c:pt idx="607">
                  <c:v>538.99280248069272</c:v>
                </c:pt>
                <c:pt idx="608">
                  <c:v>540.74739948468755</c:v>
                </c:pt>
                <c:pt idx="609">
                  <c:v>542.50367833739608</c:v>
                </c:pt>
                <c:pt idx="610">
                  <c:v>544.26163006057106</c:v>
                </c:pt>
                <c:pt idx="611">
                  <c:v>546.02124569792977</c:v>
                </c:pt>
                <c:pt idx="612">
                  <c:v>547.78251335086259</c:v>
                </c:pt>
                <c:pt idx="613">
                  <c:v>549.54541818487655</c:v>
                </c:pt>
                <c:pt idx="614">
                  <c:v>551.3099454004024</c:v>
                </c:pt>
                <c:pt idx="615">
                  <c:v>553.07608023289697</c:v>
                </c:pt>
                <c:pt idx="616">
                  <c:v>554.84380795294226</c:v>
                </c:pt>
                <c:pt idx="617">
                  <c:v>556.61311386634168</c:v>
                </c:pt>
                <c:pt idx="618">
                  <c:v>558.3839833142132</c:v>
                </c:pt>
                <c:pt idx="619">
                  <c:v>560.15640167307902</c:v>
                </c:pt>
                <c:pt idx="620">
                  <c:v>561.93035435495256</c:v>
                </c:pt>
                <c:pt idx="621">
                  <c:v>563.7058268074228</c:v>
                </c:pt>
                <c:pt idx="622">
                  <c:v>565.48280451373478</c:v>
                </c:pt>
                <c:pt idx="623">
                  <c:v>567.26127299286782</c:v>
                </c:pt>
                <c:pt idx="624">
                  <c:v>569.04121779961031</c:v>
                </c:pt>
                <c:pt idx="625">
                  <c:v>570.82262452463237</c:v>
                </c:pt>
                <c:pt idx="626">
                  <c:v>572.60547879455453</c:v>
                </c:pt>
                <c:pt idx="627">
                  <c:v>574.38976627201441</c:v>
                </c:pt>
                <c:pt idx="628">
                  <c:v>576.17547265573023</c:v>
                </c:pt>
                <c:pt idx="629">
                  <c:v>577.96258368056147</c:v>
                </c:pt>
                <c:pt idx="630">
                  <c:v>579.75108511756662</c:v>
                </c:pt>
                <c:pt idx="631">
                  <c:v>581.54096277405847</c:v>
                </c:pt>
                <c:pt idx="632">
                  <c:v>583.33220249365661</c:v>
                </c:pt>
                <c:pt idx="633">
                  <c:v>585.12479015633664</c:v>
                </c:pt>
                <c:pt idx="634">
                  <c:v>586.91871167847762</c:v>
                </c:pt>
                <c:pt idx="635">
                  <c:v>588.71395301290579</c:v>
                </c:pt>
                <c:pt idx="636">
                  <c:v>590.51050014893656</c:v>
                </c:pt>
                <c:pt idx="637">
                  <c:v>592.30833911241336</c:v>
                </c:pt>
                <c:pt idx="638">
                  <c:v>594.10745596574384</c:v>
                </c:pt>
                <c:pt idx="639">
                  <c:v>595.90783680793356</c:v>
                </c:pt>
                <c:pt idx="640">
                  <c:v>597.70946777461756</c:v>
                </c:pt>
                <c:pt idx="641">
                  <c:v>599.51233503808839</c:v>
                </c:pt>
                <c:pt idx="642">
                  <c:v>601.31642480732273</c:v>
                </c:pt>
                <c:pt idx="643">
                  <c:v>603.12172332800469</c:v>
                </c:pt>
                <c:pt idx="644">
                  <c:v>604.92821688254708</c:v>
                </c:pt>
                <c:pt idx="645">
                  <c:v>606.73589179011014</c:v>
                </c:pt>
                <c:pt idx="646">
                  <c:v>608.54472606643515</c:v>
                </c:pt>
                <c:pt idx="647">
                  <c:v>610.35468851721339</c:v>
                </c:pt>
                <c:pt idx="648">
                  <c:v>612.16574710185455</c:v>
                </c:pt>
                <c:pt idx="649">
                  <c:v>613.97786986386541</c:v>
                </c:pt>
                <c:pt idx="650">
                  <c:v>615.7910249311509</c:v>
                </c:pt>
                <c:pt idx="651">
                  <c:v>617.60518051630345</c:v>
                </c:pt>
                <c:pt idx="652">
                  <c:v>619.42030491687979</c:v>
                </c:pt>
                <c:pt idx="653">
                  <c:v>621.23636651566562</c:v>
                </c:pt>
                <c:pt idx="654">
                  <c:v>623.05333378092826</c:v>
                </c:pt>
                <c:pt idx="655">
                  <c:v>624.87117526665736</c:v>
                </c:pt>
                <c:pt idx="656">
                  <c:v>626.68985961279429</c:v>
                </c:pt>
                <c:pt idx="657">
                  <c:v>628.50935554544901</c:v>
                </c:pt>
                <c:pt idx="658">
                  <c:v>630.32963187710641</c:v>
                </c:pt>
                <c:pt idx="659">
                  <c:v>632.15065750682015</c:v>
                </c:pt>
                <c:pt idx="660">
                  <c:v>633.97240142039584</c:v>
                </c:pt>
                <c:pt idx="661">
                  <c:v>635.794832690563</c:v>
                </c:pt>
                <c:pt idx="662">
                  <c:v>637.61792047713539</c:v>
                </c:pt>
                <c:pt idx="663">
                  <c:v>639.44163402716106</c:v>
                </c:pt>
                <c:pt idx="664">
                  <c:v>641.26594267506073</c:v>
                </c:pt>
                <c:pt idx="665">
                  <c:v>643.090815842756</c:v>
                </c:pt>
                <c:pt idx="666">
                  <c:v>644.91620522393623</c:v>
                </c:pt>
                <c:pt idx="667">
                  <c:v>646.74204037774746</c:v>
                </c:pt>
                <c:pt idx="668">
                  <c:v>648.5682466106457</c:v>
                </c:pt>
                <c:pt idx="669">
                  <c:v>650.39474944966287</c:v>
                </c:pt>
                <c:pt idx="670">
                  <c:v>652.22147464416742</c:v>
                </c:pt>
                <c:pt idx="671">
                  <c:v>654.04834816755988</c:v>
                </c:pt>
                <c:pt idx="672">
                  <c:v>655.87529621890326</c:v>
                </c:pt>
                <c:pt idx="673">
                  <c:v>657.70224522448837</c:v>
                </c:pt>
                <c:pt idx="674">
                  <c:v>659.52912183933529</c:v>
                </c:pt>
                <c:pt idx="675">
                  <c:v>661.35585294863176</c:v>
                </c:pt>
                <c:pt idx="676">
                  <c:v>663.18236566910787</c:v>
                </c:pt>
                <c:pt idx="677">
                  <c:v>665.00858735034944</c:v>
                </c:pt>
                <c:pt idx="678">
                  <c:v>666.83444557604878</c:v>
                </c:pt>
                <c:pt idx="679">
                  <c:v>668.65986816519523</c:v>
                </c:pt>
                <c:pt idx="680">
                  <c:v>670.48478317320451</c:v>
                </c:pt>
                <c:pt idx="681">
                  <c:v>672.30911889298875</c:v>
                </c:pt>
                <c:pt idx="682">
                  <c:v>674.13280385596704</c:v>
                </c:pt>
                <c:pt idx="683">
                  <c:v>675.95576683301783</c:v>
                </c:pt>
                <c:pt idx="684">
                  <c:v>677.77793683537277</c:v>
                </c:pt>
                <c:pt idx="685">
                  <c:v>679.59924311545399</c:v>
                </c:pt>
                <c:pt idx="686">
                  <c:v>681.41961516765446</c:v>
                </c:pt>
                <c:pt idx="687">
                  <c:v>683.23898272906251</c:v>
                </c:pt>
                <c:pt idx="688">
                  <c:v>685.05727578013114</c:v>
                </c:pt>
                <c:pt idx="689">
                  <c:v>686.87442454529264</c:v>
                </c:pt>
                <c:pt idx="690">
                  <c:v>688.69035949351962</c:v>
                </c:pt>
                <c:pt idx="691">
                  <c:v>690.50501133883256</c:v>
                </c:pt>
                <c:pt idx="692">
                  <c:v>692.31831104075479</c:v>
                </c:pt>
                <c:pt idx="693">
                  <c:v>694.13018980471622</c:v>
                </c:pt>
                <c:pt idx="694">
                  <c:v>695.94057908240507</c:v>
                </c:pt>
                <c:pt idx="695">
                  <c:v>697.74941057206991</c:v>
                </c:pt>
                <c:pt idx="696">
                  <c:v>699.55661621877164</c:v>
                </c:pt>
                <c:pt idx="697">
                  <c:v>701.36212821458628</c:v>
                </c:pt>
                <c:pt idx="698">
                  <c:v>703.16587899875992</c:v>
                </c:pt>
                <c:pt idx="699">
                  <c:v>704.96780125781549</c:v>
                </c:pt>
                <c:pt idx="700">
                  <c:v>706.76782792561278</c:v>
                </c:pt>
                <c:pt idx="701">
                  <c:v>708.56589218336228</c:v>
                </c:pt>
                <c:pt idx="702">
                  <c:v>710.3619274595934</c:v>
                </c:pt>
                <c:pt idx="703">
                  <c:v>712.15586743007805</c:v>
                </c:pt>
                <c:pt idx="704">
                  <c:v>713.94764601770953</c:v>
                </c:pt>
                <c:pt idx="705">
                  <c:v>715.73719739233843</c:v>
                </c:pt>
                <c:pt idx="706">
                  <c:v>717.52445597056578</c:v>
                </c:pt>
                <c:pt idx="707">
                  <c:v>719.30935641549388</c:v>
                </c:pt>
                <c:pt idx="708">
                  <c:v>721.09183314663142</c:v>
                </c:pt>
                <c:pt idx="709">
                  <c:v>722.87181593135233</c:v>
                </c:pt>
                <c:pt idx="710">
                  <c:v>724.64923039576536</c:v>
                </c:pt>
                <c:pt idx="711">
                  <c:v>726.42400245407782</c:v>
                </c:pt>
                <c:pt idx="712">
                  <c:v>728.19605830839316</c:v>
                </c:pt>
                <c:pt idx="713">
                  <c:v>729.96532444845423</c:v>
                </c:pt>
                <c:pt idx="714">
                  <c:v>731.7317276513337</c:v>
                </c:pt>
                <c:pt idx="715">
                  <c:v>733.49519498107213</c:v>
                </c:pt>
                <c:pt idx="716">
                  <c:v>735.25565378826468</c:v>
                </c:pt>
                <c:pt idx="717">
                  <c:v>737.01303170959739</c:v>
                </c:pt>
                <c:pt idx="718">
                  <c:v>738.76725666733375</c:v>
                </c:pt>
                <c:pt idx="719">
                  <c:v>740.51825686875316</c:v>
                </c:pt>
                <c:pt idx="720">
                  <c:v>742.26596080554054</c:v>
                </c:pt>
                <c:pt idx="721">
                  <c:v>744.01029725313003</c:v>
                </c:pt>
                <c:pt idx="722">
                  <c:v>745.75119527000197</c:v>
                </c:pt>
                <c:pt idx="723">
                  <c:v>747.48858419693511</c:v>
                </c:pt>
                <c:pt idx="724">
                  <c:v>749.22239365621385</c:v>
                </c:pt>
                <c:pt idx="725">
                  <c:v>750.95249107555674</c:v>
                </c:pt>
                <c:pt idx="726">
                  <c:v>752.67865522515729</c:v>
                </c:pt>
                <c:pt idx="727">
                  <c:v>754.40077313174913</c:v>
                </c:pt>
                <c:pt idx="728">
                  <c:v>756.11886631400739</c:v>
                </c:pt>
                <c:pt idx="729">
                  <c:v>757.83295611753476</c:v>
                </c:pt>
                <c:pt idx="730">
                  <c:v>759.54306371673374</c:v>
                </c:pt>
                <c:pt idx="731">
                  <c:v>761.24921011665413</c:v>
                </c:pt>
                <c:pt idx="732">
                  <c:v>762.95141615481498</c:v>
                </c:pt>
                <c:pt idx="733">
                  <c:v>764.64970250300246</c:v>
                </c:pt>
                <c:pt idx="734">
                  <c:v>766.34408966904311</c:v>
                </c:pt>
                <c:pt idx="735">
                  <c:v>768.03459799855341</c:v>
                </c:pt>
                <c:pt idx="736">
                  <c:v>769.72124767666594</c:v>
                </c:pt>
                <c:pt idx="737">
                  <c:v>771.40405872973247</c:v>
                </c:pt>
                <c:pt idx="738">
                  <c:v>773.08305102700444</c:v>
                </c:pt>
                <c:pt idx="739">
                  <c:v>774.75824428229112</c:v>
                </c:pt>
                <c:pt idx="740">
                  <c:v>776.42965805559561</c:v>
                </c:pt>
                <c:pt idx="741">
                  <c:v>778.09731175472939</c:v>
                </c:pt>
                <c:pt idx="742">
                  <c:v>779.76122463690581</c:v>
                </c:pt>
                <c:pt idx="743">
                  <c:v>781.42141581031228</c:v>
                </c:pt>
                <c:pt idx="744">
                  <c:v>783.07790423566189</c:v>
                </c:pt>
                <c:pt idx="745">
                  <c:v>784.73070872772496</c:v>
                </c:pt>
                <c:pt idx="746">
                  <c:v>786.37984795684076</c:v>
                </c:pt>
                <c:pt idx="747">
                  <c:v>788.02534045040909</c:v>
                </c:pt>
                <c:pt idx="748">
                  <c:v>789.66720459436272</c:v>
                </c:pt>
                <c:pt idx="749">
                  <c:v>791.30545863462135</c:v>
                </c:pt>
                <c:pt idx="750">
                  <c:v>792.94012067852589</c:v>
                </c:pt>
                <c:pt idx="751">
                  <c:v>794.57120869625487</c:v>
                </c:pt>
                <c:pt idx="752">
                  <c:v>796.19874052222281</c:v>
                </c:pt>
                <c:pt idx="753">
                  <c:v>797.82273385645999</c:v>
                </c:pt>
                <c:pt idx="754">
                  <c:v>799.44320626597562</c:v>
                </c:pt>
                <c:pt idx="755">
                  <c:v>801.06017518610281</c:v>
                </c:pt>
                <c:pt idx="756">
                  <c:v>802.67365792182682</c:v>
                </c:pt>
                <c:pt idx="757">
                  <c:v>804.2836716490965</c:v>
                </c:pt>
                <c:pt idx="758">
                  <c:v>805.89023341611926</c:v>
                </c:pt>
                <c:pt idx="759">
                  <c:v>807.49336014463927</c:v>
                </c:pt>
                <c:pt idx="760">
                  <c:v>809.09306863120037</c:v>
                </c:pt>
                <c:pt idx="761">
                  <c:v>810.68937554839238</c:v>
                </c:pt>
                <c:pt idx="762">
                  <c:v>812.28229744608234</c:v>
                </c:pt>
                <c:pt idx="763">
                  <c:v>813.87185075263028</c:v>
                </c:pt>
                <c:pt idx="764">
                  <c:v>815.45805177608986</c:v>
                </c:pt>
                <c:pt idx="765">
                  <c:v>817.0409167053939</c:v>
                </c:pt>
                <c:pt idx="766">
                  <c:v>818.62046161152568</c:v>
                </c:pt>
                <c:pt idx="767">
                  <c:v>820.19670244867541</c:v>
                </c:pt>
                <c:pt idx="768">
                  <c:v>821.76965505538271</c:v>
                </c:pt>
                <c:pt idx="769">
                  <c:v>823.3393351556648</c:v>
                </c:pt>
                <c:pt idx="770">
                  <c:v>824.90575836013136</c:v>
                </c:pt>
                <c:pt idx="771">
                  <c:v>826.46894016708507</c:v>
                </c:pt>
                <c:pt idx="772">
                  <c:v>828.02889596360933</c:v>
                </c:pt>
                <c:pt idx="773">
                  <c:v>829.58564102664263</c:v>
                </c:pt>
                <c:pt idx="774">
                  <c:v>831.13919052403958</c:v>
                </c:pt>
                <c:pt idx="775">
                  <c:v>832.68955951561964</c:v>
                </c:pt>
                <c:pt idx="776">
                  <c:v>834.23676295420273</c:v>
                </c:pt>
                <c:pt idx="777">
                  <c:v>835.78081568663254</c:v>
                </c:pt>
                <c:pt idx="778">
                  <c:v>837.32173245478759</c:v>
                </c:pt>
                <c:pt idx="779">
                  <c:v>838.85952789658018</c:v>
                </c:pt>
                <c:pt idx="780">
                  <c:v>840.39421654694343</c:v>
                </c:pt>
                <c:pt idx="781">
                  <c:v>841.92581283880645</c:v>
                </c:pt>
                <c:pt idx="782">
                  <c:v>843.45433110405804</c:v>
                </c:pt>
                <c:pt idx="783">
                  <c:v>844.97978557449892</c:v>
                </c:pt>
                <c:pt idx="784">
                  <c:v>846.50219038278271</c:v>
                </c:pt>
                <c:pt idx="785">
                  <c:v>848.02155956334548</c:v>
                </c:pt>
                <c:pt idx="786">
                  <c:v>849.53790705332517</c:v>
                </c:pt>
                <c:pt idx="787">
                  <c:v>851.05124669346935</c:v>
                </c:pt>
                <c:pt idx="788">
                  <c:v>852.56159222903284</c:v>
                </c:pt>
                <c:pt idx="789">
                  <c:v>854.06895731066447</c:v>
                </c:pt>
                <c:pt idx="790">
                  <c:v>855.5733554952842</c:v>
                </c:pt>
                <c:pt idx="791">
                  <c:v>857.07480024694894</c:v>
                </c:pt>
                <c:pt idx="792">
                  <c:v>858.57330493770939</c:v>
                </c:pt>
                <c:pt idx="793">
                  <c:v>860.06888284845661</c:v>
                </c:pt>
                <c:pt idx="794">
                  <c:v>861.56154716975823</c:v>
                </c:pt>
                <c:pt idx="795">
                  <c:v>863.05131100268591</c:v>
                </c:pt>
                <c:pt idx="796">
                  <c:v>864.53818735963284</c:v>
                </c:pt>
                <c:pt idx="797">
                  <c:v>866.02218916512186</c:v>
                </c:pt>
                <c:pt idx="798">
                  <c:v>867.50332925660439</c:v>
                </c:pt>
                <c:pt idx="799">
                  <c:v>868.98162038525027</c:v>
                </c:pt>
                <c:pt idx="800">
                  <c:v>870.45707521672864</c:v>
                </c:pt>
                <c:pt idx="801">
                  <c:v>885.05660126129101</c:v>
                </c:pt>
                <c:pt idx="802">
                  <c:v>899.38053354971169</c:v>
                </c:pt>
                <c:pt idx="803">
                  <c:v>913.44077587946492</c:v>
                </c:pt>
                <c:pt idx="804">
                  <c:v>927.24847006941616</c:v>
                </c:pt>
                <c:pt idx="805">
                  <c:v>940.81406062275619</c:v>
                </c:pt>
                <c:pt idx="806">
                  <c:v>954.14735261183296</c:v>
                </c:pt>
                <c:pt idx="807">
                  <c:v>967.25756362539664</c:v>
                </c:pt>
                <c:pt idx="808">
                  <c:v>980.15337049905247</c:v>
                </c:pt>
                <c:pt idx="809">
                  <c:v>992.84295144917076</c:v>
                </c:pt>
                <c:pt idx="810">
                  <c:v>1005.3340241457321</c:v>
                </c:pt>
                <c:pt idx="811">
                  <c:v>1017.6338801878516</c:v>
                </c:pt>
                <c:pt idx="812">
                  <c:v>1029.7494163848096</c:v>
                </c:pt>
                <c:pt idx="813">
                  <c:v>1041.6871631935094</c:v>
                </c:pt>
                <c:pt idx="814">
                  <c:v>1053.4533106189078</c:v>
                </c:pt>
                <c:pt idx="815">
                  <c:v>1065.0537318459153</c:v>
                </c:pt>
                <c:pt idx="816">
                  <c:v>1076.4940048385336</c:v>
                </c:pt>
                <c:pt idx="817">
                  <c:v>1087.7794321137658</c:v>
                </c:pt>
                <c:pt idx="818">
                  <c:v>1098.9150588734212</c:v>
                </c:pt>
                <c:pt idx="819">
                  <c:v>1109.9056896557522</c:v>
                </c:pt>
                <c:pt idx="820">
                  <c:v>1120.7559036504517</c:v>
                </c:pt>
                <c:pt idx="821">
                  <c:v>1131.4700688044866</c:v>
                </c:pt>
                <c:pt idx="822">
                  <c:v>1142.0523548322165</c:v>
                </c:pt>
                <c:pt idx="823">
                  <c:v>1152.5067452309661</c:v>
                </c:pt>
                <c:pt idx="824">
                  <c:v>1162.8370483924396</c:v>
                </c:pt>
                <c:pt idx="825">
                  <c:v>1173.0469078908782</c:v>
                </c:pt>
                <c:pt idx="826">
                  <c:v>1183.1398120205085</c:v>
                </c:pt>
                <c:pt idx="827">
                  <c:v>1193.119102647443</c:v>
                </c:pt>
                <c:pt idx="828">
                  <c:v>1202.9879834346602</c:v>
                </c:pt>
                <c:pt idx="829">
                  <c:v>1212.7495274929008</c:v>
                </c:pt>
                <c:pt idx="830">
                  <c:v>1222.4066845051693</c:v>
                </c:pt>
                <c:pt idx="831">
                  <c:v>1231.9622873679511</c:v>
                </c:pt>
                <c:pt idx="832">
                  <c:v>1241.4190583881748</c:v>
                </c:pt>
                <c:pt idx="833">
                  <c:v>1250.7796150713025</c:v>
                </c:pt>
                <c:pt idx="834">
                  <c:v>1260.0464755326757</c:v>
                </c:pt>
                <c:pt idx="835">
                  <c:v>1269.2220635613187</c:v>
                </c:pt>
                <c:pt idx="836">
                  <c:v>1278.3087133627891</c:v>
                </c:pt>
                <c:pt idx="837">
                  <c:v>1287.3086740053054</c:v>
                </c:pt>
                <c:pt idx="838">
                  <c:v>1296.224113591267</c:v>
                </c:pt>
                <c:pt idx="839">
                  <c:v>1305.0571231743761</c:v>
                </c:pt>
                <c:pt idx="840">
                  <c:v>1313.8097204408439</c:v>
                </c:pt>
                <c:pt idx="841">
                  <c:v>1322.4838531716134</c:v>
                </c:pt>
                <c:pt idx="842">
                  <c:v>1331.0814025011207</c:v>
                </c:pt>
                <c:pt idx="843">
                  <c:v>1339.6041859868428</c:v>
                </c:pt>
                <c:pt idx="844">
                  <c:v>1348.053960502725</c:v>
                </c:pt>
                <c:pt idx="845">
                  <c:v>1356.4324249685285</c:v>
                </c:pt>
                <c:pt idx="846">
                  <c:v>1364.7412229261881</c:v>
                </c:pt>
                <c:pt idx="847">
                  <c:v>1372.981944973397</c:v>
                </c:pt>
                <c:pt idx="848">
                  <c:v>1381.1561310638479</c:v>
                </c:pt>
                <c:pt idx="849">
                  <c:v>1389.2652726828337</c:v>
                </c:pt>
                <c:pt idx="850">
                  <c:v>1397.3108149062584</c:v>
                </c:pt>
                <c:pt idx="851">
                  <c:v>1405.2941583504951</c:v>
                </c:pt>
                <c:pt idx="852">
                  <c:v>1413.2166610199877</c:v>
                </c:pt>
                <c:pt idx="853">
                  <c:v>1421.0796400589813</c:v>
                </c:pt>
                <c:pt idx="854">
                  <c:v>1428.884373413305</c:v>
                </c:pt>
                <c:pt idx="855">
                  <c:v>1436.6321014077018</c:v>
                </c:pt>
                <c:pt idx="856">
                  <c:v>1444.3240282438196</c:v>
                </c:pt>
                <c:pt idx="857">
                  <c:v>1451.9613234236044</c:v>
                </c:pt>
                <c:pt idx="858">
                  <c:v>1459.5451231025183</c:v>
                </c:pt>
                <c:pt idx="859">
                  <c:v>1467.0765313766942</c:v>
                </c:pt>
                <c:pt idx="860">
                  <c:v>1474.5566215078588</c:v>
                </c:pt>
                <c:pt idx="861">
                  <c:v>1481.9864370895996</c:v>
                </c:pt>
                <c:pt idx="862">
                  <c:v>1489.3669931583083</c:v>
                </c:pt>
                <c:pt idx="863">
                  <c:v>1496.6992772519163</c:v>
                </c:pt>
                <c:pt idx="864">
                  <c:v>1503.9842504193291</c:v>
                </c:pt>
                <c:pt idx="865">
                  <c:v>1511.2228481832808</c:v>
                </c:pt>
                <c:pt idx="866">
                  <c:v>1518.4159814591533</c:v>
                </c:pt>
                <c:pt idx="867">
                  <c:v>1525.5645374321416</c:v>
                </c:pt>
                <c:pt idx="868">
                  <c:v>1532.6693803949963</c:v>
                </c:pt>
                <c:pt idx="869">
                  <c:v>1539.7313525484344</c:v>
                </c:pt>
                <c:pt idx="870">
                  <c:v>1546.7512747661801</c:v>
                </c:pt>
                <c:pt idx="871">
                  <c:v>1553.7299473264759</c:v>
                </c:pt>
                <c:pt idx="872">
                  <c:v>1560.6681506117895</c:v>
                </c:pt>
                <c:pt idx="873">
                  <c:v>1567.5666457783432</c:v>
                </c:pt>
                <c:pt idx="874">
                  <c:v>1574.4261753969856</c:v>
                </c:pt>
                <c:pt idx="875">
                  <c:v>1581.2474640668459</c:v>
                </c:pt>
                <c:pt idx="876">
                  <c:v>1588.0312190031148</c:v>
                </c:pt>
                <c:pt idx="877">
                  <c:v>1594.778130600225</c:v>
                </c:pt>
                <c:pt idx="878">
                  <c:v>1601.4888729716272</c:v>
                </c:pt>
                <c:pt idx="879">
                  <c:v>1608.1641044672861</c:v>
                </c:pt>
                <c:pt idx="880">
                  <c:v>1614.8044681699605</c:v>
                </c:pt>
                <c:pt idx="881">
                  <c:v>1621.4105923712698</c:v>
                </c:pt>
                <c:pt idx="882">
                  <c:v>1627.9830910284877</c:v>
                </c:pt>
                <c:pt idx="883">
                  <c:v>1634.5225642029598</c:v>
                </c:pt>
                <c:pt idx="884">
                  <c:v>1641.0295984809816</c:v>
                </c:pt>
                <c:pt idx="885">
                  <c:v>1647.5047673779366</c:v>
                </c:pt>
                <c:pt idx="886">
                  <c:v>1653.9486317264425</c:v>
                </c:pt>
                <c:pt idx="887">
                  <c:v>1660.361740049216</c:v>
                </c:pt>
                <c:pt idx="888">
                  <c:v>1666.7446289173283</c:v>
                </c:pt>
                <c:pt idx="889">
                  <c:v>1673.0978232944849</c:v>
                </c:pt>
                <c:pt idx="890">
                  <c:v>1679.4218368679299</c:v>
                </c:pt>
                <c:pt idx="891">
                  <c:v>1685.7171723665456</c:v>
                </c:pt>
                <c:pt idx="892">
                  <c:v>1691.9843218666806</c:v>
                </c:pt>
                <c:pt idx="893">
                  <c:v>1698.2237670862203</c:v>
                </c:pt>
                <c:pt idx="894">
                  <c:v>1704.435979667378</c:v>
                </c:pt>
                <c:pt idx="895">
                  <c:v>1710.6214214486665</c:v>
                </c:pt>
                <c:pt idx="896">
                  <c:v>1716.7805447264807</c:v>
                </c:pt>
                <c:pt idx="897">
                  <c:v>1722.9137925067012</c:v>
                </c:pt>
                <c:pt idx="898">
                  <c:v>1729.0215987467097</c:v>
                </c:pt>
                <c:pt idx="899">
                  <c:v>1735.1043885881811</c:v>
                </c:pt>
                <c:pt idx="900">
                  <c:v>1741.1625785810038</c:v>
                </c:pt>
                <c:pt idx="901">
                  <c:v>1747.1965768986581</c:v>
                </c:pt>
                <c:pt idx="902">
                  <c:v>1753.2067835453668</c:v>
                </c:pt>
                <c:pt idx="903">
                  <c:v>1759.1935905553148</c:v>
                </c:pt>
                <c:pt idx="904">
                  <c:v>1765.1573821842214</c:v>
                </c:pt>
                <c:pt idx="905">
                  <c:v>1771.0985350935309</c:v>
                </c:pt>
                <c:pt idx="906">
                  <c:v>1777.0174185274759</c:v>
                </c:pt>
                <c:pt idx="907">
                  <c:v>1782.9143944832554</c:v>
                </c:pt>
                <c:pt idx="908">
                  <c:v>1788.7898178745531</c:v>
                </c:pt>
                <c:pt idx="909">
                  <c:v>1794.6440366886154</c:v>
                </c:pt>
                <c:pt idx="910">
                  <c:v>1800.4773921370925</c:v>
                </c:pt>
                <c:pt idx="911">
                  <c:v>1806.2902188008375</c:v>
                </c:pt>
                <c:pt idx="912">
                  <c:v>1812.0828447688498</c:v>
                </c:pt>
                <c:pt idx="913">
                  <c:v>1817.8555917715373</c:v>
                </c:pt>
                <c:pt idx="914">
                  <c:v>1823.608775308463</c:v>
                </c:pt>
                <c:pt idx="915">
                  <c:v>1829.3427047707362</c:v>
                </c:pt>
                <c:pt idx="916">
                  <c:v>1835.0576835581971</c:v>
                </c:pt>
                <c:pt idx="917">
                  <c:v>1840.7540091915382</c:v>
                </c:pt>
                <c:pt idx="918">
                  <c:v>1846.4319734194974</c:v>
                </c:pt>
                <c:pt idx="919">
                  <c:v>1852.091862321254</c:v>
                </c:pt>
                <c:pt idx="920">
                  <c:v>1857.7339564041488</c:v>
                </c:pt>
                <c:pt idx="921">
                  <c:v>1863.3585306968471</c:v>
                </c:pt>
                <c:pt idx="922">
                  <c:v>1868.9658548380564</c:v>
                </c:pt>
                <c:pt idx="923">
                  <c:v>1874.5561931609079</c:v>
                </c:pt>
                <c:pt idx="924">
                  <c:v>1880.1298047731027</c:v>
                </c:pt>
                <c:pt idx="925">
                  <c:v>1885.6869436329243</c:v>
                </c:pt>
                <c:pt idx="926">
                  <c:v>1891.227858621214</c:v>
                </c:pt>
                <c:pt idx="927">
                  <c:v>1896.7527936093995</c:v>
                </c:pt>
                <c:pt idx="928">
                  <c:v>1902.2619875236717</c:v>
                </c:pt>
                <c:pt idx="929">
                  <c:v>1907.7556744053941</c:v>
                </c:pt>
                <c:pt idx="930">
                  <c:v>1913.2340834678362</c:v>
                </c:pt>
                <c:pt idx="931">
                  <c:v>1918.6974391493143</c:v>
                </c:pt>
                <c:pt idx="932">
                  <c:v>1924.1459611628277</c:v>
                </c:pt>
                <c:pt idx="933">
                  <c:v>1929.5798645422747</c:v>
                </c:pt>
                <c:pt idx="934">
                  <c:v>1934.9993596853367</c:v>
                </c:pt>
                <c:pt idx="935">
                  <c:v>1940.4046523931167</c:v>
                </c:pt>
                <c:pt idx="936">
                  <c:v>1945.7959439066233</c:v>
                </c:pt>
                <c:pt idx="937">
                  <c:v>1951.1734309401913</c:v>
                </c:pt>
                <c:pt idx="938">
                  <c:v>1956.5373057119346</c:v>
                </c:pt>
                <c:pt idx="939">
                  <c:v>1961.8877559713289</c:v>
                </c:pt>
                <c:pt idx="940">
                  <c:v>1967.2249650240287</c:v>
                </c:pt>
                <c:pt idx="941">
                  <c:v>1972.5491117540239</c:v>
                </c:pt>
                <c:pt idx="942">
                  <c:v>1977.8603706432514</c:v>
                </c:pt>
                <c:pt idx="943">
                  <c:v>1983.1589117887779</c:v>
                </c:pt>
                <c:pt idx="944">
                  <c:v>1988.4449009176815</c:v>
                </c:pt>
                <c:pt idx="945">
                  <c:v>1993.7184993997632</c:v>
                </c:pt>
                <c:pt idx="946">
                  <c:v>1998.979864258228</c:v>
                </c:pt>
                <c:pt idx="947">
                  <c:v>2004.2291481784844</c:v>
                </c:pt>
                <c:pt idx="948">
                  <c:v>2009.4664995152173</c:v>
                </c:pt>
                <c:pt idx="949">
                  <c:v>2014.6920622979003</c:v>
                </c:pt>
                <c:pt idx="950">
                  <c:v>2019.9059762349191</c:v>
                </c:pt>
                <c:pt idx="951">
                  <c:v>2025.1083767164905</c:v>
                </c:pt>
                <c:pt idx="952">
                  <c:v>2030.2993948165665</c:v>
                </c:pt>
                <c:pt idx="953">
                  <c:v>2035.4791572939248</c:v>
                </c:pt>
                <c:pt idx="954">
                  <c:v>2040.6477865926543</c:v>
                </c:pt>
                <c:pt idx="955">
                  <c:v>2045.8054008422505</c:v>
                </c:pt>
                <c:pt idx="956">
                  <c:v>2050.9521138575478</c:v>
                </c:pt>
                <c:pt idx="957">
                  <c:v>2056.0880351387164</c:v>
                </c:pt>
                <c:pt idx="958">
                  <c:v>2061.2132698715614</c:v>
                </c:pt>
                <c:pt idx="959">
                  <c:v>2066.3279189283671</c:v>
                </c:pt>
                <c:pt idx="960">
                  <c:v>2071.4320788695268</c:v>
                </c:pt>
                <c:pt idx="961">
                  <c:v>2076.5258419462057</c:v>
                </c:pt>
                <c:pt idx="962">
                  <c:v>2081.6092961042859</c:v>
                </c:pt>
                <c:pt idx="963">
                  <c:v>2086.6825249898329</c:v>
                </c:pt>
                <c:pt idx="964">
                  <c:v>2091.7456079563276</c:v>
                </c:pt>
                <c:pt idx="965">
                  <c:v>2096.7986200738965</c:v>
                </c:pt>
                <c:pt idx="966">
                  <c:v>2101.8416321407713</c:v>
                </c:pt>
                <c:pt idx="967">
                  <c:v>2106.8747106971882</c:v>
                </c:pt>
                <c:pt idx="968">
                  <c:v>2111.8979180419406</c:v>
                </c:pt>
                <c:pt idx="969">
                  <c:v>2116.9113122517656</c:v>
                </c:pt>
                <c:pt idx="970">
                  <c:v>2121.914947203747</c:v>
                </c:pt>
                <c:pt idx="971">
                  <c:v>2126.9088726008868</c:v>
                </c:pt>
                <c:pt idx="972">
                  <c:v>2131.8931340009794</c:v>
                </c:pt>
                <c:pt idx="973">
                  <c:v>2136.8677728489042</c:v>
                </c:pt>
                <c:pt idx="974">
                  <c:v>2141.8328265124278</c:v>
                </c:pt>
                <c:pt idx="975">
                  <c:v>2146.7883283215783</c:v>
                </c:pt>
                <c:pt idx="976">
                  <c:v>2151.7343076116376</c:v>
                </c:pt>
                <c:pt idx="977">
                  <c:v>2156.6707897697647</c:v>
                </c:pt>
                <c:pt idx="978">
                  <c:v>2161.5977962852394</c:v>
                </c:pt>
                <c:pt idx="979">
                  <c:v>2166.5153448032925</c:v>
                </c:pt>
                <c:pt idx="980">
                  <c:v>2171.4234491824632</c:v>
                </c:pt>
                <c:pt idx="981">
                  <c:v>2176.3221195553974</c:v>
                </c:pt>
                <c:pt idx="982">
                  <c:v>2181.2113623929818</c:v>
                </c:pt>
                <c:pt idx="983">
                  <c:v>2186.0911805716828</c:v>
                </c:pt>
                <c:pt idx="984">
                  <c:v>2190.9615734439458</c:v>
                </c:pt>
                <c:pt idx="985">
                  <c:v>2195.8225369114875</c:v>
                </c:pt>
                <c:pt idx="986">
                  <c:v>2200.6740635012993</c:v>
                </c:pt>
                <c:pt idx="987">
                  <c:v>2205.5161424441676</c:v>
                </c:pt>
                <c:pt idx="988">
                  <c:v>2210.3487597555081</c:v>
                </c:pt>
                <c:pt idx="989">
                  <c:v>2215.1718983182946</c:v>
                </c:pt>
                <c:pt idx="990">
                  <c:v>2219.9855379678647</c:v>
                </c:pt>
                <c:pt idx="991">
                  <c:v>2224.7896555783782</c:v>
                </c:pt>
                <c:pt idx="992">
                  <c:v>2229.5842251506979</c:v>
                </c:pt>
                <c:pt idx="993">
                  <c:v>2234.3692179014688</c:v>
                </c:pt>
                <c:pt idx="994">
                  <c:v>2239.1446023531712</c:v>
                </c:pt>
                <c:pt idx="995">
                  <c:v>2243.9103444249226</c:v>
                </c:pt>
                <c:pt idx="996">
                  <c:v>2248.6664075238195</c:v>
                </c:pt>
                <c:pt idx="997">
                  <c:v>2253.4127526366042</c:v>
                </c:pt>
                <c:pt idx="998">
                  <c:v>2258.1493384214614</c:v>
                </c:pt>
                <c:pt idx="999">
                  <c:v>2262.8761212997497</c:v>
                </c:pt>
                <c:pt idx="1000">
                  <c:v>2267.5930555474893</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4.0099999999999589</c:v>
                </c:pt>
                <c:pt idx="402">
                  <c:v>4.0199999999999587</c:v>
                </c:pt>
                <c:pt idx="403">
                  <c:v>4.0299999999999585</c:v>
                </c:pt>
                <c:pt idx="404">
                  <c:v>4.0399999999999583</c:v>
                </c:pt>
                <c:pt idx="405">
                  <c:v>4.0499999999999581</c:v>
                </c:pt>
                <c:pt idx="406">
                  <c:v>4.0599999999999579</c:v>
                </c:pt>
                <c:pt idx="407">
                  <c:v>4.0699999999999577</c:v>
                </c:pt>
                <c:pt idx="408">
                  <c:v>4.0799999999999574</c:v>
                </c:pt>
                <c:pt idx="409">
                  <c:v>4.0899999999999572</c:v>
                </c:pt>
                <c:pt idx="410">
                  <c:v>4.099999999999957</c:v>
                </c:pt>
                <c:pt idx="411">
                  <c:v>4.1099999999999568</c:v>
                </c:pt>
                <c:pt idx="412">
                  <c:v>4.1199999999999566</c:v>
                </c:pt>
                <c:pt idx="413">
                  <c:v>4.1299999999999564</c:v>
                </c:pt>
                <c:pt idx="414">
                  <c:v>4.1399999999999562</c:v>
                </c:pt>
                <c:pt idx="415">
                  <c:v>4.1499999999999559</c:v>
                </c:pt>
                <c:pt idx="416">
                  <c:v>4.1599999999999557</c:v>
                </c:pt>
                <c:pt idx="417">
                  <c:v>4.1699999999999555</c:v>
                </c:pt>
                <c:pt idx="418">
                  <c:v>4.1799999999999553</c:v>
                </c:pt>
                <c:pt idx="419">
                  <c:v>4.1899999999999551</c:v>
                </c:pt>
                <c:pt idx="420">
                  <c:v>4.1999999999999549</c:v>
                </c:pt>
                <c:pt idx="421">
                  <c:v>4.2099999999999547</c:v>
                </c:pt>
                <c:pt idx="422">
                  <c:v>4.2199999999999545</c:v>
                </c:pt>
                <c:pt idx="423">
                  <c:v>4.2299999999999542</c:v>
                </c:pt>
                <c:pt idx="424">
                  <c:v>4.239999999999954</c:v>
                </c:pt>
                <c:pt idx="425">
                  <c:v>4.2499999999999538</c:v>
                </c:pt>
                <c:pt idx="426">
                  <c:v>4.2599999999999536</c:v>
                </c:pt>
                <c:pt idx="427">
                  <c:v>4.2699999999999534</c:v>
                </c:pt>
                <c:pt idx="428">
                  <c:v>4.2799999999999532</c:v>
                </c:pt>
                <c:pt idx="429">
                  <c:v>4.289999999999953</c:v>
                </c:pt>
                <c:pt idx="430">
                  <c:v>4.2999999999999527</c:v>
                </c:pt>
                <c:pt idx="431">
                  <c:v>4.3099999999999525</c:v>
                </c:pt>
                <c:pt idx="432">
                  <c:v>4.3199999999999523</c:v>
                </c:pt>
                <c:pt idx="433">
                  <c:v>4.3299999999999521</c:v>
                </c:pt>
                <c:pt idx="434">
                  <c:v>4.3399999999999519</c:v>
                </c:pt>
                <c:pt idx="435">
                  <c:v>4.3499999999999517</c:v>
                </c:pt>
                <c:pt idx="436">
                  <c:v>4.3599999999999515</c:v>
                </c:pt>
                <c:pt idx="437">
                  <c:v>4.3699999999999513</c:v>
                </c:pt>
                <c:pt idx="438">
                  <c:v>4.379999999999951</c:v>
                </c:pt>
                <c:pt idx="439">
                  <c:v>4.3899999999999508</c:v>
                </c:pt>
                <c:pt idx="440">
                  <c:v>4.3999999999999506</c:v>
                </c:pt>
                <c:pt idx="441">
                  <c:v>4.4099999999999504</c:v>
                </c:pt>
                <c:pt idx="442">
                  <c:v>4.4199999999999502</c:v>
                </c:pt>
                <c:pt idx="443">
                  <c:v>4.42999999999995</c:v>
                </c:pt>
                <c:pt idx="444">
                  <c:v>4.4399999999999498</c:v>
                </c:pt>
                <c:pt idx="445">
                  <c:v>4.4499999999999496</c:v>
                </c:pt>
                <c:pt idx="446">
                  <c:v>4.4599999999999493</c:v>
                </c:pt>
                <c:pt idx="447">
                  <c:v>4.4699999999999491</c:v>
                </c:pt>
                <c:pt idx="448">
                  <c:v>4.4799999999999489</c:v>
                </c:pt>
                <c:pt idx="449">
                  <c:v>4.4899999999999487</c:v>
                </c:pt>
                <c:pt idx="450">
                  <c:v>4.4999999999999485</c:v>
                </c:pt>
                <c:pt idx="451">
                  <c:v>4.5099999999999483</c:v>
                </c:pt>
                <c:pt idx="452">
                  <c:v>4.5199999999999481</c:v>
                </c:pt>
                <c:pt idx="453">
                  <c:v>4.5299999999999478</c:v>
                </c:pt>
                <c:pt idx="454">
                  <c:v>4.5399999999999476</c:v>
                </c:pt>
                <c:pt idx="455">
                  <c:v>4.5499999999999474</c:v>
                </c:pt>
                <c:pt idx="456">
                  <c:v>4.5599999999999472</c:v>
                </c:pt>
                <c:pt idx="457">
                  <c:v>4.569999999999947</c:v>
                </c:pt>
                <c:pt idx="458">
                  <c:v>4.5799999999999468</c:v>
                </c:pt>
                <c:pt idx="459">
                  <c:v>4.5899999999999466</c:v>
                </c:pt>
                <c:pt idx="460">
                  <c:v>4.5999999999999464</c:v>
                </c:pt>
                <c:pt idx="461">
                  <c:v>4.6099999999999461</c:v>
                </c:pt>
                <c:pt idx="462">
                  <c:v>4.6199999999999459</c:v>
                </c:pt>
                <c:pt idx="463">
                  <c:v>4.6299999999999457</c:v>
                </c:pt>
                <c:pt idx="464">
                  <c:v>4.6399999999999455</c:v>
                </c:pt>
                <c:pt idx="465">
                  <c:v>4.6499999999999453</c:v>
                </c:pt>
                <c:pt idx="466">
                  <c:v>4.6599999999999451</c:v>
                </c:pt>
                <c:pt idx="467">
                  <c:v>4.6699999999999449</c:v>
                </c:pt>
                <c:pt idx="468">
                  <c:v>4.6799999999999446</c:v>
                </c:pt>
                <c:pt idx="469">
                  <c:v>4.6899999999999444</c:v>
                </c:pt>
                <c:pt idx="470">
                  <c:v>4.6999999999999442</c:v>
                </c:pt>
                <c:pt idx="471">
                  <c:v>4.709999999999944</c:v>
                </c:pt>
                <c:pt idx="472">
                  <c:v>4.7199999999999438</c:v>
                </c:pt>
                <c:pt idx="473">
                  <c:v>4.7299999999999436</c:v>
                </c:pt>
                <c:pt idx="474">
                  <c:v>4.7399999999999434</c:v>
                </c:pt>
                <c:pt idx="475">
                  <c:v>4.7499999999999432</c:v>
                </c:pt>
                <c:pt idx="476">
                  <c:v>4.7599999999999429</c:v>
                </c:pt>
                <c:pt idx="477">
                  <c:v>4.7699999999999427</c:v>
                </c:pt>
                <c:pt idx="478">
                  <c:v>4.7799999999999425</c:v>
                </c:pt>
                <c:pt idx="479">
                  <c:v>4.7899999999999423</c:v>
                </c:pt>
                <c:pt idx="480">
                  <c:v>4.7999999999999421</c:v>
                </c:pt>
                <c:pt idx="481">
                  <c:v>4.8099999999999419</c:v>
                </c:pt>
                <c:pt idx="482">
                  <c:v>4.8199999999999417</c:v>
                </c:pt>
                <c:pt idx="483">
                  <c:v>4.8299999999999415</c:v>
                </c:pt>
                <c:pt idx="484">
                  <c:v>4.8399999999999412</c:v>
                </c:pt>
                <c:pt idx="485">
                  <c:v>4.849999999999941</c:v>
                </c:pt>
                <c:pt idx="486">
                  <c:v>4.8599999999999408</c:v>
                </c:pt>
                <c:pt idx="487">
                  <c:v>4.8699999999999406</c:v>
                </c:pt>
                <c:pt idx="488">
                  <c:v>4.8799999999999404</c:v>
                </c:pt>
                <c:pt idx="489">
                  <c:v>4.8899999999999402</c:v>
                </c:pt>
                <c:pt idx="490">
                  <c:v>4.89999999999994</c:v>
                </c:pt>
                <c:pt idx="491">
                  <c:v>4.9099999999999397</c:v>
                </c:pt>
                <c:pt idx="492">
                  <c:v>4.9199999999999395</c:v>
                </c:pt>
                <c:pt idx="493">
                  <c:v>4.9299999999999393</c:v>
                </c:pt>
                <c:pt idx="494">
                  <c:v>4.9399999999999391</c:v>
                </c:pt>
                <c:pt idx="495">
                  <c:v>4.9499999999999389</c:v>
                </c:pt>
                <c:pt idx="496">
                  <c:v>4.9599999999999387</c:v>
                </c:pt>
                <c:pt idx="497">
                  <c:v>4.9699999999999385</c:v>
                </c:pt>
                <c:pt idx="498">
                  <c:v>4.9799999999999383</c:v>
                </c:pt>
                <c:pt idx="499">
                  <c:v>4.989999999999938</c:v>
                </c:pt>
                <c:pt idx="500">
                  <c:v>4.9999999999999378</c:v>
                </c:pt>
                <c:pt idx="501">
                  <c:v>5.0099999999999376</c:v>
                </c:pt>
                <c:pt idx="502">
                  <c:v>5.0199999999999374</c:v>
                </c:pt>
                <c:pt idx="503">
                  <c:v>5.0299999999999372</c:v>
                </c:pt>
                <c:pt idx="504">
                  <c:v>5.039999999999937</c:v>
                </c:pt>
                <c:pt idx="505">
                  <c:v>5.0499999999999368</c:v>
                </c:pt>
                <c:pt idx="506">
                  <c:v>5.0599999999999365</c:v>
                </c:pt>
                <c:pt idx="507">
                  <c:v>5.0699999999999363</c:v>
                </c:pt>
                <c:pt idx="508">
                  <c:v>5.0799999999999361</c:v>
                </c:pt>
                <c:pt idx="509">
                  <c:v>5.0899999999999359</c:v>
                </c:pt>
                <c:pt idx="510">
                  <c:v>5.0999999999999357</c:v>
                </c:pt>
                <c:pt idx="511">
                  <c:v>5.1099999999999355</c:v>
                </c:pt>
                <c:pt idx="512">
                  <c:v>5.1199999999999353</c:v>
                </c:pt>
                <c:pt idx="513">
                  <c:v>5.1299999999999351</c:v>
                </c:pt>
                <c:pt idx="514">
                  <c:v>5.1399999999999348</c:v>
                </c:pt>
                <c:pt idx="515">
                  <c:v>5.1499999999999346</c:v>
                </c:pt>
                <c:pt idx="516">
                  <c:v>5.1599999999999344</c:v>
                </c:pt>
                <c:pt idx="517">
                  <c:v>5.1699999999999342</c:v>
                </c:pt>
                <c:pt idx="518">
                  <c:v>5.179999999999934</c:v>
                </c:pt>
                <c:pt idx="519">
                  <c:v>5.1899999999999338</c:v>
                </c:pt>
                <c:pt idx="520">
                  <c:v>5.1999999999999336</c:v>
                </c:pt>
                <c:pt idx="521">
                  <c:v>5.2099999999999334</c:v>
                </c:pt>
                <c:pt idx="522">
                  <c:v>5.2199999999999331</c:v>
                </c:pt>
                <c:pt idx="523">
                  <c:v>5.2299999999999329</c:v>
                </c:pt>
                <c:pt idx="524">
                  <c:v>5.2399999999999327</c:v>
                </c:pt>
                <c:pt idx="525">
                  <c:v>5.2499999999999325</c:v>
                </c:pt>
                <c:pt idx="526">
                  <c:v>5.2599999999999323</c:v>
                </c:pt>
                <c:pt idx="527">
                  <c:v>5.2699999999999321</c:v>
                </c:pt>
                <c:pt idx="528">
                  <c:v>5.2799999999999319</c:v>
                </c:pt>
                <c:pt idx="529">
                  <c:v>5.2899999999999316</c:v>
                </c:pt>
                <c:pt idx="530">
                  <c:v>5.2999999999999314</c:v>
                </c:pt>
                <c:pt idx="531">
                  <c:v>5.3099999999999312</c:v>
                </c:pt>
                <c:pt idx="532">
                  <c:v>5.319999999999931</c:v>
                </c:pt>
                <c:pt idx="533">
                  <c:v>5.3299999999999308</c:v>
                </c:pt>
                <c:pt idx="534">
                  <c:v>5.3399999999999306</c:v>
                </c:pt>
                <c:pt idx="535">
                  <c:v>5.3499999999999304</c:v>
                </c:pt>
                <c:pt idx="536">
                  <c:v>5.3599999999999302</c:v>
                </c:pt>
                <c:pt idx="537">
                  <c:v>5.3699999999999299</c:v>
                </c:pt>
                <c:pt idx="538">
                  <c:v>5.3799999999999297</c:v>
                </c:pt>
                <c:pt idx="539">
                  <c:v>5.3899999999999295</c:v>
                </c:pt>
                <c:pt idx="540">
                  <c:v>5.3999999999999293</c:v>
                </c:pt>
                <c:pt idx="541">
                  <c:v>5.4099999999999291</c:v>
                </c:pt>
                <c:pt idx="542">
                  <c:v>5.4199999999999289</c:v>
                </c:pt>
                <c:pt idx="543">
                  <c:v>5.4299999999999287</c:v>
                </c:pt>
                <c:pt idx="544">
                  <c:v>5.4399999999999284</c:v>
                </c:pt>
                <c:pt idx="545">
                  <c:v>5.4499999999999282</c:v>
                </c:pt>
                <c:pt idx="546">
                  <c:v>5.459999999999928</c:v>
                </c:pt>
                <c:pt idx="547">
                  <c:v>5.4699999999999278</c:v>
                </c:pt>
                <c:pt idx="548">
                  <c:v>5.4799999999999276</c:v>
                </c:pt>
                <c:pt idx="549">
                  <c:v>5.4899999999999274</c:v>
                </c:pt>
                <c:pt idx="550">
                  <c:v>5.4999999999999272</c:v>
                </c:pt>
                <c:pt idx="551">
                  <c:v>5.509999999999927</c:v>
                </c:pt>
                <c:pt idx="552">
                  <c:v>5.5199999999999267</c:v>
                </c:pt>
                <c:pt idx="553">
                  <c:v>5.5299999999999265</c:v>
                </c:pt>
                <c:pt idx="554">
                  <c:v>5.5399999999999263</c:v>
                </c:pt>
                <c:pt idx="555">
                  <c:v>5.5499999999999261</c:v>
                </c:pt>
                <c:pt idx="556">
                  <c:v>5.5599999999999259</c:v>
                </c:pt>
                <c:pt idx="557">
                  <c:v>5.5699999999999257</c:v>
                </c:pt>
                <c:pt idx="558">
                  <c:v>5.5799999999999255</c:v>
                </c:pt>
                <c:pt idx="559">
                  <c:v>5.5899999999999253</c:v>
                </c:pt>
                <c:pt idx="560">
                  <c:v>5.599999999999925</c:v>
                </c:pt>
                <c:pt idx="561">
                  <c:v>5.6099999999999248</c:v>
                </c:pt>
                <c:pt idx="562">
                  <c:v>5.6199999999999246</c:v>
                </c:pt>
                <c:pt idx="563">
                  <c:v>5.6299999999999244</c:v>
                </c:pt>
                <c:pt idx="564">
                  <c:v>5.6399999999999242</c:v>
                </c:pt>
                <c:pt idx="565">
                  <c:v>5.649999999999924</c:v>
                </c:pt>
                <c:pt idx="566">
                  <c:v>5.6599999999999238</c:v>
                </c:pt>
                <c:pt idx="567">
                  <c:v>5.6699999999999235</c:v>
                </c:pt>
                <c:pt idx="568">
                  <c:v>5.6799999999999233</c:v>
                </c:pt>
                <c:pt idx="569">
                  <c:v>5.6899999999999231</c:v>
                </c:pt>
                <c:pt idx="570">
                  <c:v>5.6999999999999229</c:v>
                </c:pt>
                <c:pt idx="571">
                  <c:v>5.7099999999999227</c:v>
                </c:pt>
                <c:pt idx="572">
                  <c:v>5.7199999999999225</c:v>
                </c:pt>
                <c:pt idx="573">
                  <c:v>5.7299999999999223</c:v>
                </c:pt>
                <c:pt idx="574">
                  <c:v>5.7399999999999221</c:v>
                </c:pt>
                <c:pt idx="575">
                  <c:v>5.7499999999999218</c:v>
                </c:pt>
                <c:pt idx="576">
                  <c:v>5.7599999999999216</c:v>
                </c:pt>
                <c:pt idx="577">
                  <c:v>5.7699999999999214</c:v>
                </c:pt>
                <c:pt idx="578">
                  <c:v>5.7799999999999212</c:v>
                </c:pt>
                <c:pt idx="579">
                  <c:v>5.789999999999921</c:v>
                </c:pt>
                <c:pt idx="580">
                  <c:v>5.7999999999999208</c:v>
                </c:pt>
                <c:pt idx="581">
                  <c:v>5.8099999999999206</c:v>
                </c:pt>
                <c:pt idx="582">
                  <c:v>5.8199999999999203</c:v>
                </c:pt>
                <c:pt idx="583">
                  <c:v>5.8299999999999201</c:v>
                </c:pt>
                <c:pt idx="584">
                  <c:v>5.8399999999999199</c:v>
                </c:pt>
                <c:pt idx="585">
                  <c:v>5.8499999999999197</c:v>
                </c:pt>
                <c:pt idx="586">
                  <c:v>5.8599999999999195</c:v>
                </c:pt>
                <c:pt idx="587">
                  <c:v>5.8699999999999193</c:v>
                </c:pt>
                <c:pt idx="588">
                  <c:v>5.8799999999999191</c:v>
                </c:pt>
                <c:pt idx="589">
                  <c:v>5.8899999999999189</c:v>
                </c:pt>
                <c:pt idx="590">
                  <c:v>5.8999999999999186</c:v>
                </c:pt>
                <c:pt idx="591">
                  <c:v>5.9099999999999184</c:v>
                </c:pt>
                <c:pt idx="592">
                  <c:v>5.9199999999999182</c:v>
                </c:pt>
                <c:pt idx="593">
                  <c:v>5.929999999999918</c:v>
                </c:pt>
                <c:pt idx="594">
                  <c:v>5.9399999999999178</c:v>
                </c:pt>
                <c:pt idx="595">
                  <c:v>5.9499999999999176</c:v>
                </c:pt>
                <c:pt idx="596">
                  <c:v>5.9599999999999174</c:v>
                </c:pt>
                <c:pt idx="597">
                  <c:v>5.9699999999999172</c:v>
                </c:pt>
                <c:pt idx="598">
                  <c:v>5.9799999999999169</c:v>
                </c:pt>
                <c:pt idx="599">
                  <c:v>5.9899999999999167</c:v>
                </c:pt>
                <c:pt idx="600">
                  <c:v>5.9999999999999165</c:v>
                </c:pt>
                <c:pt idx="601">
                  <c:v>6.0099999999999163</c:v>
                </c:pt>
                <c:pt idx="602">
                  <c:v>6.0199999999999161</c:v>
                </c:pt>
                <c:pt idx="603">
                  <c:v>6.0299999999999159</c:v>
                </c:pt>
                <c:pt idx="604">
                  <c:v>6.0399999999999157</c:v>
                </c:pt>
                <c:pt idx="605">
                  <c:v>6.0499999999999154</c:v>
                </c:pt>
                <c:pt idx="606">
                  <c:v>6.0599999999999152</c:v>
                </c:pt>
                <c:pt idx="607">
                  <c:v>6.069999999999915</c:v>
                </c:pt>
                <c:pt idx="608">
                  <c:v>6.0799999999999148</c:v>
                </c:pt>
                <c:pt idx="609">
                  <c:v>6.0899999999999146</c:v>
                </c:pt>
                <c:pt idx="610">
                  <c:v>6.0999999999999144</c:v>
                </c:pt>
                <c:pt idx="611">
                  <c:v>6.1099999999999142</c:v>
                </c:pt>
                <c:pt idx="612">
                  <c:v>6.119999999999914</c:v>
                </c:pt>
                <c:pt idx="613">
                  <c:v>6.1299999999999137</c:v>
                </c:pt>
                <c:pt idx="614">
                  <c:v>6.1399999999999135</c:v>
                </c:pt>
                <c:pt idx="615">
                  <c:v>6.1499999999999133</c:v>
                </c:pt>
                <c:pt idx="616">
                  <c:v>6.1599999999999131</c:v>
                </c:pt>
                <c:pt idx="617">
                  <c:v>6.1699999999999129</c:v>
                </c:pt>
                <c:pt idx="618">
                  <c:v>6.1799999999999127</c:v>
                </c:pt>
                <c:pt idx="619">
                  <c:v>6.1899999999999125</c:v>
                </c:pt>
                <c:pt idx="620">
                  <c:v>6.1999999999999122</c:v>
                </c:pt>
                <c:pt idx="621">
                  <c:v>6.209999999999912</c:v>
                </c:pt>
                <c:pt idx="622">
                  <c:v>6.2199999999999118</c:v>
                </c:pt>
                <c:pt idx="623">
                  <c:v>6.2299999999999116</c:v>
                </c:pt>
                <c:pt idx="624">
                  <c:v>6.2399999999999114</c:v>
                </c:pt>
                <c:pt idx="625">
                  <c:v>6.2499999999999112</c:v>
                </c:pt>
                <c:pt idx="626">
                  <c:v>6.259999999999911</c:v>
                </c:pt>
                <c:pt idx="627">
                  <c:v>6.2699999999999108</c:v>
                </c:pt>
                <c:pt idx="628">
                  <c:v>6.2799999999999105</c:v>
                </c:pt>
                <c:pt idx="629">
                  <c:v>6.2899999999999103</c:v>
                </c:pt>
                <c:pt idx="630">
                  <c:v>6.2999999999999101</c:v>
                </c:pt>
                <c:pt idx="631">
                  <c:v>6.3099999999999099</c:v>
                </c:pt>
                <c:pt idx="632">
                  <c:v>6.3199999999999097</c:v>
                </c:pt>
                <c:pt idx="633">
                  <c:v>6.3299999999999095</c:v>
                </c:pt>
                <c:pt idx="634">
                  <c:v>6.3399999999999093</c:v>
                </c:pt>
                <c:pt idx="635">
                  <c:v>6.3499999999999091</c:v>
                </c:pt>
                <c:pt idx="636">
                  <c:v>6.3599999999999088</c:v>
                </c:pt>
                <c:pt idx="637">
                  <c:v>6.3699999999999086</c:v>
                </c:pt>
                <c:pt idx="638">
                  <c:v>6.3799999999999084</c:v>
                </c:pt>
                <c:pt idx="639">
                  <c:v>6.3899999999999082</c:v>
                </c:pt>
                <c:pt idx="640">
                  <c:v>6.399999999999908</c:v>
                </c:pt>
                <c:pt idx="641">
                  <c:v>6.4099999999999078</c:v>
                </c:pt>
                <c:pt idx="642">
                  <c:v>6.4199999999999076</c:v>
                </c:pt>
                <c:pt idx="643">
                  <c:v>6.4299999999999073</c:v>
                </c:pt>
                <c:pt idx="644">
                  <c:v>6.4399999999999071</c:v>
                </c:pt>
                <c:pt idx="645">
                  <c:v>6.4499999999999069</c:v>
                </c:pt>
                <c:pt idx="646">
                  <c:v>6.4599999999999067</c:v>
                </c:pt>
                <c:pt idx="647">
                  <c:v>6.4699999999999065</c:v>
                </c:pt>
                <c:pt idx="648">
                  <c:v>6.4799999999999063</c:v>
                </c:pt>
                <c:pt idx="649">
                  <c:v>6.4899999999999061</c:v>
                </c:pt>
                <c:pt idx="650">
                  <c:v>6.4999999999999059</c:v>
                </c:pt>
                <c:pt idx="651">
                  <c:v>6.5099999999999056</c:v>
                </c:pt>
                <c:pt idx="652">
                  <c:v>6.5199999999999054</c:v>
                </c:pt>
                <c:pt idx="653">
                  <c:v>6.5299999999999052</c:v>
                </c:pt>
                <c:pt idx="654">
                  <c:v>6.539999999999905</c:v>
                </c:pt>
                <c:pt idx="655">
                  <c:v>6.5499999999999048</c:v>
                </c:pt>
                <c:pt idx="656">
                  <c:v>6.5599999999999046</c:v>
                </c:pt>
                <c:pt idx="657">
                  <c:v>6.5699999999999044</c:v>
                </c:pt>
                <c:pt idx="658">
                  <c:v>6.5799999999999041</c:v>
                </c:pt>
                <c:pt idx="659">
                  <c:v>6.5899999999999039</c:v>
                </c:pt>
                <c:pt idx="660">
                  <c:v>6.5999999999999037</c:v>
                </c:pt>
                <c:pt idx="661">
                  <c:v>6.6099999999999035</c:v>
                </c:pt>
                <c:pt idx="662">
                  <c:v>6.6199999999999033</c:v>
                </c:pt>
                <c:pt idx="663">
                  <c:v>6.6299999999999031</c:v>
                </c:pt>
                <c:pt idx="664">
                  <c:v>6.6399999999999029</c:v>
                </c:pt>
                <c:pt idx="665">
                  <c:v>6.6499999999999027</c:v>
                </c:pt>
                <c:pt idx="666">
                  <c:v>6.6599999999999024</c:v>
                </c:pt>
                <c:pt idx="667">
                  <c:v>6.6699999999999022</c:v>
                </c:pt>
                <c:pt idx="668">
                  <c:v>6.679999999999902</c:v>
                </c:pt>
                <c:pt idx="669">
                  <c:v>6.6899999999999018</c:v>
                </c:pt>
                <c:pt idx="670">
                  <c:v>6.6999999999999016</c:v>
                </c:pt>
                <c:pt idx="671">
                  <c:v>6.7099999999999014</c:v>
                </c:pt>
                <c:pt idx="672">
                  <c:v>6.7199999999999012</c:v>
                </c:pt>
                <c:pt idx="673">
                  <c:v>6.729999999999901</c:v>
                </c:pt>
                <c:pt idx="674">
                  <c:v>6.7399999999999007</c:v>
                </c:pt>
                <c:pt idx="675">
                  <c:v>6.7499999999999005</c:v>
                </c:pt>
                <c:pt idx="676">
                  <c:v>6.7599999999999003</c:v>
                </c:pt>
                <c:pt idx="677">
                  <c:v>6.7699999999999001</c:v>
                </c:pt>
                <c:pt idx="678">
                  <c:v>6.7799999999998999</c:v>
                </c:pt>
                <c:pt idx="679">
                  <c:v>6.7899999999998997</c:v>
                </c:pt>
                <c:pt idx="680">
                  <c:v>6.7999999999998995</c:v>
                </c:pt>
                <c:pt idx="681">
                  <c:v>6.8099999999998992</c:v>
                </c:pt>
                <c:pt idx="682">
                  <c:v>6.819999999999899</c:v>
                </c:pt>
                <c:pt idx="683">
                  <c:v>6.8299999999998988</c:v>
                </c:pt>
                <c:pt idx="684">
                  <c:v>6.8399999999998986</c:v>
                </c:pt>
                <c:pt idx="685">
                  <c:v>6.8499999999998984</c:v>
                </c:pt>
                <c:pt idx="686">
                  <c:v>6.8599999999998982</c:v>
                </c:pt>
                <c:pt idx="687">
                  <c:v>6.869999999999898</c:v>
                </c:pt>
                <c:pt idx="688">
                  <c:v>6.8799999999998978</c:v>
                </c:pt>
                <c:pt idx="689">
                  <c:v>6.8899999999998975</c:v>
                </c:pt>
                <c:pt idx="690">
                  <c:v>6.8999999999998973</c:v>
                </c:pt>
                <c:pt idx="691">
                  <c:v>6.9099999999998971</c:v>
                </c:pt>
                <c:pt idx="692">
                  <c:v>6.9199999999998969</c:v>
                </c:pt>
                <c:pt idx="693">
                  <c:v>6.9299999999998967</c:v>
                </c:pt>
                <c:pt idx="694">
                  <c:v>6.9399999999998965</c:v>
                </c:pt>
                <c:pt idx="695">
                  <c:v>6.9499999999998963</c:v>
                </c:pt>
                <c:pt idx="696">
                  <c:v>6.959999999999896</c:v>
                </c:pt>
                <c:pt idx="697">
                  <c:v>6.9699999999998958</c:v>
                </c:pt>
                <c:pt idx="698">
                  <c:v>6.9799999999998956</c:v>
                </c:pt>
                <c:pt idx="699">
                  <c:v>6.9899999999998954</c:v>
                </c:pt>
                <c:pt idx="700">
                  <c:v>6.9999999999998952</c:v>
                </c:pt>
                <c:pt idx="701">
                  <c:v>7.009999999999895</c:v>
                </c:pt>
                <c:pt idx="702">
                  <c:v>7.0199999999998948</c:v>
                </c:pt>
                <c:pt idx="703">
                  <c:v>7.0299999999998946</c:v>
                </c:pt>
                <c:pt idx="704">
                  <c:v>7.0399999999998943</c:v>
                </c:pt>
                <c:pt idx="705">
                  <c:v>7.0499999999998941</c:v>
                </c:pt>
                <c:pt idx="706">
                  <c:v>7.0599999999998939</c:v>
                </c:pt>
                <c:pt idx="707">
                  <c:v>7.0699999999998937</c:v>
                </c:pt>
                <c:pt idx="708">
                  <c:v>7.0799999999998935</c:v>
                </c:pt>
                <c:pt idx="709">
                  <c:v>7.0899999999998933</c:v>
                </c:pt>
                <c:pt idx="710">
                  <c:v>7.0999999999998931</c:v>
                </c:pt>
                <c:pt idx="711">
                  <c:v>7.1099999999998929</c:v>
                </c:pt>
                <c:pt idx="712">
                  <c:v>7.1199999999998926</c:v>
                </c:pt>
                <c:pt idx="713">
                  <c:v>7.1299999999998924</c:v>
                </c:pt>
                <c:pt idx="714">
                  <c:v>7.1399999999998922</c:v>
                </c:pt>
                <c:pt idx="715">
                  <c:v>7.149999999999892</c:v>
                </c:pt>
                <c:pt idx="716">
                  <c:v>7.1599999999998918</c:v>
                </c:pt>
                <c:pt idx="717">
                  <c:v>7.1699999999998916</c:v>
                </c:pt>
                <c:pt idx="718">
                  <c:v>7.1799999999998914</c:v>
                </c:pt>
                <c:pt idx="719">
                  <c:v>7.1899999999998911</c:v>
                </c:pt>
                <c:pt idx="720">
                  <c:v>7.1999999999998909</c:v>
                </c:pt>
                <c:pt idx="721">
                  <c:v>7.2099999999998907</c:v>
                </c:pt>
                <c:pt idx="722">
                  <c:v>7.2199999999998905</c:v>
                </c:pt>
                <c:pt idx="723">
                  <c:v>7.2299999999998903</c:v>
                </c:pt>
                <c:pt idx="724">
                  <c:v>7.2399999999998901</c:v>
                </c:pt>
                <c:pt idx="725">
                  <c:v>7.2499999999998899</c:v>
                </c:pt>
                <c:pt idx="726">
                  <c:v>7.2599999999998897</c:v>
                </c:pt>
                <c:pt idx="727">
                  <c:v>7.2699999999998894</c:v>
                </c:pt>
                <c:pt idx="728">
                  <c:v>7.2799999999998892</c:v>
                </c:pt>
                <c:pt idx="729">
                  <c:v>7.289999999999889</c:v>
                </c:pt>
                <c:pt idx="730">
                  <c:v>7.2999999999998888</c:v>
                </c:pt>
                <c:pt idx="731">
                  <c:v>7.3099999999998886</c:v>
                </c:pt>
                <c:pt idx="732">
                  <c:v>7.3199999999998884</c:v>
                </c:pt>
                <c:pt idx="733">
                  <c:v>7.3299999999998882</c:v>
                </c:pt>
                <c:pt idx="734">
                  <c:v>7.3399999999998879</c:v>
                </c:pt>
                <c:pt idx="735">
                  <c:v>7.3499999999998877</c:v>
                </c:pt>
                <c:pt idx="736">
                  <c:v>7.3599999999998875</c:v>
                </c:pt>
                <c:pt idx="737">
                  <c:v>7.3699999999998873</c:v>
                </c:pt>
                <c:pt idx="738">
                  <c:v>7.3799999999998871</c:v>
                </c:pt>
                <c:pt idx="739">
                  <c:v>7.3899999999998869</c:v>
                </c:pt>
                <c:pt idx="740">
                  <c:v>7.3999999999998867</c:v>
                </c:pt>
                <c:pt idx="741">
                  <c:v>7.4099999999998865</c:v>
                </c:pt>
                <c:pt idx="742">
                  <c:v>7.4199999999998862</c:v>
                </c:pt>
                <c:pt idx="743">
                  <c:v>7.429999999999886</c:v>
                </c:pt>
                <c:pt idx="744">
                  <c:v>7.4399999999998858</c:v>
                </c:pt>
                <c:pt idx="745">
                  <c:v>7.4499999999998856</c:v>
                </c:pt>
                <c:pt idx="746">
                  <c:v>7.4599999999998854</c:v>
                </c:pt>
                <c:pt idx="747">
                  <c:v>7.4699999999998852</c:v>
                </c:pt>
                <c:pt idx="748">
                  <c:v>7.479999999999885</c:v>
                </c:pt>
                <c:pt idx="749">
                  <c:v>7.4899999999998847</c:v>
                </c:pt>
                <c:pt idx="750">
                  <c:v>7.4999999999998845</c:v>
                </c:pt>
                <c:pt idx="751">
                  <c:v>7.5099999999998843</c:v>
                </c:pt>
                <c:pt idx="752">
                  <c:v>7.5199999999998841</c:v>
                </c:pt>
                <c:pt idx="753">
                  <c:v>7.5299999999998839</c:v>
                </c:pt>
                <c:pt idx="754">
                  <c:v>7.5399999999998837</c:v>
                </c:pt>
                <c:pt idx="755">
                  <c:v>7.5499999999998835</c:v>
                </c:pt>
                <c:pt idx="756">
                  <c:v>7.5599999999998833</c:v>
                </c:pt>
                <c:pt idx="757">
                  <c:v>7.569999999999883</c:v>
                </c:pt>
                <c:pt idx="758">
                  <c:v>7.5799999999998828</c:v>
                </c:pt>
                <c:pt idx="759">
                  <c:v>7.5899999999998826</c:v>
                </c:pt>
                <c:pt idx="760">
                  <c:v>7.5999999999998824</c:v>
                </c:pt>
                <c:pt idx="761">
                  <c:v>7.6099999999998822</c:v>
                </c:pt>
                <c:pt idx="762">
                  <c:v>7.619999999999882</c:v>
                </c:pt>
                <c:pt idx="763">
                  <c:v>7.6299999999998818</c:v>
                </c:pt>
                <c:pt idx="764">
                  <c:v>7.6399999999998816</c:v>
                </c:pt>
                <c:pt idx="765">
                  <c:v>7.6499999999998813</c:v>
                </c:pt>
                <c:pt idx="766">
                  <c:v>7.6599999999998811</c:v>
                </c:pt>
                <c:pt idx="767">
                  <c:v>7.6699999999998809</c:v>
                </c:pt>
                <c:pt idx="768">
                  <c:v>7.6799999999998807</c:v>
                </c:pt>
                <c:pt idx="769">
                  <c:v>7.6899999999998805</c:v>
                </c:pt>
                <c:pt idx="770">
                  <c:v>7.6999999999998803</c:v>
                </c:pt>
                <c:pt idx="771">
                  <c:v>7.7099999999998801</c:v>
                </c:pt>
                <c:pt idx="772">
                  <c:v>7.7199999999998798</c:v>
                </c:pt>
                <c:pt idx="773">
                  <c:v>7.7299999999998796</c:v>
                </c:pt>
                <c:pt idx="774">
                  <c:v>7.7399999999998794</c:v>
                </c:pt>
                <c:pt idx="775">
                  <c:v>7.7499999999998792</c:v>
                </c:pt>
                <c:pt idx="776">
                  <c:v>7.759999999999879</c:v>
                </c:pt>
                <c:pt idx="777">
                  <c:v>7.7699999999998788</c:v>
                </c:pt>
                <c:pt idx="778">
                  <c:v>7.7799999999998786</c:v>
                </c:pt>
                <c:pt idx="779">
                  <c:v>7.7899999999998784</c:v>
                </c:pt>
                <c:pt idx="780">
                  <c:v>7.7999999999998781</c:v>
                </c:pt>
                <c:pt idx="781">
                  <c:v>7.8099999999998779</c:v>
                </c:pt>
                <c:pt idx="782">
                  <c:v>7.8199999999998777</c:v>
                </c:pt>
                <c:pt idx="783">
                  <c:v>7.8299999999998775</c:v>
                </c:pt>
                <c:pt idx="784">
                  <c:v>7.8399999999998773</c:v>
                </c:pt>
                <c:pt idx="785">
                  <c:v>7.8499999999998771</c:v>
                </c:pt>
                <c:pt idx="786">
                  <c:v>7.8599999999998769</c:v>
                </c:pt>
                <c:pt idx="787">
                  <c:v>7.8699999999998766</c:v>
                </c:pt>
                <c:pt idx="788">
                  <c:v>7.8799999999998764</c:v>
                </c:pt>
                <c:pt idx="789">
                  <c:v>7.8899999999998762</c:v>
                </c:pt>
                <c:pt idx="790">
                  <c:v>7.899999999999876</c:v>
                </c:pt>
                <c:pt idx="791">
                  <c:v>7.9099999999998758</c:v>
                </c:pt>
                <c:pt idx="792">
                  <c:v>7.9199999999998756</c:v>
                </c:pt>
                <c:pt idx="793">
                  <c:v>7.9299999999998754</c:v>
                </c:pt>
                <c:pt idx="794">
                  <c:v>7.9399999999998752</c:v>
                </c:pt>
                <c:pt idx="795">
                  <c:v>7.9499999999998749</c:v>
                </c:pt>
                <c:pt idx="796">
                  <c:v>7.9599999999998747</c:v>
                </c:pt>
                <c:pt idx="797">
                  <c:v>7.9699999999998745</c:v>
                </c:pt>
                <c:pt idx="798">
                  <c:v>7.9799999999998743</c:v>
                </c:pt>
                <c:pt idx="799">
                  <c:v>7.9899999999998741</c:v>
                </c:pt>
                <c:pt idx="800">
                  <c:v>7.9999999999998739</c:v>
                </c:pt>
                <c:pt idx="801">
                  <c:v>8.0999999999998735</c:v>
                </c:pt>
                <c:pt idx="802">
                  <c:v>8.1999999999998732</c:v>
                </c:pt>
                <c:pt idx="803">
                  <c:v>8.2999999999998728</c:v>
                </c:pt>
                <c:pt idx="804">
                  <c:v>8.3999999999998725</c:v>
                </c:pt>
                <c:pt idx="805">
                  <c:v>8.4999999999998721</c:v>
                </c:pt>
                <c:pt idx="806">
                  <c:v>8.5999999999998717</c:v>
                </c:pt>
                <c:pt idx="807">
                  <c:v>8.6999999999998714</c:v>
                </c:pt>
                <c:pt idx="808">
                  <c:v>8.799999999999871</c:v>
                </c:pt>
                <c:pt idx="809">
                  <c:v>8.8999999999998707</c:v>
                </c:pt>
                <c:pt idx="810">
                  <c:v>8.9999999999998703</c:v>
                </c:pt>
                <c:pt idx="811">
                  <c:v>9.09999999999987</c:v>
                </c:pt>
                <c:pt idx="812">
                  <c:v>9.1999999999998696</c:v>
                </c:pt>
                <c:pt idx="813">
                  <c:v>9.2999999999998693</c:v>
                </c:pt>
                <c:pt idx="814">
                  <c:v>9.3999999999998689</c:v>
                </c:pt>
                <c:pt idx="815">
                  <c:v>9.4999999999998685</c:v>
                </c:pt>
                <c:pt idx="816">
                  <c:v>9.5999999999998682</c:v>
                </c:pt>
                <c:pt idx="817">
                  <c:v>9.6999999999998678</c:v>
                </c:pt>
                <c:pt idx="818">
                  <c:v>9.7999999999998675</c:v>
                </c:pt>
                <c:pt idx="819">
                  <c:v>9.8999999999998671</c:v>
                </c:pt>
                <c:pt idx="820">
                  <c:v>9.9999999999998668</c:v>
                </c:pt>
                <c:pt idx="821">
                  <c:v>10.099999999999866</c:v>
                </c:pt>
                <c:pt idx="822">
                  <c:v>10.199999999999866</c:v>
                </c:pt>
                <c:pt idx="823">
                  <c:v>10.299999999999866</c:v>
                </c:pt>
                <c:pt idx="824">
                  <c:v>10.399999999999865</c:v>
                </c:pt>
                <c:pt idx="825">
                  <c:v>10.499999999999865</c:v>
                </c:pt>
                <c:pt idx="826">
                  <c:v>10.599999999999865</c:v>
                </c:pt>
                <c:pt idx="827">
                  <c:v>10.699999999999864</c:v>
                </c:pt>
                <c:pt idx="828">
                  <c:v>10.799999999999864</c:v>
                </c:pt>
                <c:pt idx="829">
                  <c:v>10.899999999999864</c:v>
                </c:pt>
                <c:pt idx="830">
                  <c:v>10.999999999999863</c:v>
                </c:pt>
                <c:pt idx="831">
                  <c:v>11.099999999999863</c:v>
                </c:pt>
                <c:pt idx="832">
                  <c:v>11.199999999999863</c:v>
                </c:pt>
                <c:pt idx="833">
                  <c:v>11.299999999999862</c:v>
                </c:pt>
                <c:pt idx="834">
                  <c:v>11.399999999999862</c:v>
                </c:pt>
                <c:pt idx="835">
                  <c:v>11.499999999999861</c:v>
                </c:pt>
                <c:pt idx="836">
                  <c:v>11.599999999999861</c:v>
                </c:pt>
                <c:pt idx="837">
                  <c:v>11.699999999999861</c:v>
                </c:pt>
                <c:pt idx="838">
                  <c:v>11.79999999999986</c:v>
                </c:pt>
                <c:pt idx="839">
                  <c:v>11.89999999999986</c:v>
                </c:pt>
                <c:pt idx="840">
                  <c:v>11.99999999999986</c:v>
                </c:pt>
                <c:pt idx="841">
                  <c:v>12.099999999999859</c:v>
                </c:pt>
                <c:pt idx="842">
                  <c:v>12.199999999999859</c:v>
                </c:pt>
                <c:pt idx="843">
                  <c:v>12.299999999999859</c:v>
                </c:pt>
                <c:pt idx="844">
                  <c:v>12.399999999999858</c:v>
                </c:pt>
                <c:pt idx="845">
                  <c:v>12.499999999999858</c:v>
                </c:pt>
                <c:pt idx="846">
                  <c:v>12.599999999999858</c:v>
                </c:pt>
                <c:pt idx="847">
                  <c:v>12.699999999999857</c:v>
                </c:pt>
                <c:pt idx="848">
                  <c:v>12.799999999999857</c:v>
                </c:pt>
                <c:pt idx="849">
                  <c:v>12.899999999999856</c:v>
                </c:pt>
                <c:pt idx="850">
                  <c:v>12.999999999999856</c:v>
                </c:pt>
                <c:pt idx="851">
                  <c:v>13.099999999999856</c:v>
                </c:pt>
                <c:pt idx="852">
                  <c:v>13.199999999999855</c:v>
                </c:pt>
                <c:pt idx="853">
                  <c:v>13.299999999999855</c:v>
                </c:pt>
                <c:pt idx="854">
                  <c:v>13.399999999999855</c:v>
                </c:pt>
                <c:pt idx="855">
                  <c:v>13.499999999999854</c:v>
                </c:pt>
                <c:pt idx="856">
                  <c:v>13.599999999999854</c:v>
                </c:pt>
                <c:pt idx="857">
                  <c:v>13.699999999999854</c:v>
                </c:pt>
                <c:pt idx="858">
                  <c:v>13.799999999999853</c:v>
                </c:pt>
                <c:pt idx="859">
                  <c:v>13.899999999999853</c:v>
                </c:pt>
                <c:pt idx="860">
                  <c:v>13.999999999999853</c:v>
                </c:pt>
                <c:pt idx="861">
                  <c:v>14.099999999999852</c:v>
                </c:pt>
                <c:pt idx="862">
                  <c:v>14.199999999999852</c:v>
                </c:pt>
                <c:pt idx="863">
                  <c:v>14.299999999999851</c:v>
                </c:pt>
                <c:pt idx="864">
                  <c:v>14.399999999999851</c:v>
                </c:pt>
                <c:pt idx="865">
                  <c:v>14.499999999999851</c:v>
                </c:pt>
                <c:pt idx="866">
                  <c:v>14.59999999999985</c:v>
                </c:pt>
                <c:pt idx="867">
                  <c:v>14.69999999999985</c:v>
                </c:pt>
                <c:pt idx="868">
                  <c:v>14.79999999999985</c:v>
                </c:pt>
                <c:pt idx="869">
                  <c:v>14.899999999999849</c:v>
                </c:pt>
                <c:pt idx="870">
                  <c:v>14.999999999999849</c:v>
                </c:pt>
                <c:pt idx="871">
                  <c:v>15.099999999999849</c:v>
                </c:pt>
                <c:pt idx="872">
                  <c:v>15.199999999999848</c:v>
                </c:pt>
                <c:pt idx="873">
                  <c:v>15.299999999999848</c:v>
                </c:pt>
                <c:pt idx="874">
                  <c:v>15.399999999999848</c:v>
                </c:pt>
                <c:pt idx="875">
                  <c:v>15.499999999999847</c:v>
                </c:pt>
                <c:pt idx="876">
                  <c:v>15.599999999999847</c:v>
                </c:pt>
                <c:pt idx="877">
                  <c:v>15.699999999999847</c:v>
                </c:pt>
                <c:pt idx="878">
                  <c:v>15.799999999999846</c:v>
                </c:pt>
                <c:pt idx="879">
                  <c:v>15.899999999999846</c:v>
                </c:pt>
                <c:pt idx="880">
                  <c:v>15.999999999999845</c:v>
                </c:pt>
                <c:pt idx="881">
                  <c:v>16.099999999999845</c:v>
                </c:pt>
                <c:pt idx="882">
                  <c:v>16.199999999999847</c:v>
                </c:pt>
                <c:pt idx="883">
                  <c:v>16.299999999999848</c:v>
                </c:pt>
                <c:pt idx="884">
                  <c:v>16.399999999999849</c:v>
                </c:pt>
                <c:pt idx="885">
                  <c:v>16.499999999999851</c:v>
                </c:pt>
                <c:pt idx="886">
                  <c:v>16.599999999999852</c:v>
                </c:pt>
                <c:pt idx="887">
                  <c:v>16.699999999999854</c:v>
                </c:pt>
                <c:pt idx="888">
                  <c:v>16.799999999999855</c:v>
                </c:pt>
                <c:pt idx="889">
                  <c:v>16.899999999999856</c:v>
                </c:pt>
                <c:pt idx="890">
                  <c:v>16.999999999999858</c:v>
                </c:pt>
                <c:pt idx="891">
                  <c:v>17.099999999999859</c:v>
                </c:pt>
                <c:pt idx="892">
                  <c:v>17.199999999999861</c:v>
                </c:pt>
                <c:pt idx="893">
                  <c:v>17.299999999999862</c:v>
                </c:pt>
                <c:pt idx="894">
                  <c:v>17.399999999999864</c:v>
                </c:pt>
                <c:pt idx="895">
                  <c:v>17.499999999999865</c:v>
                </c:pt>
                <c:pt idx="896">
                  <c:v>17.599999999999866</c:v>
                </c:pt>
                <c:pt idx="897">
                  <c:v>17.699999999999868</c:v>
                </c:pt>
                <c:pt idx="898">
                  <c:v>17.799999999999869</c:v>
                </c:pt>
                <c:pt idx="899">
                  <c:v>17.899999999999871</c:v>
                </c:pt>
                <c:pt idx="900">
                  <c:v>17.999999999999872</c:v>
                </c:pt>
                <c:pt idx="901">
                  <c:v>18.099999999999874</c:v>
                </c:pt>
                <c:pt idx="902">
                  <c:v>18.199999999999875</c:v>
                </c:pt>
                <c:pt idx="903">
                  <c:v>18.299999999999876</c:v>
                </c:pt>
                <c:pt idx="904">
                  <c:v>18.399999999999878</c:v>
                </c:pt>
                <c:pt idx="905">
                  <c:v>18.499999999999879</c:v>
                </c:pt>
                <c:pt idx="906">
                  <c:v>18.599999999999881</c:v>
                </c:pt>
                <c:pt idx="907">
                  <c:v>18.699999999999882</c:v>
                </c:pt>
                <c:pt idx="908">
                  <c:v>18.799999999999883</c:v>
                </c:pt>
                <c:pt idx="909">
                  <c:v>18.899999999999885</c:v>
                </c:pt>
                <c:pt idx="910">
                  <c:v>18.999999999999886</c:v>
                </c:pt>
                <c:pt idx="911">
                  <c:v>19.099999999999888</c:v>
                </c:pt>
                <c:pt idx="912">
                  <c:v>19.199999999999889</c:v>
                </c:pt>
                <c:pt idx="913">
                  <c:v>19.299999999999891</c:v>
                </c:pt>
                <c:pt idx="914">
                  <c:v>19.399999999999892</c:v>
                </c:pt>
                <c:pt idx="915">
                  <c:v>19.499999999999893</c:v>
                </c:pt>
                <c:pt idx="916">
                  <c:v>19.599999999999895</c:v>
                </c:pt>
                <c:pt idx="917">
                  <c:v>19.699999999999896</c:v>
                </c:pt>
                <c:pt idx="918">
                  <c:v>19.799999999999898</c:v>
                </c:pt>
                <c:pt idx="919">
                  <c:v>19.899999999999899</c:v>
                </c:pt>
                <c:pt idx="920">
                  <c:v>19.999999999999901</c:v>
                </c:pt>
                <c:pt idx="921">
                  <c:v>20.099999999999902</c:v>
                </c:pt>
                <c:pt idx="922">
                  <c:v>20.199999999999903</c:v>
                </c:pt>
                <c:pt idx="923">
                  <c:v>20.299999999999905</c:v>
                </c:pt>
                <c:pt idx="924">
                  <c:v>20.399999999999906</c:v>
                </c:pt>
                <c:pt idx="925">
                  <c:v>20.499999999999908</c:v>
                </c:pt>
                <c:pt idx="926">
                  <c:v>20.599999999999909</c:v>
                </c:pt>
                <c:pt idx="927">
                  <c:v>20.69999999999991</c:v>
                </c:pt>
                <c:pt idx="928">
                  <c:v>20.799999999999912</c:v>
                </c:pt>
                <c:pt idx="929">
                  <c:v>20.899999999999913</c:v>
                </c:pt>
                <c:pt idx="930">
                  <c:v>20.999999999999915</c:v>
                </c:pt>
                <c:pt idx="931">
                  <c:v>21.099999999999916</c:v>
                </c:pt>
                <c:pt idx="932">
                  <c:v>21.199999999999918</c:v>
                </c:pt>
                <c:pt idx="933">
                  <c:v>21.299999999999919</c:v>
                </c:pt>
                <c:pt idx="934">
                  <c:v>21.39999999999992</c:v>
                </c:pt>
                <c:pt idx="935">
                  <c:v>21.499999999999922</c:v>
                </c:pt>
                <c:pt idx="936">
                  <c:v>21.599999999999923</c:v>
                </c:pt>
                <c:pt idx="937">
                  <c:v>21.699999999999925</c:v>
                </c:pt>
                <c:pt idx="938">
                  <c:v>21.799999999999926</c:v>
                </c:pt>
                <c:pt idx="939">
                  <c:v>21.899999999999928</c:v>
                </c:pt>
                <c:pt idx="940">
                  <c:v>21.999999999999929</c:v>
                </c:pt>
                <c:pt idx="941">
                  <c:v>22.09999999999993</c:v>
                </c:pt>
                <c:pt idx="942">
                  <c:v>22.199999999999932</c:v>
                </c:pt>
                <c:pt idx="943">
                  <c:v>22.299999999999933</c:v>
                </c:pt>
                <c:pt idx="944">
                  <c:v>22.399999999999935</c:v>
                </c:pt>
                <c:pt idx="945">
                  <c:v>22.499999999999936</c:v>
                </c:pt>
                <c:pt idx="946">
                  <c:v>22.599999999999937</c:v>
                </c:pt>
                <c:pt idx="947">
                  <c:v>22.699999999999939</c:v>
                </c:pt>
                <c:pt idx="948">
                  <c:v>22.79999999999994</c:v>
                </c:pt>
                <c:pt idx="949">
                  <c:v>22.899999999999942</c:v>
                </c:pt>
                <c:pt idx="950">
                  <c:v>22.999999999999943</c:v>
                </c:pt>
                <c:pt idx="951">
                  <c:v>23.099999999999945</c:v>
                </c:pt>
                <c:pt idx="952">
                  <c:v>23.199999999999946</c:v>
                </c:pt>
                <c:pt idx="953">
                  <c:v>23.299999999999947</c:v>
                </c:pt>
                <c:pt idx="954">
                  <c:v>23.399999999999949</c:v>
                </c:pt>
                <c:pt idx="955">
                  <c:v>23.49999999999995</c:v>
                </c:pt>
                <c:pt idx="956">
                  <c:v>23.599999999999952</c:v>
                </c:pt>
                <c:pt idx="957">
                  <c:v>23.699999999999953</c:v>
                </c:pt>
                <c:pt idx="958">
                  <c:v>23.799999999999955</c:v>
                </c:pt>
                <c:pt idx="959">
                  <c:v>23.899999999999956</c:v>
                </c:pt>
                <c:pt idx="960">
                  <c:v>23.999999999999957</c:v>
                </c:pt>
                <c:pt idx="961">
                  <c:v>24.099999999999959</c:v>
                </c:pt>
                <c:pt idx="962">
                  <c:v>24.19999999999996</c:v>
                </c:pt>
                <c:pt idx="963">
                  <c:v>24.299999999999962</c:v>
                </c:pt>
                <c:pt idx="964">
                  <c:v>24.399999999999963</c:v>
                </c:pt>
                <c:pt idx="965">
                  <c:v>24.499999999999964</c:v>
                </c:pt>
                <c:pt idx="966">
                  <c:v>24.599999999999966</c:v>
                </c:pt>
                <c:pt idx="967">
                  <c:v>24.699999999999967</c:v>
                </c:pt>
                <c:pt idx="968">
                  <c:v>24.799999999999969</c:v>
                </c:pt>
                <c:pt idx="969">
                  <c:v>24.89999999999997</c:v>
                </c:pt>
                <c:pt idx="970">
                  <c:v>24.999999999999972</c:v>
                </c:pt>
                <c:pt idx="971">
                  <c:v>25.099999999999973</c:v>
                </c:pt>
                <c:pt idx="972">
                  <c:v>25.199999999999974</c:v>
                </c:pt>
                <c:pt idx="973">
                  <c:v>25.299999999999976</c:v>
                </c:pt>
                <c:pt idx="974">
                  <c:v>25.399999999999977</c:v>
                </c:pt>
                <c:pt idx="975">
                  <c:v>25.499999999999979</c:v>
                </c:pt>
                <c:pt idx="976">
                  <c:v>25.59999999999998</c:v>
                </c:pt>
                <c:pt idx="977">
                  <c:v>25.699999999999982</c:v>
                </c:pt>
                <c:pt idx="978">
                  <c:v>25.799999999999983</c:v>
                </c:pt>
                <c:pt idx="979">
                  <c:v>25.899999999999984</c:v>
                </c:pt>
                <c:pt idx="980">
                  <c:v>25.999999999999986</c:v>
                </c:pt>
                <c:pt idx="981">
                  <c:v>26.099999999999987</c:v>
                </c:pt>
                <c:pt idx="982">
                  <c:v>26.199999999999989</c:v>
                </c:pt>
                <c:pt idx="983">
                  <c:v>26.29999999999999</c:v>
                </c:pt>
                <c:pt idx="984">
                  <c:v>26.399999999999991</c:v>
                </c:pt>
                <c:pt idx="985">
                  <c:v>26.499999999999993</c:v>
                </c:pt>
                <c:pt idx="986">
                  <c:v>26.599999999999994</c:v>
                </c:pt>
                <c:pt idx="987">
                  <c:v>26.699999999999996</c:v>
                </c:pt>
                <c:pt idx="988">
                  <c:v>26.799999999999997</c:v>
                </c:pt>
                <c:pt idx="989">
                  <c:v>26.9</c:v>
                </c:pt>
                <c:pt idx="990">
                  <c:v>27</c:v>
                </c:pt>
                <c:pt idx="991">
                  <c:v>27.1</c:v>
                </c:pt>
                <c:pt idx="992">
                  <c:v>27.200000000000003</c:v>
                </c:pt>
                <c:pt idx="993">
                  <c:v>27.300000000000004</c:v>
                </c:pt>
                <c:pt idx="994">
                  <c:v>27.400000000000006</c:v>
                </c:pt>
                <c:pt idx="995">
                  <c:v>27.500000000000007</c:v>
                </c:pt>
                <c:pt idx="996">
                  <c:v>27.600000000000009</c:v>
                </c:pt>
                <c:pt idx="997">
                  <c:v>27.70000000000001</c:v>
                </c:pt>
                <c:pt idx="998">
                  <c:v>27.800000000000011</c:v>
                </c:pt>
                <c:pt idx="999">
                  <c:v>27.900000000000013</c:v>
                </c:pt>
                <c:pt idx="1000">
                  <c:v>28.000000000000014</c:v>
                </c:pt>
              </c:numCache>
            </c:numRef>
          </c:xVal>
          <c:yVal>
            <c:numRef>
              <c:f>Calculs!$K$4:$K$1004</c:f>
              <c:numCache>
                <c:formatCode>0.00</c:formatCode>
                <c:ptCount val="1001"/>
                <c:pt idx="0">
                  <c:v>0</c:v>
                </c:pt>
                <c:pt idx="1">
                  <c:v>0</c:v>
                </c:pt>
                <c:pt idx="2">
                  <c:v>7.9451684956647185E-4</c:v>
                </c:pt>
                <c:pt idx="3">
                  <c:v>4.0133824470581598E-3</c:v>
                </c:pt>
                <c:pt idx="4">
                  <c:v>1.1327961967653344E-2</c:v>
                </c:pt>
                <c:pt idx="5">
                  <c:v>2.4089083462032902E-2</c:v>
                </c:pt>
                <c:pt idx="6">
                  <c:v>4.3004565630645086E-2</c:v>
                </c:pt>
                <c:pt idx="7">
                  <c:v>6.8460740099033593E-2</c:v>
                </c:pt>
                <c:pt idx="8">
                  <c:v>0.10084445018688518</c:v>
                </c:pt>
                <c:pt idx="9">
                  <c:v>0.14045535886060298</c:v>
                </c:pt>
                <c:pt idx="10">
                  <c:v>0.18741806897836427</c:v>
                </c:pt>
                <c:pt idx="11">
                  <c:v>0.24176957283113132</c:v>
                </c:pt>
                <c:pt idx="12">
                  <c:v>0.30354687767449073</c:v>
                </c:pt>
                <c:pt idx="13">
                  <c:v>0.37278700538881998</c:v>
                </c:pt>
                <c:pt idx="14">
                  <c:v>0.44952699213585651</c:v>
                </c:pt>
                <c:pt idx="15">
                  <c:v>0.53380388801166423</c:v>
                </c:pt>
                <c:pt idx="16">
                  <c:v>0.62565475669599302</c:v>
                </c:pt>
                <c:pt idx="17">
                  <c:v>0.7251166750980258</c:v>
                </c:pt>
                <c:pt idx="18">
                  <c:v>0.83222673299850991</c:v>
                </c:pt>
                <c:pt idx="19">
                  <c:v>0.94702203268826779</c:v>
                </c:pt>
                <c:pt idx="20">
                  <c:v>1.0695396886030837</c:v>
                </c:pt>
                <c:pt idx="21">
                  <c:v>1.1998106802378739</c:v>
                </c:pt>
                <c:pt idx="22">
                  <c:v>1.3378506172612357</c:v>
                </c:pt>
                <c:pt idx="23">
                  <c:v>1.4836658623525074</c:v>
                </c:pt>
                <c:pt idx="24">
                  <c:v>1.6372627419437364</c:v>
                </c:pt>
                <c:pt idx="25">
                  <c:v>1.7986475460636155</c:v>
                </c:pt>
                <c:pt idx="26">
                  <c:v>1.9678265281820149</c:v>
                </c:pt>
                <c:pt idx="27">
                  <c:v>2.1448059050551174</c:v>
                </c:pt>
                <c:pt idx="28">
                  <c:v>2.3295918565711653</c:v>
                </c:pt>
                <c:pt idx="29">
                  <c:v>2.5221905255968271</c:v>
                </c:pt>
                <c:pt idx="30">
                  <c:v>2.7226080178241938</c:v>
                </c:pt>
                <c:pt idx="31">
                  <c:v>2.9308504016184105</c:v>
                </c:pt>
                <c:pt idx="32">
                  <c:v>3.1469237078659544</c:v>
                </c:pt>
                <c:pt idx="33">
                  <c:v>3.3708339298235659</c:v>
                </c:pt>
                <c:pt idx="34">
                  <c:v>3.6025870229678421</c:v>
                </c:pt>
                <c:pt idx="35">
                  <c:v>3.8421889048454996</c:v>
                </c:pt>
                <c:pt idx="36">
                  <c:v>4.0896454549243169</c:v>
                </c:pt>
                <c:pt idx="37">
                  <c:v>4.3449296391696643</c:v>
                </c:pt>
                <c:pt idx="38">
                  <c:v>4.6080132895626083</c:v>
                </c:pt>
                <c:pt idx="39">
                  <c:v>4.8788999834397186</c:v>
                </c:pt>
                <c:pt idx="40">
                  <c:v>5.1575932862780647</c:v>
                </c:pt>
                <c:pt idx="41">
                  <c:v>5.444096768832674</c:v>
                </c:pt>
                <c:pt idx="42">
                  <c:v>5.7384140048692007</c:v>
                </c:pt>
                <c:pt idx="43">
                  <c:v>6.0405485690536231</c:v>
                </c:pt>
                <c:pt idx="44">
                  <c:v>6.3505040349837971</c:v>
                </c:pt>
                <c:pt idx="45">
                  <c:v>6.6682839733495305</c:v>
                </c:pt>
                <c:pt idx="46">
                  <c:v>6.9938933149090854</c:v>
                </c:pt>
                <c:pt idx="47">
                  <c:v>7.3273386915239449</c:v>
                </c:pt>
                <c:pt idx="48">
                  <c:v>7.6686270716435345</c:v>
                </c:pt>
                <c:pt idx="49">
                  <c:v>8.0177654179286044</c:v>
                </c:pt>
                <c:pt idx="50">
                  <c:v>8.3747606859032686</c:v>
                </c:pt>
                <c:pt idx="51">
                  <c:v>8.7396198226780779</c:v>
                </c:pt>
                <c:pt idx="52">
                  <c:v>9.1123497657385144</c:v>
                </c:pt>
                <c:pt idx="53">
                  <c:v>9.4929574417938163</c:v>
                </c:pt>
                <c:pt idx="54">
                  <c:v>9.8814497656815536</c:v>
                </c:pt>
                <c:pt idx="55">
                  <c:v>10.277833639323813</c:v>
                </c:pt>
                <c:pt idx="56">
                  <c:v>10.682115950731227</c:v>
                </c:pt>
                <c:pt idx="57">
                  <c:v>11.094303573051437</c:v>
                </c:pt>
                <c:pt idx="58">
                  <c:v>11.514403363658882</c:v>
                </c:pt>
                <c:pt idx="59">
                  <c:v>11.942422163283066</c:v>
                </c:pt>
                <c:pt idx="60">
                  <c:v>12.378366795172742</c:v>
                </c:pt>
                <c:pt idx="61">
                  <c:v>12.822244064293621</c:v>
                </c:pt>
                <c:pt idx="62">
                  <c:v>13.274060756557454</c:v>
                </c:pt>
                <c:pt idx="63">
                  <c:v>13.733823638080475</c:v>
                </c:pt>
                <c:pt idx="64">
                  <c:v>14.201539454469403</c:v>
                </c:pt>
                <c:pt idx="65">
                  <c:v>14.677214930133299</c:v>
                </c:pt>
                <c:pt idx="66">
                  <c:v>15.160856767619732</c:v>
                </c:pt>
                <c:pt idx="67">
                  <c:v>15.652471646973824</c:v>
                </c:pt>
                <c:pt idx="68">
                  <c:v>16.152066225118851</c:v>
                </c:pt>
                <c:pt idx="69">
                  <c:v>16.659668283419265</c:v>
                </c:pt>
                <c:pt idx="70">
                  <c:v>17.175335816273716</c:v>
                </c:pt>
                <c:pt idx="71">
                  <c:v>17.699135913739138</c:v>
                </c:pt>
                <c:pt idx="72">
                  <c:v>18.231135703299007</c:v>
                </c:pt>
                <c:pt idx="73">
                  <c:v>18.771402349596613</c:v>
                </c:pt>
                <c:pt idx="74">
                  <c:v>19.320003054156075</c:v>
                </c:pt>
                <c:pt idx="75">
                  <c:v>19.8770050550911</c:v>
                </c:pt>
                <c:pt idx="76">
                  <c:v>20.442475626801563</c:v>
                </c:pt>
                <c:pt idx="77">
                  <c:v>21.016443083919693</c:v>
                </c:pt>
                <c:pt idx="78">
                  <c:v>21.598880017679612</c:v>
                </c:pt>
                <c:pt idx="79">
                  <c:v>22.189742230147665</c:v>
                </c:pt>
                <c:pt idx="80">
                  <c:v>22.788985436397908</c:v>
                </c:pt>
                <c:pt idx="81">
                  <c:v>23.396565264954909</c:v>
                </c:pt>
                <c:pt idx="82">
                  <c:v>24.012437258266175</c:v>
                </c:pt>
                <c:pt idx="83">
                  <c:v>24.636556873202505</c:v>
                </c:pt>
                <c:pt idx="84">
                  <c:v>25.26887948158463</c:v>
                </c:pt>
                <c:pt idx="85">
                  <c:v>25.909360370734699</c:v>
                </c:pt>
                <c:pt idx="86">
                  <c:v>26.557960034364488</c:v>
                </c:pt>
                <c:pt idx="87">
                  <c:v>27.21466534922185</c:v>
                </c:pt>
                <c:pt idx="88">
                  <c:v>27.879484311171726</c:v>
                </c:pt>
                <c:pt idx="89">
                  <c:v>28.552424885055878</c:v>
                </c:pt>
                <c:pt idx="90">
                  <c:v>29.233495004333662</c:v>
                </c:pt>
                <c:pt idx="91">
                  <c:v>29.922702570729292</c:v>
                </c:pt>
                <c:pt idx="92">
                  <c:v>30.620055453885357</c:v>
                </c:pt>
                <c:pt idx="93">
                  <c:v>31.325561491022359</c:v>
                </c:pt>
                <c:pt idx="94">
                  <c:v>32.039228486604067</c:v>
                </c:pt>
                <c:pt idx="95">
                  <c:v>32.761064212008463</c:v>
                </c:pt>
                <c:pt idx="96">
                  <c:v>33.491076405204126</c:v>
                </c:pt>
                <c:pt idx="97">
                  <c:v>34.229272770431855</c:v>
                </c:pt>
                <c:pt idx="98">
                  <c:v>34.975660977891323</c:v>
                </c:pt>
                <c:pt idx="99">
                  <c:v>35.730248663432661</c:v>
                </c:pt>
                <c:pt idx="100">
                  <c:v>36.493043428252804</c:v>
                </c:pt>
                <c:pt idx="101">
                  <c:v>37.264052838596413</c:v>
                </c:pt>
                <c:pt idx="102">
                  <c:v>38.043284425461259</c:v>
                </c:pt>
                <c:pt idx="103">
                  <c:v>38.830745684307978</c:v>
                </c:pt>
                <c:pt idx="104">
                  <c:v>39.626444074774</c:v>
                </c:pt>
                <c:pt idx="105">
                  <c:v>40.430387020391592</c:v>
                </c:pt>
                <c:pt idx="106">
                  <c:v>41.242581908309866</c:v>
                </c:pt>
                <c:pt idx="107">
                  <c:v>42.06303608902067</c:v>
                </c:pt>
                <c:pt idx="108">
                  <c:v>42.891756876088259</c:v>
                </c:pt>
                <c:pt idx="109">
                  <c:v>43.728751545882638</c:v>
                </c:pt>
                <c:pt idx="110">
                  <c:v>44.574027337316465</c:v>
                </c:pt>
                <c:pt idx="111">
                  <c:v>45.427591451585506</c:v>
                </c:pt>
                <c:pt idx="112">
                  <c:v>46.289451051912458</c:v>
                </c:pt>
                <c:pt idx="113">
                  <c:v>47.159613263294133</c:v>
                </c:pt>
                <c:pt idx="114">
                  <c:v>48.038085172251911</c:v>
                </c:pt>
                <c:pt idx="115">
                  <c:v>48.924873826585362</c:v>
                </c:pt>
                <c:pt idx="116">
                  <c:v>49.819986235129022</c:v>
                </c:pt>
                <c:pt idx="117">
                  <c:v>50.723429367512203</c:v>
                </c:pt>
                <c:pt idx="118">
                  <c:v>51.635210153921818</c:v>
                </c:pt>
                <c:pt idx="119">
                  <c:v>52.555335484868138</c:v>
                </c:pt>
                <c:pt idx="120">
                  <c:v>53.483812210953445</c:v>
                </c:pt>
                <c:pt idx="121">
                  <c:v>54.420647142643517</c:v>
                </c:pt>
                <c:pt idx="122">
                  <c:v>55.365847050041864</c:v>
                </c:pt>
                <c:pt idx="123">
                  <c:v>56.319418662666756</c:v>
                </c:pt>
                <c:pt idx="124">
                  <c:v>57.281368669230879</c:v>
                </c:pt>
                <c:pt idx="125">
                  <c:v>58.251703717423666</c:v>
                </c:pt>
                <c:pt idx="126">
                  <c:v>59.230430413696233</c:v>
                </c:pt>
                <c:pt idx="127">
                  <c:v>60.217555323048877</c:v>
                </c:pt>
                <c:pt idx="128">
                  <c:v>61.213084968821072</c:v>
                </c:pt>
                <c:pt idx="129">
                  <c:v>62.217025832483991</c:v>
                </c:pt>
                <c:pt idx="130">
                  <c:v>63.229384353435471</c:v>
                </c:pt>
                <c:pt idx="131">
                  <c:v>64.250166928797384</c:v>
                </c:pt>
                <c:pt idx="132">
                  <c:v>65.279379913215436</c:v>
                </c:pt>
                <c:pt idx="133">
                  <c:v>66.317029618661266</c:v>
                </c:pt>
                <c:pt idx="134">
                  <c:v>67.363122314236946</c:v>
                </c:pt>
                <c:pt idx="135">
                  <c:v>68.417664225981753</c:v>
                </c:pt>
                <c:pt idx="136">
                  <c:v>69.480661536681211</c:v>
                </c:pt>
                <c:pt idx="137">
                  <c:v>70.552120385678421</c:v>
                </c:pt>
                <c:pt idx="138">
                  <c:v>71.63204686868761</c:v>
                </c:pt>
                <c:pt idx="139">
                  <c:v>72.720447037609858</c:v>
                </c:pt>
                <c:pt idx="140">
                  <c:v>73.817326900351063</c:v>
                </c:pt>
                <c:pt idx="141">
                  <c:v>74.922692420642065</c:v>
                </c:pt>
                <c:pt idx="142">
                  <c:v>76.036549517860905</c:v>
                </c:pt>
                <c:pt idx="143">
                  <c:v>77.158904066857218</c:v>
                </c:pt>
                <c:pt idx="144">
                  <c:v>78.289761897778746</c:v>
                </c:pt>
                <c:pt idx="145">
                  <c:v>79.429128795899928</c:v>
                </c:pt>
                <c:pt idx="146">
                  <c:v>80.577010501452648</c:v>
                </c:pt>
                <c:pt idx="147">
                  <c:v>81.733412709458932</c:v>
                </c:pt>
                <c:pt idx="148">
                  <c:v>82.898341069565802</c:v>
                </c:pt>
                <c:pt idx="149">
                  <c:v>84.071801185882094</c:v>
                </c:pt>
                <c:pt idx="150">
                  <c:v>85.253798616817392</c:v>
                </c:pt>
                <c:pt idx="151">
                  <c:v>86.444338874922863</c:v>
                </c:pt>
                <c:pt idx="152">
                  <c:v>87.643427426734192</c:v>
                </c:pt>
                <c:pt idx="153">
                  <c:v>88.851069692616448</c:v>
                </c:pt>
                <c:pt idx="154">
                  <c:v>90.067271046610998</c:v>
                </c:pt>
                <c:pt idx="155">
                  <c:v>91.292036816284295</c:v>
                </c:pt>
                <c:pt idx="156">
                  <c:v>92.525372282578715</c:v>
                </c:pt>
                <c:pt idx="157">
                  <c:v>93.767282679665314</c:v>
                </c:pt>
                <c:pt idx="158">
                  <c:v>95.017773194798551</c:v>
                </c:pt>
                <c:pt idx="159">
                  <c:v>96.276848968172885</c:v>
                </c:pt>
                <c:pt idx="160">
                  <c:v>97.544515092781396</c:v>
                </c:pt>
                <c:pt idx="161">
                  <c:v>98.820776614276269</c:v>
                </c:pt>
                <c:pt idx="162">
                  <c:v>100.10563853083119</c:v>
                </c:pt>
                <c:pt idx="163">
                  <c:v>101.39910579300566</c:v>
                </c:pt>
                <c:pt idx="164">
                  <c:v>102.70118330361127</c:v>
                </c:pt>
                <c:pt idx="165">
                  <c:v>104.01187591757979</c:v>
                </c:pt>
                <c:pt idx="166">
                  <c:v>105.33118844183316</c:v>
                </c:pt>
                <c:pt idx="167">
                  <c:v>106.65912563515549</c:v>
                </c:pt>
                <c:pt idx="168">
                  <c:v>107.99569220806674</c:v>
                </c:pt>
                <c:pt idx="169">
                  <c:v>109.34089282269846</c:v>
                </c:pt>
                <c:pt idx="170">
                  <c:v>110.69473209267132</c:v>
                </c:pt>
                <c:pt idx="171">
                  <c:v>112.05721458297448</c:v>
                </c:pt>
                <c:pt idx="172">
                  <c:v>113.42834480984696</c:v>
                </c:pt>
                <c:pt idx="173">
                  <c:v>114.8081272406607</c:v>
                </c:pt>
                <c:pt idx="174">
                  <c:v>116.1965662938056</c:v>
                </c:pt>
                <c:pt idx="175">
                  <c:v>117.59366633857644</c:v>
                </c:pt>
                <c:pt idx="176">
                  <c:v>118.9994316950615</c:v>
                </c:pt>
                <c:pt idx="177">
                  <c:v>120.41386663403324</c:v>
                </c:pt>
                <c:pt idx="178">
                  <c:v>121.83697537684063</c:v>
                </c:pt>
                <c:pt idx="179">
                  <c:v>123.26876209530347</c:v>
                </c:pt>
                <c:pt idx="180">
                  <c:v>124.70923091160854</c:v>
                </c:pt>
                <c:pt idx="181">
                  <c:v>126.15838589820753</c:v>
                </c:pt>
                <c:pt idx="182">
                  <c:v>127.61623107771682</c:v>
                </c:pt>
                <c:pt idx="183">
                  <c:v>129.08277042281921</c:v>
                </c:pt>
                <c:pt idx="184">
                  <c:v>130.55800785616731</c:v>
                </c:pt>
                <c:pt idx="185">
                  <c:v>132.04194725028898</c:v>
                </c:pt>
                <c:pt idx="186">
                  <c:v>133.5345924274944</c:v>
                </c:pt>
                <c:pt idx="187">
                  <c:v>135.03594715978511</c:v>
                </c:pt>
                <c:pt idx="188">
                  <c:v>136.54601516876485</c:v>
                </c:pt>
                <c:pt idx="189">
                  <c:v>138.06480012555227</c:v>
                </c:pt>
                <c:pt idx="190">
                  <c:v>139.59230565069532</c:v>
                </c:pt>
                <c:pt idx="191">
                  <c:v>141.12853531408777</c:v>
                </c:pt>
                <c:pt idx="192">
                  <c:v>142.67349263488722</c:v>
                </c:pt>
                <c:pt idx="193">
                  <c:v>144.22718108143519</c:v>
                </c:pt>
                <c:pt idx="194">
                  <c:v>145.78960407117893</c:v>
                </c:pt>
                <c:pt idx="195">
                  <c:v>147.36076497059508</c:v>
                </c:pt>
                <c:pt idx="196">
                  <c:v>148.94066709511523</c:v>
                </c:pt>
                <c:pt idx="197">
                  <c:v>150.52931370905318</c:v>
                </c:pt>
                <c:pt idx="198">
                  <c:v>152.12670802553413</c:v>
                </c:pt>
                <c:pt idx="199">
                  <c:v>153.73285320642566</c:v>
                </c:pt>
                <c:pt idx="200">
                  <c:v>155.3477523622706</c:v>
                </c:pt>
                <c:pt idx="201">
                  <c:v>156.97140855222159</c:v>
                </c:pt>
                <c:pt idx="202">
                  <c:v>158.60382478397767</c:v>
                </c:pt>
                <c:pt idx="203">
                  <c:v>160.24500401372251</c:v>
                </c:pt>
                <c:pt idx="204">
                  <c:v>161.89494914606456</c:v>
                </c:pt>
                <c:pt idx="205">
                  <c:v>163.55366303397912</c:v>
                </c:pt>
                <c:pt idx="206">
                  <c:v>165.22114847875199</c:v>
                </c:pt>
                <c:pt idx="207">
                  <c:v>166.89740822992519</c:v>
                </c:pt>
                <c:pt idx="208">
                  <c:v>168.58244498524445</c:v>
                </c:pt>
                <c:pt idx="209">
                  <c:v>170.27626139060845</c:v>
                </c:pt>
                <c:pt idx="210">
                  <c:v>171.97886004001992</c:v>
                </c:pt>
                <c:pt idx="211">
                  <c:v>173.69024347553869</c:v>
                </c:pt>
                <c:pt idx="212">
                  <c:v>175.41041418723637</c:v>
                </c:pt>
                <c:pt idx="213">
                  <c:v>177.139374613153</c:v>
                </c:pt>
                <c:pt idx="214">
                  <c:v>178.87712713925552</c:v>
                </c:pt>
                <c:pt idx="215">
                  <c:v>180.62367409939802</c:v>
                </c:pt>
                <c:pt idx="216">
                  <c:v>182.37901777528381</c:v>
                </c:pt>
                <c:pt idx="217">
                  <c:v>184.14316039642944</c:v>
                </c:pt>
                <c:pt idx="218">
                  <c:v>185.91610414013039</c:v>
                </c:pt>
                <c:pt idx="219">
                  <c:v>187.69785113142868</c:v>
                </c:pt>
                <c:pt idx="220">
                  <c:v>189.48840344308229</c:v>
                </c:pt>
                <c:pt idx="221">
                  <c:v>191.28776309553646</c:v>
                </c:pt>
                <c:pt idx="222">
                  <c:v>193.09593205689669</c:v>
                </c:pt>
                <c:pt idx="223">
                  <c:v>194.9129122429037</c:v>
                </c:pt>
                <c:pt idx="224">
                  <c:v>196.73870551691019</c:v>
                </c:pt>
                <c:pt idx="225">
                  <c:v>198.57331368985936</c:v>
                </c:pt>
                <c:pt idx="226">
                  <c:v>200.41673852026537</c:v>
                </c:pt>
                <c:pt idx="227">
                  <c:v>202.26898171419549</c:v>
                </c:pt>
                <c:pt idx="228">
                  <c:v>204.1300449252542</c:v>
                </c:pt>
                <c:pt idx="229">
                  <c:v>205.99992975456905</c:v>
                </c:pt>
                <c:pt idx="230">
                  <c:v>207.87863775077841</c:v>
                </c:pt>
                <c:pt idx="231">
                  <c:v>209.76617041002095</c:v>
                </c:pt>
                <c:pt idx="232">
                  <c:v>211.66252917592701</c:v>
                </c:pt>
                <c:pt idx="233">
                  <c:v>213.56771543961182</c:v>
                </c:pt>
                <c:pt idx="234">
                  <c:v>215.48173053967045</c:v>
                </c:pt>
                <c:pt idx="235">
                  <c:v>217.40457576217469</c:v>
                </c:pt>
                <c:pt idx="236">
                  <c:v>219.33625234067165</c:v>
                </c:pt>
                <c:pt idx="237">
                  <c:v>221.27676145618429</c:v>
                </c:pt>
                <c:pt idx="238">
                  <c:v>223.22610423721372</c:v>
                </c:pt>
                <c:pt idx="239">
                  <c:v>225.18428175974321</c:v>
                </c:pt>
                <c:pt idx="240">
                  <c:v>227.15129504724428</c:v>
                </c:pt>
                <c:pt idx="241">
                  <c:v>229.12714507068429</c:v>
                </c:pt>
                <c:pt idx="242">
                  <c:v>231.11183274853613</c:v>
                </c:pt>
                <c:pt idx="243">
                  <c:v>233.10535894678955</c:v>
                </c:pt>
                <c:pt idx="244">
                  <c:v>235.10774658774397</c:v>
                </c:pt>
                <c:pt idx="245">
                  <c:v>237.11904065722877</c:v>
                </c:pt>
                <c:pt idx="246">
                  <c:v>239.13928610282483</c:v>
                </c:pt>
                <c:pt idx="247">
                  <c:v>241.16852783343856</c:v>
                </c:pt>
                <c:pt idx="248">
                  <c:v>243.20681071887222</c:v>
                </c:pt>
                <c:pt idx="249">
                  <c:v>245.25417958939039</c:v>
                </c:pt>
                <c:pt idx="250">
                  <c:v>247.31067923528283</c:v>
                </c:pt>
                <c:pt idx="251">
                  <c:v>249.37635440642362</c:v>
                </c:pt>
                <c:pt idx="252">
                  <c:v>251.45124981182656</c:v>
                </c:pt>
                <c:pt idx="253">
                  <c:v>253.53539787343206</c:v>
                </c:pt>
                <c:pt idx="254">
                  <c:v>255.62880646677991</c:v>
                </c:pt>
                <c:pt idx="255">
                  <c:v>257.73147115793222</c:v>
                </c:pt>
                <c:pt idx="256">
                  <c:v>259.84338745379813</c:v>
                </c:pt>
                <c:pt idx="257">
                  <c:v>261.96455080226423</c:v>
                </c:pt>
                <c:pt idx="258">
                  <c:v>264.09495659232681</c:v>
                </c:pt>
                <c:pt idx="259">
                  <c:v>266.23460015422671</c:v>
                </c:pt>
                <c:pt idx="260">
                  <c:v>268.3834767595859</c:v>
                </c:pt>
                <c:pt idx="261">
                  <c:v>270.5415816215467</c:v>
                </c:pt>
                <c:pt idx="262">
                  <c:v>272.70890989491278</c:v>
                </c:pt>
                <c:pt idx="263">
                  <c:v>274.88545667629239</c:v>
                </c:pt>
                <c:pt idx="264">
                  <c:v>277.07121700424386</c:v>
                </c:pt>
                <c:pt idx="265">
                  <c:v>279.2661858594231</c:v>
                </c:pt>
                <c:pt idx="266">
                  <c:v>281.47035816473317</c:v>
                </c:pt>
                <c:pt idx="267">
                  <c:v>283.68372878547609</c:v>
                </c:pt>
                <c:pt idx="268">
                  <c:v>285.90629252950657</c:v>
                </c:pt>
                <c:pt idx="269">
                  <c:v>288.13804414738792</c:v>
                </c:pt>
                <c:pt idx="270">
                  <c:v>290.37897833254999</c:v>
                </c:pt>
                <c:pt idx="271">
                  <c:v>292.6290897214493</c:v>
                </c:pt>
                <c:pt idx="272">
                  <c:v>294.88837289373089</c:v>
                </c:pt>
                <c:pt idx="273">
                  <c:v>297.15682237239247</c:v>
                </c:pt>
                <c:pt idx="274">
                  <c:v>299.4344326239505</c:v>
                </c:pt>
                <c:pt idx="275">
                  <c:v>301.72119805860837</c:v>
                </c:pt>
                <c:pt idx="276">
                  <c:v>304.01711303042634</c:v>
                </c:pt>
                <c:pt idx="277">
                  <c:v>306.3221712389024</c:v>
                </c:pt>
                <c:pt idx="278">
                  <c:v>308.63636483049237</c:v>
                </c:pt>
                <c:pt idx="279">
                  <c:v>310.95968499714553</c:v>
                </c:pt>
                <c:pt idx="280">
                  <c:v>313.29212287493715</c:v>
                </c:pt>
                <c:pt idx="281">
                  <c:v>315.63366954431444</c:v>
                </c:pt>
                <c:pt idx="282">
                  <c:v>317.98431603034408</c:v>
                </c:pt>
                <c:pt idx="283">
                  <c:v>320.34405330296175</c:v>
                </c:pt>
                <c:pt idx="284">
                  <c:v>322.71287227722354</c:v>
                </c:pt>
                <c:pt idx="285">
                  <c:v>325.09076381355914</c:v>
                </c:pt>
                <c:pt idx="286">
                  <c:v>327.47771871802672</c:v>
                </c:pt>
                <c:pt idx="287">
                  <c:v>329.87372774256983</c:v>
                </c:pt>
                <c:pt idx="288">
                  <c:v>332.27878158527574</c:v>
                </c:pt>
                <c:pt idx="289">
                  <c:v>334.69287089063585</c:v>
                </c:pt>
                <c:pt idx="290">
                  <c:v>337.11598624980775</c:v>
                </c:pt>
                <c:pt idx="291">
                  <c:v>339.54811820087878</c:v>
                </c:pt>
                <c:pt idx="292">
                  <c:v>341.98925722913151</c:v>
                </c:pt>
                <c:pt idx="293">
                  <c:v>344.43939376731095</c:v>
                </c:pt>
                <c:pt idx="294">
                  <c:v>346.89851819589302</c:v>
                </c:pt>
                <c:pt idx="295">
                  <c:v>349.36662084335518</c:v>
                </c:pt>
                <c:pt idx="296">
                  <c:v>351.84369198644833</c:v>
                </c:pt>
                <c:pt idx="297">
                  <c:v>354.32972185047038</c:v>
                </c:pt>
                <c:pt idx="298">
                  <c:v>356.82470060954148</c:v>
                </c:pt>
                <c:pt idx="299">
                  <c:v>359.32861838688075</c:v>
                </c:pt>
                <c:pt idx="300">
                  <c:v>361.84146525508453</c:v>
                </c:pt>
                <c:pt idx="301">
                  <c:v>364.36323123640625</c:v>
                </c:pt>
                <c:pt idx="302">
                  <c:v>366.89390630303774</c:v>
                </c:pt>
                <c:pt idx="303">
                  <c:v>369.43348037739196</c:v>
                </c:pt>
                <c:pt idx="304">
                  <c:v>371.98194333238735</c:v>
                </c:pt>
                <c:pt idx="305">
                  <c:v>374.5392849917335</c:v>
                </c:pt>
                <c:pt idx="306">
                  <c:v>377.10549513021834</c:v>
                </c:pt>
                <c:pt idx="307">
                  <c:v>379.68056347399676</c:v>
                </c:pt>
                <c:pt idx="308">
                  <c:v>382.26447970088043</c:v>
                </c:pt>
                <c:pt idx="309">
                  <c:v>384.85723344062922</c:v>
                </c:pt>
                <c:pt idx="310">
                  <c:v>387.45881427524387</c:v>
                </c:pt>
                <c:pt idx="311">
                  <c:v>390.06921173925997</c:v>
                </c:pt>
                <c:pt idx="312">
                  <c:v>392.68841532004336</c:v>
                </c:pt>
                <c:pt idx="313">
                  <c:v>395.31641445808663</c:v>
                </c:pt>
                <c:pt idx="314">
                  <c:v>397.95319854730712</c:v>
                </c:pt>
                <c:pt idx="315">
                  <c:v>400.59875693534616</c:v>
                </c:pt>
                <c:pt idx="316">
                  <c:v>403.25307892386928</c:v>
                </c:pt>
                <c:pt idx="317">
                  <c:v>405.91615376886796</c:v>
                </c:pt>
                <c:pt idx="318">
                  <c:v>408.58797068096237</c:v>
                </c:pt>
                <c:pt idx="319">
                  <c:v>411.26851882570537</c:v>
                </c:pt>
                <c:pt idx="320">
                  <c:v>413.95778732388777</c:v>
                </c:pt>
                <c:pt idx="321">
                  <c:v>416.65576525184451</c:v>
                </c:pt>
                <c:pt idx="322">
                  <c:v>419.36244164176208</c:v>
                </c:pt>
                <c:pt idx="323">
                  <c:v>422.07780548198713</c:v>
                </c:pt>
                <c:pt idx="324">
                  <c:v>424.80184571733594</c:v>
                </c:pt>
                <c:pt idx="325">
                  <c:v>427.53455124940513</c:v>
                </c:pt>
                <c:pt idx="326">
                  <c:v>430.27591093688346</c:v>
                </c:pt>
                <c:pt idx="327">
                  <c:v>433.02591359586444</c:v>
                </c:pt>
                <c:pt idx="328">
                  <c:v>435.78454800016004</c:v>
                </c:pt>
                <c:pt idx="329">
                  <c:v>438.55180288161557</c:v>
                </c:pt>
                <c:pt idx="330">
                  <c:v>441.32766693042521</c:v>
                </c:pt>
                <c:pt idx="331">
                  <c:v>444.11212879544865</c:v>
                </c:pt>
                <c:pt idx="332">
                  <c:v>446.9051770845287</c:v>
                </c:pt>
                <c:pt idx="333">
                  <c:v>449.70680036480974</c:v>
                </c:pt>
                <c:pt idx="334">
                  <c:v>452.51698716305697</c:v>
                </c:pt>
                <c:pt idx="335">
                  <c:v>455.33572596597674</c:v>
                </c:pt>
                <c:pt idx="336">
                  <c:v>458.16300522053763</c:v>
                </c:pt>
                <c:pt idx="337">
                  <c:v>460.99881333429215</c:v>
                </c:pt>
                <c:pt idx="338">
                  <c:v>463.84313867569955</c:v>
                </c:pt>
                <c:pt idx="339">
                  <c:v>466.69596957444941</c:v>
                </c:pt>
                <c:pt idx="340">
                  <c:v>469.55729432178572</c:v>
                </c:pt>
                <c:pt idx="341">
                  <c:v>472.42710117083197</c:v>
                </c:pt>
                <c:pt idx="342">
                  <c:v>475.30537833691682</c:v>
                </c:pt>
                <c:pt idx="343">
                  <c:v>478.19211399790066</c:v>
                </c:pt>
                <c:pt idx="344">
                  <c:v>481.08729680534316</c:v>
                </c:pt>
                <c:pt idx="345">
                  <c:v>483.99092048588807</c:v>
                </c:pt>
                <c:pt idx="346">
                  <c:v>486.90298332887227</c:v>
                </c:pt>
                <c:pt idx="347">
                  <c:v>489.82348358361901</c:v>
                </c:pt>
                <c:pt idx="348">
                  <c:v>492.75241945956748</c:v>
                </c:pt>
                <c:pt idx="349">
                  <c:v>495.6897891264037</c:v>
                </c:pt>
                <c:pt idx="350">
                  <c:v>498.63559071419252</c:v>
                </c:pt>
                <c:pt idx="351">
                  <c:v>501.58982231351087</c:v>
                </c:pt>
                <c:pt idx="352">
                  <c:v>504.55248197558194</c:v>
                </c:pt>
                <c:pt idx="353">
                  <c:v>507.52356771241085</c:v>
                </c:pt>
                <c:pt idx="354">
                  <c:v>510.50307749692115</c:v>
                </c:pt>
                <c:pt idx="355">
                  <c:v>513.49100926309256</c:v>
                </c:pt>
                <c:pt idx="356">
                  <c:v>516.48736090610009</c:v>
                </c:pt>
                <c:pt idx="357">
                  <c:v>519.49213028245379</c:v>
                </c:pt>
                <c:pt idx="358">
                  <c:v>522.50531521014</c:v>
                </c:pt>
                <c:pt idx="359">
                  <c:v>525.5269134687635</c:v>
                </c:pt>
                <c:pt idx="360">
                  <c:v>528.55692279969116</c:v>
                </c:pt>
                <c:pt idx="361">
                  <c:v>531.59534090619616</c:v>
                </c:pt>
                <c:pt idx="362">
                  <c:v>534.6421654536033</c:v>
                </c:pt>
                <c:pt idx="363">
                  <c:v>537.6973940694362</c:v>
                </c:pt>
                <c:pt idx="364">
                  <c:v>540.76102434356449</c:v>
                </c:pt>
                <c:pt idx="365">
                  <c:v>543.83305382835283</c:v>
                </c:pt>
                <c:pt idx="366">
                  <c:v>546.9134800388108</c:v>
                </c:pt>
                <c:pt idx="367">
                  <c:v>550.00230045274338</c:v>
                </c:pt>
                <c:pt idx="368">
                  <c:v>553.09951251090342</c:v>
                </c:pt>
                <c:pt idx="369">
                  <c:v>556.20511361714432</c:v>
                </c:pt>
                <c:pt idx="370">
                  <c:v>559.31910113857407</c:v>
                </c:pt>
                <c:pt idx="371">
                  <c:v>562.44147240571021</c:v>
                </c:pt>
                <c:pt idx="372">
                  <c:v>565.57222471263628</c:v>
                </c:pt>
                <c:pt idx="373">
                  <c:v>568.71135195132138</c:v>
                </c:pt>
                <c:pt idx="374">
                  <c:v>571.85884461358137</c:v>
                </c:pt>
                <c:pt idx="375">
                  <c:v>575.01469315894087</c:v>
                </c:pt>
                <c:pt idx="376">
                  <c:v>578.17888801491938</c:v>
                </c:pt>
                <c:pt idx="377">
                  <c:v>581.3514195773181</c:v>
                </c:pt>
                <c:pt idx="378">
                  <c:v>584.53227821050723</c:v>
                </c:pt>
                <c:pt idx="379">
                  <c:v>587.72145424771406</c:v>
                </c:pt>
                <c:pt idx="380">
                  <c:v>590.91893799131083</c:v>
                </c:pt>
                <c:pt idx="381">
                  <c:v>594.1247197131039</c:v>
                </c:pt>
                <c:pt idx="382">
                  <c:v>597.33878965462281</c:v>
                </c:pt>
                <c:pt idx="383">
                  <c:v>600.56113802741015</c:v>
                </c:pt>
                <c:pt idx="384">
                  <c:v>603.79175501331156</c:v>
                </c:pt>
                <c:pt idx="385">
                  <c:v>607.03063076476622</c:v>
                </c:pt>
                <c:pt idx="386">
                  <c:v>610.27775540509822</c:v>
                </c:pt>
                <c:pt idx="387">
                  <c:v>613.53311902880739</c:v>
                </c:pt>
                <c:pt idx="388">
                  <c:v>616.79671170186145</c:v>
                </c:pt>
                <c:pt idx="389">
                  <c:v>620.06852346198764</c:v>
                </c:pt>
                <c:pt idx="390">
                  <c:v>623.34854431896565</c:v>
                </c:pt>
                <c:pt idx="391">
                  <c:v>626.63676425492008</c:v>
                </c:pt>
                <c:pt idx="392">
                  <c:v>629.93317322461337</c:v>
                </c:pt>
                <c:pt idx="393">
                  <c:v>633.23776115573946</c:v>
                </c:pt>
                <c:pt idx="394">
                  <c:v>636.55051794921735</c:v>
                </c:pt>
                <c:pt idx="395">
                  <c:v>639.87143347948495</c:v>
                </c:pt>
                <c:pt idx="396">
                  <c:v>643.20049759479309</c:v>
                </c:pt>
                <c:pt idx="397">
                  <c:v>646.53770011750009</c:v>
                </c:pt>
                <c:pt idx="398">
                  <c:v>649.88303084436654</c:v>
                </c:pt>
                <c:pt idx="399">
                  <c:v>653.23647954684986</c:v>
                </c:pt>
                <c:pt idx="400">
                  <c:v>656.59803597139944</c:v>
                </c:pt>
                <c:pt idx="401">
                  <c:v>659.96768983975176</c:v>
                </c:pt>
                <c:pt idx="402">
                  <c:v>663.34543084922575</c:v>
                </c:pt>
                <c:pt idx="403">
                  <c:v>666.73124867301851</c:v>
                </c:pt>
                <c:pt idx="404">
                  <c:v>670.12513296050076</c:v>
                </c:pt>
                <c:pt idx="405">
                  <c:v>673.52707333751266</c:v>
                </c:pt>
                <c:pt idx="406">
                  <c:v>676.93705940665961</c:v>
                </c:pt>
                <c:pt idx="407">
                  <c:v>680.35508074760844</c:v>
                </c:pt>
                <c:pt idx="408">
                  <c:v>683.78112691738318</c:v>
                </c:pt>
                <c:pt idx="409">
                  <c:v>687.21518361737265</c:v>
                </c:pt>
                <c:pt idx="410">
                  <c:v>690.65723173755066</c:v>
                </c:pt>
                <c:pt idx="411">
                  <c:v>694.10725119401934</c:v>
                </c:pt>
                <c:pt idx="412">
                  <c:v>697.56522188943802</c:v>
                </c:pt>
                <c:pt idx="413">
                  <c:v>701.03112371351585</c:v>
                </c:pt>
                <c:pt idx="414">
                  <c:v>704.50493654350316</c:v>
                </c:pt>
                <c:pt idx="415">
                  <c:v>707.98664024468133</c:v>
                </c:pt>
                <c:pt idx="416">
                  <c:v>711.47621467085139</c:v>
                </c:pt>
                <c:pt idx="417">
                  <c:v>714.97363966482123</c:v>
                </c:pt>
                <c:pt idx="418">
                  <c:v>718.47889505889123</c:v>
                </c:pt>
                <c:pt idx="419">
                  <c:v>721.99196067533887</c:v>
                </c:pt>
                <c:pt idx="420">
                  <c:v>725.51281632690143</c:v>
                </c:pt>
                <c:pt idx="421">
                  <c:v>729.04144181725735</c:v>
                </c:pt>
                <c:pt idx="422">
                  <c:v>732.57781694150606</c:v>
                </c:pt>
                <c:pt idx="423">
                  <c:v>736.12192148664667</c:v>
                </c:pt>
                <c:pt idx="424">
                  <c:v>739.67373523205436</c:v>
                </c:pt>
                <c:pt idx="425">
                  <c:v>743.23323794995611</c:v>
                </c:pt>
                <c:pt idx="426">
                  <c:v>746.80040940590413</c:v>
                </c:pt>
                <c:pt idx="427">
                  <c:v>750.37522935924778</c:v>
                </c:pt>
                <c:pt idx="428">
                  <c:v>753.95767756360431</c:v>
                </c:pt>
                <c:pt idx="429">
                  <c:v>757.54773376732749</c:v>
                </c:pt>
                <c:pt idx="430">
                  <c:v>761.14537771397477</c:v>
                </c:pt>
                <c:pt idx="431">
                  <c:v>764.75058914277258</c:v>
                </c:pt>
                <c:pt idx="432">
                  <c:v>768.36334778908042</c:v>
                </c:pt>
                <c:pt idx="433">
                  <c:v>771.9836333848524</c:v>
                </c:pt>
                <c:pt idx="434">
                  <c:v>775.6114256590979</c:v>
                </c:pt>
                <c:pt idx="435">
                  <c:v>779.2467043383399</c:v>
                </c:pt>
                <c:pt idx="436">
                  <c:v>782.88944914707167</c:v>
                </c:pt>
                <c:pt idx="437">
                  <c:v>786.53963980821163</c:v>
                </c:pt>
                <c:pt idx="438">
                  <c:v>790.19725604355665</c:v>
                </c:pt>
                <c:pt idx="439">
                  <c:v>793.86227757423308</c:v>
                </c:pt>
                <c:pt idx="440">
                  <c:v>797.53468412114637</c:v>
                </c:pt>
                <c:pt idx="441">
                  <c:v>801.21445540542845</c:v>
                </c:pt>
                <c:pt idx="442">
                  <c:v>804.90157114888359</c:v>
                </c:pt>
                <c:pt idx="443">
                  <c:v>808.59601107443189</c:v>
                </c:pt>
                <c:pt idx="444">
                  <c:v>812.2977549065514</c:v>
                </c:pt>
                <c:pt idx="445">
                  <c:v>816.00678237171769</c:v>
                </c:pt>
                <c:pt idx="446">
                  <c:v>819.72307319884192</c:v>
                </c:pt>
                <c:pt idx="447">
                  <c:v>823.4466071197071</c:v>
                </c:pt>
                <c:pt idx="448">
                  <c:v>827.1773638694018</c:v>
                </c:pt>
                <c:pt idx="449">
                  <c:v>830.91532318675218</c:v>
                </c:pt>
                <c:pt idx="450">
                  <c:v>834.660464814752</c:v>
                </c:pt>
                <c:pt idx="451">
                  <c:v>838.41276850099075</c:v>
                </c:pt>
                <c:pt idx="452">
                  <c:v>842.17221399807931</c:v>
                </c:pt>
                <c:pt idx="453">
                  <c:v>845.93878106407396</c:v>
                </c:pt>
                <c:pt idx="454">
                  <c:v>849.71244946289835</c:v>
                </c:pt>
                <c:pt idx="455">
                  <c:v>853.493198964763</c:v>
                </c:pt>
                <c:pt idx="456">
                  <c:v>857.28100934658289</c:v>
                </c:pt>
                <c:pt idx="457">
                  <c:v>861.07586039239322</c:v>
                </c:pt>
                <c:pt idx="458">
                  <c:v>864.87773189376276</c:v>
                </c:pt>
                <c:pt idx="459">
                  <c:v>868.68660365020492</c:v>
                </c:pt>
                <c:pt idx="460">
                  <c:v>872.50245546958718</c:v>
                </c:pt>
                <c:pt idx="461">
                  <c:v>876.32526716853772</c:v>
                </c:pt>
                <c:pt idx="462">
                  <c:v>880.15501857285074</c:v>
                </c:pt>
                <c:pt idx="463">
                  <c:v>883.9916895178884</c:v>
                </c:pt>
                <c:pt idx="464">
                  <c:v>887.83525984898199</c:v>
                </c:pt>
                <c:pt idx="465">
                  <c:v>891.68570942182953</c:v>
                </c:pt>
                <c:pt idx="466">
                  <c:v>895.54301810289235</c:v>
                </c:pt>
                <c:pt idx="467">
                  <c:v>899.40716576978832</c:v>
                </c:pt>
                <c:pt idx="468">
                  <c:v>903.27813231168409</c:v>
                </c:pt>
                <c:pt idx="469">
                  <c:v>907.15589762968375</c:v>
                </c:pt>
                <c:pt idx="470">
                  <c:v>911.04044163721642</c:v>
                </c:pt>
                <c:pt idx="471">
                  <c:v>914.93174426042071</c:v>
                </c:pt>
                <c:pt idx="472">
                  <c:v>918.82978543852767</c:v>
                </c:pt>
                <c:pt idx="473">
                  <c:v>922.73454512424053</c:v>
                </c:pt>
                <c:pt idx="474">
                  <c:v>926.64600328411325</c:v>
                </c:pt>
                <c:pt idx="475">
                  <c:v>930.56413989892565</c:v>
                </c:pt>
                <c:pt idx="476">
                  <c:v>934.48893496405719</c:v>
                </c:pt>
                <c:pt idx="477">
                  <c:v>938.42036848985799</c:v>
                </c:pt>
                <c:pt idx="478">
                  <c:v>942.35842050201734</c:v>
                </c:pt>
                <c:pt idx="479">
                  <c:v>946.30307104193037</c:v>
                </c:pt>
                <c:pt idx="480">
                  <c:v>950.25430016706207</c:v>
                </c:pt>
                <c:pt idx="481">
                  <c:v>954.21208795130883</c:v>
                </c:pt>
                <c:pt idx="482">
                  <c:v>958.17641448535812</c:v>
                </c:pt>
                <c:pt idx="483">
                  <c:v>962.14725987704537</c:v>
                </c:pt>
                <c:pt idx="484">
                  <c:v>966.12460425170866</c:v>
                </c:pt>
                <c:pt idx="485">
                  <c:v>970.10842775254116</c:v>
                </c:pt>
                <c:pt idx="486">
                  <c:v>974.09871054094083</c:v>
                </c:pt>
                <c:pt idx="487">
                  <c:v>978.09543279685806</c:v>
                </c:pt>
                <c:pt idx="488">
                  <c:v>982.09857471914097</c:v>
                </c:pt>
                <c:pt idx="489">
                  <c:v>986.10811652587802</c:v>
                </c:pt>
                <c:pt idx="490">
                  <c:v>990.12403845473864</c:v>
                </c:pt>
                <c:pt idx="491">
                  <c:v>994.14632076331077</c:v>
                </c:pt>
                <c:pt idx="492">
                  <c:v>998.17494372943679</c:v>
                </c:pt>
                <c:pt idx="493">
                  <c:v>1002.2098876515468</c:v>
                </c:pt>
                <c:pt idx="494">
                  <c:v>1006.2511328489888</c:v>
                </c:pt>
                <c:pt idx="495">
                  <c:v>1010.298659662358</c:v>
                </c:pt>
                <c:pt idx="496">
                  <c:v>1014.3524484538216</c:v>
                </c:pt>
                <c:pt idx="497">
                  <c:v>1018.4124783503323</c:v>
                </c:pt>
                <c:pt idx="498">
                  <c:v>1022.4787259876445</c:v>
                </c:pt>
                <c:pt idx="499">
                  <c:v>1026.5511667717592</c:v>
                </c:pt>
                <c:pt idx="500">
                  <c:v>1030.6297761396038</c:v>
                </c:pt>
                <c:pt idx="501">
                  <c:v>1034.7145295594273</c:v>
                </c:pt>
                <c:pt idx="502">
                  <c:v>1038.8054025311924</c:v>
                </c:pt>
                <c:pt idx="503">
                  <c:v>1042.902370586964</c:v>
                </c:pt>
                <c:pt idx="504">
                  <c:v>1047.005409291294</c:v>
                </c:pt>
                <c:pt idx="505">
                  <c:v>1051.1144942416031</c:v>
                </c:pt>
                <c:pt idx="506">
                  <c:v>1055.2296010685582</c:v>
                </c:pt>
                <c:pt idx="507">
                  <c:v>1059.3507054364475</c:v>
                </c:pt>
                <c:pt idx="508">
                  <c:v>1063.4777830435505</c:v>
                </c:pt>
                <c:pt idx="509">
                  <c:v>1067.6108096225062</c:v>
                </c:pt>
                <c:pt idx="510">
                  <c:v>1071.749760940676</c:v>
                </c:pt>
                <c:pt idx="511">
                  <c:v>1075.8946128005045</c:v>
                </c:pt>
                <c:pt idx="512">
                  <c:v>1080.0453410398761</c:v>
                </c:pt>
                <c:pt idx="513">
                  <c:v>1084.2019215324681</c:v>
                </c:pt>
                <c:pt idx="514">
                  <c:v>1088.3643301881007</c:v>
                </c:pt>
                <c:pt idx="515">
                  <c:v>1092.5325429530826</c:v>
                </c:pt>
                <c:pt idx="516">
                  <c:v>1096.706535810554</c:v>
                </c:pt>
                <c:pt idx="517">
                  <c:v>1100.8862847808259</c:v>
                </c:pt>
                <c:pt idx="518">
                  <c:v>1105.0717659217153</c:v>
                </c:pt>
                <c:pt idx="519">
                  <c:v>1109.2629553288773</c:v>
                </c:pt>
                <c:pt idx="520">
                  <c:v>1113.4598291361342</c:v>
                </c:pt>
                <c:pt idx="521">
                  <c:v>1117.6623635158001</c:v>
                </c:pt>
                <c:pt idx="522">
                  <c:v>1121.8705346790025</c:v>
                </c:pt>
                <c:pt idx="523">
                  <c:v>1126.0843188760009</c:v>
                </c:pt>
                <c:pt idx="524">
                  <c:v>1130.3036923965008</c:v>
                </c:pt>
                <c:pt idx="525">
                  <c:v>1134.528631569965</c:v>
                </c:pt>
                <c:pt idx="526">
                  <c:v>1138.7591127659221</c:v>
                </c:pt>
                <c:pt idx="527">
                  <c:v>1142.9951123942692</c:v>
                </c:pt>
                <c:pt idx="528">
                  <c:v>1147.236606905574</c:v>
                </c:pt>
                <c:pt idx="529">
                  <c:v>1151.4835727913712</c:v>
                </c:pt>
                <c:pt idx="530">
                  <c:v>1155.7359865844567</c:v>
                </c:pt>
                <c:pt idx="531">
                  <c:v>1159.9938248591779</c:v>
                </c:pt>
                <c:pt idx="532">
                  <c:v>1164.257064231721</c:v>
                </c:pt>
                <c:pt idx="533">
                  <c:v>1168.5256813603935</c:v>
                </c:pt>
                <c:pt idx="534">
                  <c:v>1172.7996529459056</c:v>
                </c:pt>
                <c:pt idx="535">
                  <c:v>1177.0789557316459</c:v>
                </c:pt>
                <c:pt idx="536">
                  <c:v>1181.3635665039553</c:v>
                </c:pt>
                <c:pt idx="537">
                  <c:v>1185.6534620923965</c:v>
                </c:pt>
                <c:pt idx="538">
                  <c:v>1189.9486193700202</c:v>
                </c:pt>
                <c:pt idx="539">
                  <c:v>1194.2490152536291</c:v>
                </c:pt>
                <c:pt idx="540">
                  <c:v>1198.554626704037</c:v>
                </c:pt>
                <c:pt idx="541">
                  <c:v>1202.865430726325</c:v>
                </c:pt>
                <c:pt idx="542">
                  <c:v>1207.1814043700949</c:v>
                </c:pt>
                <c:pt idx="543">
                  <c:v>1211.5025247297187</c:v>
                </c:pt>
                <c:pt idx="544">
                  <c:v>1215.8287689445851</c:v>
                </c:pt>
                <c:pt idx="545">
                  <c:v>1220.1601141993422</c:v>
                </c:pt>
                <c:pt idx="546">
                  <c:v>1224.4965377241372</c:v>
                </c:pt>
                <c:pt idx="547">
                  <c:v>1228.8380167948528</c:v>
                </c:pt>
                <c:pt idx="548">
                  <c:v>1233.1845287333408</c:v>
                </c:pt>
                <c:pt idx="549">
                  <c:v>1237.5360509076511</c:v>
                </c:pt>
                <c:pt idx="550">
                  <c:v>1241.8925598713304</c:v>
                </c:pt>
                <c:pt idx="551">
                  <c:v>1246.2540293546463</c:v>
                </c:pt>
                <c:pt idx="552">
                  <c:v>1250.6204311316455</c:v>
                </c:pt>
                <c:pt idx="553">
                  <c:v>1254.9917370353176</c:v>
                </c:pt>
                <c:pt idx="554">
                  <c:v>1259.3679189578802</c:v>
                </c:pt>
                <c:pt idx="555">
                  <c:v>1263.748948851061</c:v>
                </c:pt>
                <c:pt idx="556">
                  <c:v>1268.1347987263732</c:v>
                </c:pt>
                <c:pt idx="557">
                  <c:v>1272.5254406553881</c:v>
                </c:pt>
                <c:pt idx="558">
                  <c:v>1276.9208467700021</c:v>
                </c:pt>
                <c:pt idx="559">
                  <c:v>1281.3209892626992</c:v>
                </c:pt>
                <c:pt idx="560">
                  <c:v>1285.7258403868098</c:v>
                </c:pt>
                <c:pt idx="561">
                  <c:v>1290.1353724567632</c:v>
                </c:pt>
                <c:pt idx="562">
                  <c:v>1294.5495578483381</c:v>
                </c:pt>
                <c:pt idx="563">
                  <c:v>1298.9683689989056</c:v>
                </c:pt>
                <c:pt idx="564">
                  <c:v>1303.3917784076702</c:v>
                </c:pt>
                <c:pt idx="565">
                  <c:v>1307.8197586359056</c:v>
                </c:pt>
                <c:pt idx="566">
                  <c:v>1312.2522823071847</c:v>
                </c:pt>
                <c:pt idx="567">
                  <c:v>1316.6893221076075</c:v>
                </c:pt>
                <c:pt idx="568">
                  <c:v>1321.1308507860231</c:v>
                </c:pt>
                <c:pt idx="569">
                  <c:v>1325.5768411542472</c:v>
                </c:pt>
                <c:pt idx="570">
                  <c:v>1330.0272660872765</c:v>
                </c:pt>
                <c:pt idx="571">
                  <c:v>1334.4820985234974</c:v>
                </c:pt>
                <c:pt idx="572">
                  <c:v>1338.9413114648905</c:v>
                </c:pt>
                <c:pt idx="573">
                  <c:v>1343.4048779772327</c:v>
                </c:pt>
                <c:pt idx="574">
                  <c:v>1347.8727711902918</c:v>
                </c:pt>
                <c:pt idx="575">
                  <c:v>1352.3449642980199</c:v>
                </c:pt>
                <c:pt idx="576">
                  <c:v>1356.821430558741</c:v>
                </c:pt>
                <c:pt idx="577">
                  <c:v>1361.302143295334</c:v>
                </c:pt>
                <c:pt idx="578">
                  <c:v>1365.7870758954132</c:v>
                </c:pt>
                <c:pt idx="579">
                  <c:v>1370.2762018115031</c:v>
                </c:pt>
                <c:pt idx="580">
                  <c:v>1374.7694945612095</c:v>
                </c:pt>
                <c:pt idx="581">
                  <c:v>1379.2669277273867</c:v>
                </c:pt>
                <c:pt idx="582">
                  <c:v>1383.7684749583009</c:v>
                </c:pt>
                <c:pt idx="583">
                  <c:v>1388.2741099677883</c:v>
                </c:pt>
                <c:pt idx="584">
                  <c:v>1392.7838065354108</c:v>
                </c:pt>
                <c:pt idx="585">
                  <c:v>1397.2975385066063</c:v>
                </c:pt>
                <c:pt idx="586">
                  <c:v>1401.8152797928358</c:v>
                </c:pt>
                <c:pt idx="587">
                  <c:v>1406.3370043717262</c:v>
                </c:pt>
                <c:pt idx="588">
                  <c:v>1410.8626862872093</c:v>
                </c:pt>
                <c:pt idx="589">
                  <c:v>1415.3922996496569</c:v>
                </c:pt>
                <c:pt idx="590">
                  <c:v>1419.9258186360116</c:v>
                </c:pt>
                <c:pt idx="591">
                  <c:v>1424.4632174899143</c:v>
                </c:pt>
                <c:pt idx="592">
                  <c:v>1429.0044705218277</c:v>
                </c:pt>
                <c:pt idx="593">
                  <c:v>1433.5495521091552</c:v>
                </c:pt>
                <c:pt idx="594">
                  <c:v>1438.0984366963576</c:v>
                </c:pt>
                <c:pt idx="595">
                  <c:v>1442.6510987950642</c:v>
                </c:pt>
                <c:pt idx="596">
                  <c:v>1447.2075129841814</c:v>
                </c:pt>
                <c:pt idx="597">
                  <c:v>1451.7676539099978</c:v>
                </c:pt>
                <c:pt idx="598">
                  <c:v>1456.3314962862835</c:v>
                </c:pt>
                <c:pt idx="599">
                  <c:v>1460.8990148943885</c:v>
                </c:pt>
                <c:pt idx="600">
                  <c:v>1465.4701845833358</c:v>
                </c:pt>
                <c:pt idx="601">
                  <c:v>1470.0449802699109</c:v>
                </c:pt>
                <c:pt idx="602">
                  <c:v>1474.6233769387484</c:v>
                </c:pt>
                <c:pt idx="603">
                  <c:v>1479.2053496424144</c:v>
                </c:pt>
                <c:pt idx="604">
                  <c:v>1483.790873501486</c:v>
                </c:pt>
                <c:pt idx="605">
                  <c:v>1488.3799237046262</c:v>
                </c:pt>
                <c:pt idx="606">
                  <c:v>1492.9724755086563</c:v>
                </c:pt>
                <c:pt idx="607">
                  <c:v>1497.5685042386249</c:v>
                </c:pt>
                <c:pt idx="608">
                  <c:v>1502.1679852878722</c:v>
                </c:pt>
                <c:pt idx="609">
                  <c:v>1506.7708941180924</c:v>
                </c:pt>
                <c:pt idx="610">
                  <c:v>1511.3772062593919</c:v>
                </c:pt>
                <c:pt idx="611">
                  <c:v>1515.9868973103435</c:v>
                </c:pt>
                <c:pt idx="612">
                  <c:v>1520.5999351731589</c:v>
                </c:pt>
                <c:pt idx="613">
                  <c:v>1525.2162800738031</c:v>
                </c:pt>
                <c:pt idx="614">
                  <c:v>1529.8358923470571</c:v>
                </c:pt>
                <c:pt idx="615">
                  <c:v>1534.4587324366953</c:v>
                </c:pt>
                <c:pt idx="616">
                  <c:v>1539.0847608956549</c:v>
                </c:pt>
                <c:pt idx="617">
                  <c:v>1543.7139383861982</c:v>
                </c:pt>
                <c:pt idx="618">
                  <c:v>1548.346225680066</c:v>
                </c:pt>
                <c:pt idx="619">
                  <c:v>1552.9815836586254</c:v>
                </c:pt>
                <c:pt idx="620">
                  <c:v>1557.6199733130065</c:v>
                </c:pt>
                <c:pt idx="621">
                  <c:v>1562.2613557442355</c:v>
                </c:pt>
                <c:pt idx="622">
                  <c:v>1566.9056921633571</c:v>
                </c:pt>
                <c:pt idx="623">
                  <c:v>1571.5529438915514</c:v>
                </c:pt>
                <c:pt idx="624">
                  <c:v>1576.2030723602422</c:v>
                </c:pt>
                <c:pt idx="625">
                  <c:v>1580.8560391111987</c:v>
                </c:pt>
                <c:pt idx="626">
                  <c:v>1585.5118057966297</c:v>
                </c:pt>
                <c:pt idx="627">
                  <c:v>1590.1703341792706</c:v>
                </c:pt>
                <c:pt idx="628">
                  <c:v>1594.8315861324634</c:v>
                </c:pt>
                <c:pt idx="629">
                  <c:v>1599.4955236402293</c:v>
                </c:pt>
                <c:pt idx="630">
                  <c:v>1604.1621087973347</c:v>
                </c:pt>
                <c:pt idx="631">
                  <c:v>1608.8313038093495</c:v>
                </c:pt>
                <c:pt idx="632">
                  <c:v>1613.5030709926998</c:v>
                </c:pt>
                <c:pt idx="633">
                  <c:v>1618.1773727747125</c:v>
                </c:pt>
                <c:pt idx="634">
                  <c:v>1622.8541716936541</c:v>
                </c:pt>
                <c:pt idx="635">
                  <c:v>1627.533430398762</c:v>
                </c:pt>
                <c:pt idx="636">
                  <c:v>1632.2151116502698</c:v>
                </c:pt>
                <c:pt idx="637">
                  <c:v>1636.8991783194258</c:v>
                </c:pt>
                <c:pt idx="638">
                  <c:v>1641.585593388505</c:v>
                </c:pt>
                <c:pt idx="639">
                  <c:v>1646.2743199508143</c:v>
                </c:pt>
                <c:pt idx="640">
                  <c:v>1650.9653212106923</c:v>
                </c:pt>
                <c:pt idx="641">
                  <c:v>1655.6585604835018</c:v>
                </c:pt>
                <c:pt idx="642">
                  <c:v>1660.3540011956165</c:v>
                </c:pt>
                <c:pt idx="643">
                  <c:v>1665.0516068844017</c:v>
                </c:pt>
                <c:pt idx="644">
                  <c:v>1669.7513411981884</c:v>
                </c:pt>
                <c:pt idx="645">
                  <c:v>1674.4531678962412</c:v>
                </c:pt>
                <c:pt idx="646">
                  <c:v>1679.1570291578726</c:v>
                </c:pt>
                <c:pt idx="647">
                  <c:v>1683.8628432339594</c:v>
                </c:pt>
                <c:pt idx="648">
                  <c:v>1688.5705262090426</c:v>
                </c:pt>
                <c:pt idx="649">
                  <c:v>1693.2799944213464</c:v>
                </c:pt>
                <c:pt idx="650">
                  <c:v>1697.9911644633837</c:v>
                </c:pt>
                <c:pt idx="651">
                  <c:v>1702.7039531825299</c:v>
                </c:pt>
                <c:pt idx="652">
                  <c:v>1707.4182776815646</c:v>
                </c:pt>
                <c:pt idx="653">
                  <c:v>1712.1340553191853</c:v>
                </c:pt>
                <c:pt idx="654">
                  <c:v>1716.8512037104879</c:v>
                </c:pt>
                <c:pt idx="655">
                  <c:v>1721.5696407274193</c:v>
                </c:pt>
                <c:pt idx="656">
                  <c:v>1726.2892844991993</c:v>
                </c:pt>
                <c:pt idx="657">
                  <c:v>1731.0100534127134</c:v>
                </c:pt>
                <c:pt idx="658">
                  <c:v>1735.7318661128763</c:v>
                </c:pt>
                <c:pt idx="659">
                  <c:v>1740.4546415029665</c:v>
                </c:pt>
                <c:pt idx="660">
                  <c:v>1745.1782987449333</c:v>
                </c:pt>
                <c:pt idx="661">
                  <c:v>1749.9027572596744</c:v>
                </c:pt>
                <c:pt idx="662">
                  <c:v>1754.6279367272862</c:v>
                </c:pt>
                <c:pt idx="663">
                  <c:v>1759.3537570872866</c:v>
                </c:pt>
                <c:pt idx="664">
                  <c:v>1764.0801385388104</c:v>
                </c:pt>
                <c:pt idx="665">
                  <c:v>1768.8070015407779</c:v>
                </c:pt>
                <c:pt idx="666">
                  <c:v>1773.5342206694606</c:v>
                </c:pt>
                <c:pt idx="667">
                  <c:v>1778.2616132276048</c:v>
                </c:pt>
                <c:pt idx="668">
                  <c:v>1782.9889855815914</c:v>
                </c:pt>
                <c:pt idx="669">
                  <c:v>1787.7161447490867</c:v>
                </c:pt>
                <c:pt idx="670">
                  <c:v>1792.4428984032154</c:v>
                </c:pt>
                <c:pt idx="671">
                  <c:v>1797.1690548765664</c:v>
                </c:pt>
                <c:pt idx="672">
                  <c:v>1801.8944231650332</c:v>
                </c:pt>
                <c:pt idx="673">
                  <c:v>1806.6188129314903</c:v>
                </c:pt>
                <c:pt idx="674">
                  <c:v>1811.3420345093059</c:v>
                </c:pt>
                <c:pt idx="675">
                  <c:v>1816.0638989056954</c:v>
                </c:pt>
                <c:pt idx="676">
                  <c:v>1820.7842178049143</c:v>
                </c:pt>
                <c:pt idx="677">
                  <c:v>1825.5028035712933</c:v>
                </c:pt>
                <c:pt idx="678">
                  <c:v>1830.2194692521184</c:v>
                </c:pt>
                <c:pt idx="679">
                  <c:v>1834.9340285803555</c:v>
                </c:pt>
                <c:pt idx="680">
                  <c:v>1839.6462959772227</c:v>
                </c:pt>
                <c:pt idx="681">
                  <c:v>1844.3560865546121</c:v>
                </c:pt>
                <c:pt idx="682">
                  <c:v>1849.0632161173617</c:v>
                </c:pt>
                <c:pt idx="683">
                  <c:v>1853.7675011653796</c:v>
                </c:pt>
                <c:pt idx="684">
                  <c:v>1858.4687588956242</c:v>
                </c:pt>
                <c:pt idx="685">
                  <c:v>1863.1668072039381</c:v>
                </c:pt>
                <c:pt idx="686">
                  <c:v>1867.8614646867418</c:v>
                </c:pt>
                <c:pt idx="687">
                  <c:v>1872.5525506425863</c:v>
                </c:pt>
                <c:pt idx="688">
                  <c:v>1877.2398850735674</c:v>
                </c:pt>
                <c:pt idx="689">
                  <c:v>1881.923288686603</c:v>
                </c:pt>
                <c:pt idx="690">
                  <c:v>1886.6025828945765</c:v>
                </c:pt>
                <c:pt idx="691">
                  <c:v>1891.2775898173466</c:v>
                </c:pt>
                <c:pt idx="692">
                  <c:v>1895.9481322826264</c:v>
                </c:pt>
                <c:pt idx="693">
                  <c:v>1900.6140338267332</c:v>
                </c:pt>
                <c:pt idx="694">
                  <c:v>1905.2751186952112</c:v>
                </c:pt>
                <c:pt idx="695">
                  <c:v>1909.9312118433279</c:v>
                </c:pt>
                <c:pt idx="696">
                  <c:v>1914.5821389364492</c:v>
                </c:pt>
                <c:pt idx="697">
                  <c:v>1919.2277263502899</c:v>
                </c:pt>
                <c:pt idx="698">
                  <c:v>1923.8678011710474</c:v>
                </c:pt>
                <c:pt idx="699">
                  <c:v>1928.502191195415</c:v>
                </c:pt>
                <c:pt idx="700">
                  <c:v>1933.1307249304816</c:v>
                </c:pt>
                <c:pt idx="701">
                  <c:v>1937.7532315935155</c:v>
                </c:pt>
                <c:pt idx="702">
                  <c:v>1942.3695411116373</c:v>
                </c:pt>
                <c:pt idx="703">
                  <c:v>1946.979484121382</c:v>
                </c:pt>
                <c:pt idx="704">
                  <c:v>1951.5828919681528</c:v>
                </c:pt>
                <c:pt idx="705">
                  <c:v>1956.1795967055687</c:v>
                </c:pt>
                <c:pt idx="706">
                  <c:v>1960.7694310947068</c:v>
                </c:pt>
                <c:pt idx="707">
                  <c:v>1965.352228603243</c:v>
                </c:pt>
                <c:pt idx="708">
                  <c:v>1969.9278221470358</c:v>
                </c:pt>
                <c:pt idx="709">
                  <c:v>1974.4960327750046</c:v>
                </c:pt>
                <c:pt idx="710">
                  <c:v>1979.0566709858467</c:v>
                </c:pt>
                <c:pt idx="711">
                  <c:v>1983.6095481015711</c:v>
                </c:pt>
                <c:pt idx="712">
                  <c:v>1988.1544762667475</c:v>
                </c:pt>
                <c:pt idx="713">
                  <c:v>1992.691268447624</c:v>
                </c:pt>
                <c:pt idx="714">
                  <c:v>1997.219738431116</c:v>
                </c:pt>
                <c:pt idx="715">
                  <c:v>2001.7397008236669</c:v>
                </c:pt>
                <c:pt idx="716">
                  <c:v>2006.2509710499867</c:v>
                </c:pt>
                <c:pt idx="717">
                  <c:v>2010.7533653516664</c:v>
                </c:pt>
                <c:pt idx="718">
                  <c:v>2015.2467007856737</c:v>
                </c:pt>
                <c:pt idx="719">
                  <c:v>2019.7307952227325</c:v>
                </c:pt>
                <c:pt idx="720">
                  <c:v>2024.2054673455857</c:v>
                </c:pt>
                <c:pt idx="721">
                  <c:v>2028.6705366471483</c:v>
                </c:pt>
                <c:pt idx="722">
                  <c:v>2033.1258234285476</c:v>
                </c:pt>
                <c:pt idx="723">
                  <c:v>2037.5711487970584</c:v>
                </c:pt>
                <c:pt idx="724">
                  <c:v>2042.0063346639308</c:v>
                </c:pt>
                <c:pt idx="725">
                  <c:v>2046.4310439445253</c:v>
                </c:pt>
                <c:pt idx="726">
                  <c:v>2050.8447129579181</c:v>
                </c:pt>
                <c:pt idx="727">
                  <c:v>2055.2470550373146</c:v>
                </c:pt>
                <c:pt idx="728">
                  <c:v>2059.6381274970004</c:v>
                </c:pt>
                <c:pt idx="729">
                  <c:v>2064.0179871897503</c:v>
                </c:pt>
                <c:pt idx="730">
                  <c:v>2068.3866905118221</c:v>
                </c:pt>
                <c:pt idx="731">
                  <c:v>2072.7442934078799</c:v>
                </c:pt>
                <c:pt idx="732">
                  <c:v>2077.0908513758536</c:v>
                </c:pt>
                <c:pt idx="733">
                  <c:v>2081.4264194717302</c:v>
                </c:pt>
                <c:pt idx="734">
                  <c:v>2085.7510523142823</c:v>
                </c:pt>
                <c:pt idx="735">
                  <c:v>2090.0648040897327</c:v>
                </c:pt>
                <c:pt idx="736">
                  <c:v>2094.3677285563563</c:v>
                </c:pt>
                <c:pt idx="737">
                  <c:v>2098.6598790490211</c:v>
                </c:pt>
                <c:pt idx="738">
                  <c:v>2102.9413084836674</c:v>
                </c:pt>
                <c:pt idx="739">
                  <c:v>2107.2120693617289</c:v>
                </c:pt>
                <c:pt idx="740">
                  <c:v>2111.4722137744957</c:v>
                </c:pt>
                <c:pt idx="741">
                  <c:v>2115.721793407417</c:v>
                </c:pt>
                <c:pt idx="742">
                  <c:v>2119.9608595443501</c:v>
                </c:pt>
                <c:pt idx="743">
                  <c:v>2124.189463071752</c:v>
                </c:pt>
                <c:pt idx="744">
                  <c:v>2128.4076544828167</c:v>
                </c:pt>
                <c:pt idx="745">
                  <c:v>2132.6154838815573</c:v>
                </c:pt>
                <c:pt idx="746">
                  <c:v>2136.8130009868364</c:v>
                </c:pt>
                <c:pt idx="747">
                  <c:v>2141.0002551363441</c:v>
                </c:pt>
                <c:pt idx="748">
                  <c:v>2145.1772952905226</c:v>
                </c:pt>
                <c:pt idx="749">
                  <c:v>2149.3441700364424</c:v>
                </c:pt>
                <c:pt idx="750">
                  <c:v>2153.5009275916259</c:v>
                </c:pt>
                <c:pt idx="751">
                  <c:v>2157.6476158078253</c:v>
                </c:pt>
                <c:pt idx="752">
                  <c:v>2161.784282174749</c:v>
                </c:pt>
                <c:pt idx="753">
                  <c:v>2165.9109738237412</c:v>
                </c:pt>
                <c:pt idx="754">
                  <c:v>2170.0277375314145</c:v>
                </c:pt>
                <c:pt idx="755">
                  <c:v>2174.1346197232383</c:v>
                </c:pt>
                <c:pt idx="756">
                  <c:v>2178.2316664770779</c:v>
                </c:pt>
                <c:pt idx="757">
                  <c:v>2182.3189235266918</c:v>
                </c:pt>
                <c:pt idx="758">
                  <c:v>2186.3964362651836</c:v>
                </c:pt>
                <c:pt idx="759">
                  <c:v>2190.4642497484106</c:v>
                </c:pt>
                <c:pt idx="760">
                  <c:v>2194.5224086983499</c:v>
                </c:pt>
                <c:pt idx="761">
                  <c:v>2198.5709575064216</c:v>
                </c:pt>
                <c:pt idx="762">
                  <c:v>2202.6099402367718</c:v>
                </c:pt>
                <c:pt idx="763">
                  <c:v>2206.6394006295127</c:v>
                </c:pt>
                <c:pt idx="764">
                  <c:v>2210.6593821039241</c:v>
                </c:pt>
                <c:pt idx="765">
                  <c:v>2214.6699277616153</c:v>
                </c:pt>
                <c:pt idx="766">
                  <c:v>2218.6710803896453</c:v>
                </c:pt>
                <c:pt idx="767">
                  <c:v>2222.6628824636091</c:v>
                </c:pt>
                <c:pt idx="768">
                  <c:v>2226.6453761506805</c:v>
                </c:pt>
                <c:pt idx="769">
                  <c:v>2230.6186033126228</c:v>
                </c:pt>
                <c:pt idx="770">
                  <c:v>2234.5826055087587</c:v>
                </c:pt>
                <c:pt idx="771">
                  <c:v>2238.537423998906</c:v>
                </c:pt>
                <c:pt idx="772">
                  <c:v>2242.4830997462768</c:v>
                </c:pt>
                <c:pt idx="773">
                  <c:v>2246.4196734203415</c:v>
                </c:pt>
                <c:pt idx="774">
                  <c:v>2250.3471853996589</c:v>
                </c:pt>
                <c:pt idx="775">
                  <c:v>2254.2656757746709</c:v>
                </c:pt>
                <c:pt idx="776">
                  <c:v>2258.175184350463</c:v>
                </c:pt>
                <c:pt idx="777">
                  <c:v>2262.0757506494951</c:v>
                </c:pt>
                <c:pt idx="778">
                  <c:v>2265.967413914294</c:v>
                </c:pt>
                <c:pt idx="779">
                  <c:v>2269.8502131101181</c:v>
                </c:pt>
                <c:pt idx="780">
                  <c:v>2273.7241869275895</c:v>
                </c:pt>
                <c:pt idx="781">
                  <c:v>2277.5893737852925</c:v>
                </c:pt>
                <c:pt idx="782">
                  <c:v>2281.4458118323441</c:v>
                </c:pt>
                <c:pt idx="783">
                  <c:v>2285.2935389509312</c:v>
                </c:pt>
                <c:pt idx="784">
                  <c:v>2289.1325927588205</c:v>
                </c:pt>
                <c:pt idx="785">
                  <c:v>2292.963010611837</c:v>
                </c:pt>
                <c:pt idx="786">
                  <c:v>2296.7848296063144</c:v>
                </c:pt>
                <c:pt idx="787">
                  <c:v>2300.598086581515</c:v>
                </c:pt>
                <c:pt idx="788">
                  <c:v>2304.4028181220233</c:v>
                </c:pt>
                <c:pt idx="789">
                  <c:v>2308.1990605601109</c:v>
                </c:pt>
                <c:pt idx="790">
                  <c:v>2311.9868499780732</c:v>
                </c:pt>
                <c:pt idx="791">
                  <c:v>2315.7662222105396</c:v>
                </c:pt>
                <c:pt idx="792">
                  <c:v>2319.5372128467561</c:v>
                </c:pt>
                <c:pt idx="793">
                  <c:v>2323.2998572328434</c:v>
                </c:pt>
                <c:pt idx="794">
                  <c:v>2327.0541904740267</c:v>
                </c:pt>
                <c:pt idx="795">
                  <c:v>2330.80024743684</c:v>
                </c:pt>
                <c:pt idx="796">
                  <c:v>2334.5380627513077</c:v>
                </c:pt>
                <c:pt idx="797">
                  <c:v>2338.2676708130971</c:v>
                </c:pt>
                <c:pt idx="798">
                  <c:v>2341.9891057856503</c:v>
                </c:pt>
                <c:pt idx="799">
                  <c:v>2345.7024016022879</c:v>
                </c:pt>
                <c:pt idx="800">
                  <c:v>2349.4075919682928</c:v>
                </c:pt>
                <c:pt idx="801">
                  <c:v>2386.0162879586696</c:v>
                </c:pt>
                <c:pt idx="802">
                  <c:v>2421.8358135032677</c:v>
                </c:pt>
                <c:pt idx="803">
                  <c:v>2456.8978243652209</c:v>
                </c:pt>
                <c:pt idx="804">
                  <c:v>2491.231945390608</c:v>
                </c:pt>
                <c:pt idx="805">
                  <c:v>2524.8659427604362</c:v>
                </c:pt>
                <c:pt idx="806">
                  <c:v>2557.825878187748</c:v>
                </c:pt>
                <c:pt idx="807">
                  <c:v>2590.1362472986357</c:v>
                </c:pt>
                <c:pt idx="808">
                  <c:v>2621.8201041170728</c:v>
                </c:pt>
                <c:pt idx="809">
                  <c:v>2652.8991733056678</c:v>
                </c:pt>
                <c:pt idx="810">
                  <c:v>2683.3939515886545</c:v>
                </c:pt>
                <c:pt idx="811">
                  <c:v>2713.3237995923714</c:v>
                </c:pt>
                <c:pt idx="812">
                  <c:v>2742.7070251762207</c:v>
                </c:pt>
                <c:pt idx="813">
                  <c:v>2771.5609591888488</c:v>
                </c:pt>
                <c:pt idx="814">
                  <c:v>2799.9020244660892</c:v>
                </c:pt>
                <c:pt idx="815">
                  <c:v>2827.7457987858625</c:v>
                </c:pt>
                <c:pt idx="816">
                  <c:v>2855.1070724080541</c:v>
                </c:pt>
                <c:pt idx="817">
                  <c:v>2881.9999007521892</c:v>
                </c:pt>
                <c:pt idx="818">
                  <c:v>2908.4376527006903</c:v>
                </c:pt>
                <c:pt idx="819">
                  <c:v>2934.4330549590886</c:v>
                </c:pt>
                <c:pt idx="820">
                  <c:v>2959.9982328555111</c:v>
                </c:pt>
                <c:pt idx="821">
                  <c:v>2985.1447479190124</c:v>
                </c:pt>
                <c:pt idx="822">
                  <c:v>3009.883632538963</c:v>
                </c:pt>
                <c:pt idx="823">
                  <c:v>3034.2254219749852</c:v>
                </c:pt>
                <c:pt idx="824">
                  <c:v>3058.1801839582145</c:v>
                </c:pt>
                <c:pt idx="825">
                  <c:v>3081.7575460994044</c:v>
                </c:pt>
                <c:pt idx="826">
                  <c:v>3104.9667212971258</c:v>
                </c:pt>
                <c:pt idx="827">
                  <c:v>3127.8165313196432</c:v>
                </c:pt>
                <c:pt idx="828">
                  <c:v>3150.3154287166549</c:v>
                </c:pt>
                <c:pt idx="829">
                  <c:v>3172.4715172016399</c:v>
                </c:pt>
                <c:pt idx="830">
                  <c:v>3194.2925706318615</c:v>
                </c:pt>
                <c:pt idx="831">
                  <c:v>3215.7860507008668</c:v>
                </c:pt>
                <c:pt idx="832">
                  <c:v>3236.9591234474628</c:v>
                </c:pt>
                <c:pt idx="833">
                  <c:v>3257.8186746754259</c:v>
                </c:pt>
                <c:pt idx="834">
                  <c:v>3278.3713243695347</c:v>
                </c:pt>
                <c:pt idx="835">
                  <c:v>3298.6234401857264</c:v>
                </c:pt>
                <c:pt idx="836">
                  <c:v>3318.5811500862096</c:v>
                </c:pt>
                <c:pt idx="837">
                  <c:v>3338.2503541840883</c:v>
                </c:pt>
                <c:pt idx="838">
                  <c:v>3357.6367358564203</c:v>
                </c:pt>
                <c:pt idx="839">
                  <c:v>3376.7457721795436</c:v>
                </c:pt>
                <c:pt idx="840">
                  <c:v>3395.5827437359239</c:v>
                </c:pt>
                <c:pt idx="841">
                  <c:v>3414.1527438376265</c:v>
                </c:pt>
                <c:pt idx="842">
                  <c:v>3432.4606872077757</c:v>
                </c:pt>
                <c:pt idx="843">
                  <c:v>3450.5113181579618</c:v>
                </c:pt>
                <c:pt idx="844">
                  <c:v>3468.309218296482</c:v>
                </c:pt>
                <c:pt idx="845">
                  <c:v>3485.8588137995002</c:v>
                </c:pt>
                <c:pt idx="846">
                  <c:v>3503.1643822746723</c:v>
                </c:pt>
                <c:pt idx="847">
                  <c:v>3520.2300592444685</c:v>
                </c:pt>
                <c:pt idx="848">
                  <c:v>3537.0598442743135</c:v>
                </c:pt>
                <c:pt idx="849">
                  <c:v>3553.6576067687465</c:v>
                </c:pt>
                <c:pt idx="850">
                  <c:v>3570.0270914570419</c:v>
                </c:pt>
                <c:pt idx="851">
                  <c:v>3586.171923588131</c:v>
                </c:pt>
                <c:pt idx="852">
                  <c:v>3602.0956138531906</c:v>
                </c:pt>
                <c:pt idx="853">
                  <c:v>3617.8015630529235</c:v>
                </c:pt>
                <c:pt idx="854">
                  <c:v>3633.2930665253189</c:v>
                </c:pt>
                <c:pt idx="855">
                  <c:v>3648.5733183485513</c:v>
                </c:pt>
                <c:pt idx="856">
                  <c:v>3663.6454153326313</c:v>
                </c:pt>
                <c:pt idx="857">
                  <c:v>3678.5123608124727</c:v>
                </c:pt>
                <c:pt idx="858">
                  <c:v>3693.1770682541546</c:v>
                </c:pt>
                <c:pt idx="859">
                  <c:v>3707.6423646853455</c:v>
                </c:pt>
                <c:pt idx="860">
                  <c:v>3721.910993960118</c:v>
                </c:pt>
                <c:pt idx="861">
                  <c:v>3735.9856198676812</c:v>
                </c:pt>
                <c:pt idx="862">
                  <c:v>3749.8688290939313</c:v>
                </c:pt>
                <c:pt idx="863">
                  <c:v>3763.5631340441259</c:v>
                </c:pt>
                <c:pt idx="864">
                  <c:v>3777.0709755344478</c:v>
                </c:pt>
                <c:pt idx="865">
                  <c:v>3790.3947253597189</c:v>
                </c:pt>
                <c:pt idx="866">
                  <c:v>3803.5366887440559</c:v>
                </c:pt>
                <c:pt idx="867">
                  <c:v>3816.4991066808348</c:v>
                </c:pt>
                <c:pt idx="868">
                  <c:v>3829.2841581679168</c:v>
                </c:pt>
                <c:pt idx="869">
                  <c:v>3841.8939623437332</c:v>
                </c:pt>
                <c:pt idx="870">
                  <c:v>3854.3305805294644</c:v>
                </c:pt>
                <c:pt idx="871">
                  <c:v>3866.5960181822388</c:v>
                </c:pt>
                <c:pt idx="872">
                  <c:v>3878.6922267639711</c:v>
                </c:pt>
                <c:pt idx="873">
                  <c:v>3890.6211055301851</c:v>
                </c:pt>
                <c:pt idx="874">
                  <c:v>3902.3845032429067</c:v>
                </c:pt>
                <c:pt idx="875">
                  <c:v>3913.9842198114666</c:v>
                </c:pt>
                <c:pt idx="876">
                  <c:v>3925.422007864835</c:v>
                </c:pt>
                <c:pt idx="877">
                  <c:v>3936.6995742588947</c:v>
                </c:pt>
                <c:pt idx="878">
                  <c:v>3947.8185815218608</c:v>
                </c:pt>
                <c:pt idx="879">
                  <c:v>3958.7806492408799</c:v>
                </c:pt>
                <c:pt idx="880">
                  <c:v>3969.5873553926644</c:v>
                </c:pt>
                <c:pt idx="881">
                  <c:v>3980.2402376208565</c:v>
                </c:pt>
                <c:pt idx="882">
                  <c:v>3990.7407944626716</c:v>
                </c:pt>
                <c:pt idx="883">
                  <c:v>4001.0904865272264</c:v>
                </c:pt>
                <c:pt idx="884">
                  <c:v>4011.2907376278263</c:v>
                </c:pt>
                <c:pt idx="885">
                  <c:v>4021.3429358703661</c:v>
                </c:pt>
                <c:pt idx="886">
                  <c:v>4031.2484346998776</c:v>
                </c:pt>
                <c:pt idx="887">
                  <c:v>4041.0085539071551</c:v>
                </c:pt>
                <c:pt idx="888">
                  <c:v>4050.6245805972849</c:v>
                </c:pt>
                <c:pt idx="889">
                  <c:v>4060.097770121808</c:v>
                </c:pt>
                <c:pt idx="890">
                  <c:v>4069.4293469761615</c:v>
                </c:pt>
                <c:pt idx="891">
                  <c:v>4078.6205056639528</c:v>
                </c:pt>
                <c:pt idx="892">
                  <c:v>4087.6724115295469</c:v>
                </c:pt>
                <c:pt idx="893">
                  <c:v>4096.5862015603707</c:v>
                </c:pt>
                <c:pt idx="894">
                  <c:v>4105.3629851602682</c:v>
                </c:pt>
                <c:pt idx="895">
                  <c:v>4114.0038448951764</c:v>
                </c:pt>
                <c:pt idx="896">
                  <c:v>4122.5098372123248</c:v>
                </c:pt>
                <c:pt idx="897">
                  <c:v>4130.8819931341131</c:v>
                </c:pt>
                <c:pt idx="898">
                  <c:v>4139.1213189277541</c:v>
                </c:pt>
                <c:pt idx="899">
                  <c:v>4147.2287967517286</c:v>
                </c:pt>
                <c:pt idx="900">
                  <c:v>4155.2053852800418</c:v>
                </c:pt>
                <c:pt idx="901">
                  <c:v>4163.0520203052301</c:v>
                </c:pt>
                <c:pt idx="902">
                  <c:v>4170.7696153210236</c:v>
                </c:pt>
                <c:pt idx="903">
                  <c:v>4178.3590620855284</c:v>
                </c:pt>
                <c:pt idx="904">
                  <c:v>4185.8212311657508</c:v>
                </c:pt>
                <c:pt idx="905">
                  <c:v>4193.1569724642522</c:v>
                </c:pt>
                <c:pt idx="906">
                  <c:v>4200.367115728699</c:v>
                </c:pt>
                <c:pt idx="907">
                  <c:v>4207.4524710450178</c:v>
                </c:pt>
                <c:pt idx="908">
                  <c:v>4214.413829314859</c:v>
                </c:pt>
                <c:pt idx="909">
                  <c:v>4221.2519627180282</c:v>
                </c:pt>
                <c:pt idx="910">
                  <c:v>4227.9676251605269</c:v>
                </c:pt>
                <c:pt idx="911">
                  <c:v>4234.5615527088139</c:v>
                </c:pt>
                <c:pt idx="912">
                  <c:v>4241.0344640108742</c:v>
                </c:pt>
                <c:pt idx="913">
                  <c:v>4247.3870607046692</c:v>
                </c:pt>
                <c:pt idx="914">
                  <c:v>4253.6200278145116</c:v>
                </c:pt>
                <c:pt idx="915">
                  <c:v>4259.734034135884</c:v>
                </c:pt>
                <c:pt idx="916">
                  <c:v>4265.7297326092248</c:v>
                </c:pt>
                <c:pt idx="917">
                  <c:v>4271.6077606831623</c:v>
                </c:pt>
                <c:pt idx="918">
                  <c:v>4277.3687406676718</c:v>
                </c:pt>
                <c:pt idx="919">
                  <c:v>4283.0132800776228</c:v>
                </c:pt>
                <c:pt idx="920">
                  <c:v>4288.5419719671536</c:v>
                </c:pt>
                <c:pt idx="921">
                  <c:v>4293.955395255316</c:v>
                </c:pt>
                <c:pt idx="922">
                  <c:v>4299.2541150434026</c:v>
                </c:pt>
                <c:pt idx="923">
                  <c:v>4304.4386829243685</c:v>
                </c:pt>
                <c:pt idx="924">
                  <c:v>4309.5096372847502</c:v>
                </c:pt>
                <c:pt idx="925">
                  <c:v>4314.4675035994605</c:v>
                </c:pt>
                <c:pt idx="926">
                  <c:v>4319.3127947198509</c:v>
                </c:pt>
                <c:pt idx="927">
                  <c:v>4324.0460111554012</c:v>
                </c:pt>
                <c:pt idx="928">
                  <c:v>4328.6676413494097</c:v>
                </c:pt>
                <c:pt idx="929">
                  <c:v>4333.1781619490293</c:v>
                </c:pt>
                <c:pt idx="930">
                  <c:v>4337.5780380700044</c:v>
                </c:pt>
                <c:pt idx="931">
                  <c:v>4341.867723556451</c:v>
                </c:pt>
                <c:pt idx="932">
                  <c:v>4346.0476612360089</c:v>
                </c:pt>
                <c:pt idx="933">
                  <c:v>4350.1182831707056</c:v>
                </c:pt>
                <c:pt idx="934">
                  <c:v>4354.0800109038455</c:v>
                </c:pt>
                <c:pt idx="935">
                  <c:v>4357.9332557032567</c:v>
                </c:pt>
                <c:pt idx="936">
                  <c:v>4361.6784188011943</c:v>
                </c:pt>
                <c:pt idx="937">
                  <c:v>4365.3158916312195</c:v>
                </c:pt>
                <c:pt idx="938">
                  <c:v>4368.8460560623544</c:v>
                </c:pt>
                <c:pt idx="939">
                  <c:v>4372.2692846308082</c:v>
                </c:pt>
                <c:pt idx="940">
                  <c:v>4375.5859407695725</c:v>
                </c:pt>
                <c:pt idx="941">
                  <c:v>4378.7963790361628</c:v>
                </c:pt>
                <c:pt idx="942">
                  <c:v>4381.900945338798</c:v>
                </c:pt>
                <c:pt idx="943">
                  <c:v>4384.8999771612835</c:v>
                </c:pt>
                <c:pt idx="944">
                  <c:v>4387.7938037868644</c:v>
                </c:pt>
                <c:pt idx="945">
                  <c:v>4390.5827465213097</c:v>
                </c:pt>
                <c:pt idx="946">
                  <c:v>4393.267118915478</c:v>
                </c:pt>
                <c:pt idx="947">
                  <c:v>4395.8472269875965</c:v>
                </c:pt>
                <c:pt idx="948">
                  <c:v>4398.3233694454912</c:v>
                </c:pt>
                <c:pt idx="949">
                  <c:v>4400.695837908982</c:v>
                </c:pt>
                <c:pt idx="950">
                  <c:v>4402.9649171326419</c:v>
                </c:pt>
                <c:pt idx="951">
                  <c:v>4405.1308852291195</c:v>
                </c:pt>
                <c:pt idx="952">
                  <c:v>4407.1940138931905</c:v>
                </c:pt>
                <c:pt idx="953">
                  <c:v>4409.1545686266982</c:v>
                </c:pt>
                <c:pt idx="954">
                  <c:v>4411.012808964525</c:v>
                </c:pt>
                <c:pt idx="955">
                  <c:v>4412.7689887017086</c:v>
                </c:pt>
                <c:pt idx="956">
                  <c:v>4414.4233561218034</c:v>
                </c:pt>
                <c:pt idx="957">
                  <c:v>4415.9761542265605</c:v>
                </c:pt>
                <c:pt idx="958">
                  <c:v>4417.4276209669806</c:v>
                </c:pt>
                <c:pt idx="959">
                  <c:v>4418.7779894757587</c:v>
                </c:pt>
                <c:pt idx="960">
                  <c:v>4420.0274883011261</c:v>
                </c:pt>
                <c:pt idx="961">
                  <c:v>4421.1763416420581</c:v>
                </c:pt>
                <c:pt idx="962">
                  <c:v>4422.22476958479</c:v>
                </c:pt>
                <c:pt idx="963">
                  <c:v>4423.1729883405569</c:v>
                </c:pt>
                <c:pt idx="964">
                  <c:v>4424.0212104844441</c:v>
                </c:pt>
                <c:pt idx="965">
                  <c:v>4424.7696451952006</c:v>
                </c:pt>
                <c:pt idx="966">
                  <c:v>4425.4184984958483</c:v>
                </c:pt>
                <c:pt idx="967">
                  <c:v>4425.9679734948777</c:v>
                </c:pt>
                <c:pt idx="968">
                  <c:v>4426.4182706278125</c:v>
                </c:pt>
                <c:pt idx="969">
                  <c:v>4426.7695878988798</c:v>
                </c:pt>
                <c:pt idx="970">
                  <c:v>4427.0221211225125</c:v>
                </c:pt>
                <c:pt idx="971">
                  <c:v>4427.1760641643823</c:v>
                </c:pt>
                <c:pt idx="972">
                  <c:v>4427.2316091816419</c:v>
                </c:pt>
                <c:pt idx="973">
                  <c:v>4427.1889468620366</c:v>
                </c:pt>
                <c:pt idx="974">
                  <c:v>4427.0482666615399</c:v>
                </c:pt>
                <c:pt idx="975">
                  <c:v>4426.8097570401396</c:v>
                </c:pt>
                <c:pt idx="976">
                  <c:v>4426.4736056954134</c:v>
                </c:pt>
                <c:pt idx="977">
                  <c:v>4426.039999793511</c:v>
                </c:pt>
                <c:pt idx="978">
                  <c:v>4425.5091261971666</c:v>
                </c:pt>
                <c:pt idx="979">
                  <c:v>4424.881171690372</c:v>
                </c:pt>
                <c:pt idx="980">
                  <c:v>4424.1563231993368</c:v>
                </c:pt>
                <c:pt idx="981">
                  <c:v>4423.334768009383</c:v>
                </c:pt>
                <c:pt idx="982">
                  <c:v>4422.4166939774168</c:v>
                </c:pt>
                <c:pt idx="983">
                  <c:v>4421.4022897396617</c:v>
                </c:pt>
                <c:pt idx="984">
                  <c:v>4420.2917449143279</c:v>
                </c:pt>
                <c:pt idx="985">
                  <c:v>4419.085250298931</c:v>
                </c:pt>
                <c:pt idx="986">
                  <c:v>4417.7829980619881</c:v>
                </c:pt>
                <c:pt idx="987">
                  <c:v>4416.3851819288539</c:v>
                </c:pt>
                <c:pt idx="988">
                  <c:v>4414.891997361462</c:v>
                </c:pt>
                <c:pt idx="989">
                  <c:v>4413.3036417317971</c:v>
                </c:pt>
                <c:pt idx="990">
                  <c:v>4411.6203144889132</c:v>
                </c:pt>
                <c:pt idx="991">
                  <c:v>4409.8422173193758</c:v>
                </c:pt>
                <c:pt idx="992">
                  <c:v>4407.9695543010057</c:v>
                </c:pt>
                <c:pt idx="993">
                  <c:v>4406.0025320498489</c:v>
                </c:pt>
                <c:pt idx="994">
                  <c:v>4403.9413598603051</c:v>
                </c:pt>
                <c:pt idx="995">
                  <c:v>4401.7862498383874</c:v>
                </c:pt>
                <c:pt idx="996">
                  <c:v>4399.5374170281102</c:v>
                </c:pt>
                <c:pt idx="997">
                  <c:v>4397.1950795310067</c:v>
                </c:pt>
                <c:pt idx="998">
                  <c:v>4394.7594586188234</c:v>
                </c:pt>
                <c:pt idx="999">
                  <c:v>4392.2307788394382</c:v>
                </c:pt>
                <c:pt idx="1000">
                  <c:v>4389.6092681160853</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Pro98-6G Green</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0.04</c:v>
                </c:pt>
                <c:pt idx="2">
                  <c:v>0.08</c:v>
                </c:pt>
                <c:pt idx="3">
                  <c:v>0.20100000000000001</c:v>
                </c:pt>
                <c:pt idx="4">
                  <c:v>0.44700000000000001</c:v>
                </c:pt>
                <c:pt idx="5">
                  <c:v>0.67800000000000005</c:v>
                </c:pt>
                <c:pt idx="6">
                  <c:v>0.75800000000000001</c:v>
                </c:pt>
                <c:pt idx="7">
                  <c:v>0.85299999999999998</c:v>
                </c:pt>
                <c:pt idx="8">
                  <c:v>2.4249999999999998</c:v>
                </c:pt>
                <c:pt idx="9">
                  <c:v>2.52</c:v>
                </c:pt>
                <c:pt idx="10">
                  <c:v>2.7610000000000001</c:v>
                </c:pt>
                <c:pt idx="11">
                  <c:v>3.4340000000000002</c:v>
                </c:pt>
                <c:pt idx="12">
                  <c:v>3.7149999999999999</c:v>
                </c:pt>
                <c:pt idx="13">
                  <c:v>4.077</c:v>
                </c:pt>
                <c:pt idx="14">
                  <c:v>4.96</c:v>
                </c:pt>
                <c:pt idx="15">
                  <c:v>5.492</c:v>
                </c:pt>
                <c:pt idx="16">
                  <c:v>6.1050000000000004</c:v>
                </c:pt>
                <c:pt idx="17">
                  <c:v>6.4459999999999997</c:v>
                </c:pt>
                <c:pt idx="18">
                  <c:v>6.6470000000000002</c:v>
                </c:pt>
                <c:pt idx="19">
                  <c:v>7.0739999999999998</c:v>
                </c:pt>
                <c:pt idx="20">
                  <c:v>7.2389999999999999</c:v>
                </c:pt>
                <c:pt idx="21">
                  <c:v>7.2539999999999996</c:v>
                </c:pt>
                <c:pt idx="22">
                  <c:v>8</c:v>
                </c:pt>
              </c:numCache>
            </c:numRef>
          </c:xVal>
          <c:yVal>
            <c:numRef>
              <c:f>Propu!$B$4:$X$4</c:f>
              <c:numCache>
                <c:formatCode>General</c:formatCode>
                <c:ptCount val="23"/>
                <c:pt idx="0">
                  <c:v>0</c:v>
                </c:pt>
                <c:pt idx="1">
                  <c:v>1382.46</c:v>
                </c:pt>
                <c:pt idx="2">
                  <c:v>1699.1469999999999</c:v>
                </c:pt>
                <c:pt idx="3">
                  <c:v>1781.364</c:v>
                </c:pt>
                <c:pt idx="4">
                  <c:v>1793.5440000000001</c:v>
                </c:pt>
                <c:pt idx="5">
                  <c:v>1820.95</c:v>
                </c:pt>
                <c:pt idx="6">
                  <c:v>1927.527</c:v>
                </c:pt>
                <c:pt idx="7">
                  <c:v>1842.2660000000001</c:v>
                </c:pt>
                <c:pt idx="8">
                  <c:v>2088.9160000000002</c:v>
                </c:pt>
                <c:pt idx="9">
                  <c:v>2180.268</c:v>
                </c:pt>
                <c:pt idx="10">
                  <c:v>2198.538</c:v>
                </c:pt>
                <c:pt idx="11">
                  <c:v>2213.7640000000001</c:v>
                </c:pt>
                <c:pt idx="12">
                  <c:v>2268.5749999999998</c:v>
                </c:pt>
                <c:pt idx="13">
                  <c:v>2299.0259999999998</c:v>
                </c:pt>
                <c:pt idx="14">
                  <c:v>2238.1239999999998</c:v>
                </c:pt>
                <c:pt idx="15">
                  <c:v>2161.998</c:v>
                </c:pt>
                <c:pt idx="16">
                  <c:v>2024.97</c:v>
                </c:pt>
                <c:pt idx="17">
                  <c:v>1878.806</c:v>
                </c:pt>
                <c:pt idx="18">
                  <c:v>1668.6969999999999</c:v>
                </c:pt>
                <c:pt idx="19">
                  <c:v>602.923</c:v>
                </c:pt>
                <c:pt idx="20">
                  <c:v>140.07300000000001</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Abaco!$K$43:$K$51</c:f>
              <c:numCache>
                <c:formatCode>General" m/s"</c:formatCode>
                <c:ptCount val="9"/>
                <c:pt idx="0">
                  <c:v>750.44135799458877</c:v>
                </c:pt>
                <c:pt idx="1">
                  <c:v>719.98870785538782</c:v>
                </c:pt>
                <c:pt idx="2">
                  <c:v>684.61332878593601</c:v>
                </c:pt>
                <c:pt idx="3">
                  <c:v>646.95892473463743</c:v>
                </c:pt>
                <c:pt idx="4">
                  <c:v>609.01842598355972</c:v>
                </c:pt>
                <c:pt idx="5">
                  <c:v>572.09761633058781</c:v>
                </c:pt>
                <c:pt idx="6">
                  <c:v>536.95743831037282</c:v>
                </c:pt>
                <c:pt idx="7">
                  <c:v>503.97909431905691</c:v>
                </c:pt>
                <c:pt idx="8">
                  <c:v>473.29903421558629</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150 mm</c:v>
                </c:pt>
              </c:strCache>
            </c:strRef>
          </c:tx>
          <c:xVal>
            <c:numRef>
              <c:f>Abaco!$D$52:$D$60</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Abaco!$K$52:$K$60</c:f>
              <c:numCache>
                <c:formatCode>General" m/s"</c:formatCode>
                <c:ptCount val="9"/>
                <c:pt idx="0">
                  <c:v>508.37946869817569</c:v>
                </c:pt>
                <c:pt idx="1">
                  <c:v>501.54069817077789</c:v>
                </c:pt>
                <c:pt idx="2">
                  <c:v>492.03960984968347</c:v>
                </c:pt>
                <c:pt idx="3">
                  <c:v>480.00110542320027</c:v>
                </c:pt>
                <c:pt idx="4">
                  <c:v>465.85459904315502</c:v>
                </c:pt>
                <c:pt idx="5">
                  <c:v>450.15213072591223</c:v>
                </c:pt>
                <c:pt idx="6">
                  <c:v>433.44412646564496</c:v>
                </c:pt>
                <c:pt idx="7">
                  <c:v>416.21354863498368</c:v>
                </c:pt>
                <c:pt idx="8">
                  <c:v>398.85119466779827</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225 mm</c:v>
                </c:pt>
              </c:strCache>
            </c:strRef>
          </c:tx>
          <c:xVal>
            <c:numRef>
              <c:f>Abaco!$D$61:$D$69</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Abaco!$K$61:$K$69</c:f>
              <c:numCache>
                <c:formatCode>General" m/s"</c:formatCode>
                <c:ptCount val="9"/>
                <c:pt idx="0">
                  <c:v>340.63356189313731</c:v>
                </c:pt>
                <c:pt idx="1">
                  <c:v>338.66482959554088</c:v>
                </c:pt>
                <c:pt idx="2">
                  <c:v>336.26107152346469</c:v>
                </c:pt>
                <c:pt idx="3">
                  <c:v>333.22250785049795</c:v>
                </c:pt>
                <c:pt idx="4">
                  <c:v>329.4084990038229</c:v>
                </c:pt>
                <c:pt idx="5">
                  <c:v>324.75658574148366</c:v>
                </c:pt>
                <c:pt idx="6">
                  <c:v>319.27698422367445</c:v>
                </c:pt>
                <c:pt idx="7">
                  <c:v>313.03525583132887</c:v>
                </c:pt>
                <c:pt idx="8">
                  <c:v>306.13239445010828</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Abaco!$L$43:$L$51</c:f>
              <c:numCache>
                <c:formatCode>General" m"</c:formatCode>
                <c:ptCount val="9"/>
                <c:pt idx="0">
                  <c:v>7079.0725224484131</c:v>
                </c:pt>
                <c:pt idx="1">
                  <c:v>7357.145168474256</c:v>
                </c:pt>
                <c:pt idx="2">
                  <c:v>7527.9739644588062</c:v>
                </c:pt>
                <c:pt idx="3">
                  <c:v>7605.4283616683151</c:v>
                </c:pt>
                <c:pt idx="4">
                  <c:v>7600.6924225131879</c:v>
                </c:pt>
                <c:pt idx="5">
                  <c:v>7524.257749973779</c:v>
                </c:pt>
                <c:pt idx="6">
                  <c:v>7386.4369166001707</c:v>
                </c:pt>
                <c:pt idx="7">
                  <c:v>7197.3835165987475</c:v>
                </c:pt>
                <c:pt idx="8">
                  <c:v>6966.9478643424263</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150 mm</c:v>
                </c:pt>
              </c:strCache>
            </c:strRef>
          </c:tx>
          <c:xVal>
            <c:numRef>
              <c:f>Abaco!$D$52:$D$60</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Abaco!$L$52:$L$60</c:f>
              <c:numCache>
                <c:formatCode>General" m"</c:formatCode>
                <c:ptCount val="9"/>
                <c:pt idx="0">
                  <c:v>4439.7021490752113</c:v>
                </c:pt>
                <c:pt idx="1">
                  <c:v>4559.7710846772734</c:v>
                </c:pt>
                <c:pt idx="2">
                  <c:v>4641.5622213292372</c:v>
                </c:pt>
                <c:pt idx="3">
                  <c:v>4690.8235181687105</c:v>
                </c:pt>
                <c:pt idx="4">
                  <c:v>4711.034893741511</c:v>
                </c:pt>
                <c:pt idx="5">
                  <c:v>4704.7637865337019</c:v>
                </c:pt>
                <c:pt idx="6">
                  <c:v>4674.2516597028043</c:v>
                </c:pt>
                <c:pt idx="7">
                  <c:v>4621.6662674371146</c:v>
                </c:pt>
                <c:pt idx="8">
                  <c:v>4549.1990126479586</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225 mm</c:v>
                </c:pt>
              </c:strCache>
            </c:strRef>
          </c:tx>
          <c:xVal>
            <c:numRef>
              <c:f>Abaco!$D$61:$D$69</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Abaco!$L$61:$L$69</c:f>
              <c:numCache>
                <c:formatCode>General" m"</c:formatCode>
                <c:ptCount val="9"/>
                <c:pt idx="0">
                  <c:v>2881.8301387204101</c:v>
                </c:pt>
                <c:pt idx="1">
                  <c:v>2931.4421612326987</c:v>
                </c:pt>
                <c:pt idx="2">
                  <c:v>2965.2344022150887</c:v>
                </c:pt>
                <c:pt idx="3">
                  <c:v>2986.2565010021426</c:v>
                </c:pt>
                <c:pt idx="4">
                  <c:v>2996.3162723177693</c:v>
                </c:pt>
                <c:pt idx="5">
                  <c:v>2996.568416412144</c:v>
                </c:pt>
                <c:pt idx="6">
                  <c:v>2987.816006914747</c:v>
                </c:pt>
                <c:pt idx="7">
                  <c:v>2970.6787020208149</c:v>
                </c:pt>
                <c:pt idx="8">
                  <c:v>2945.6890923645415</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98 mm</c:v>
                </c:pt>
              </c:strCache>
            </c:strRef>
          </c:tx>
          <c:xVal>
            <c:numRef>
              <c:f>Abaco!$D$43:$D$51</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Abaco!$M$43:$M$51</c:f>
              <c:numCache>
                <c:formatCode>General" s"</c:formatCode>
                <c:ptCount val="9"/>
                <c:pt idx="0">
                  <c:v>26.350943680826905</c:v>
                </c:pt>
                <c:pt idx="1">
                  <c:v>28.869385856208829</c:v>
                </c:pt>
                <c:pt idx="2">
                  <c:v>30.8555187904098</c:v>
                </c:pt>
                <c:pt idx="3">
                  <c:v>32.427082932672242</c:v>
                </c:pt>
                <c:pt idx="4">
                  <c:v>33.652680996571128</c:v>
                </c:pt>
                <c:pt idx="5">
                  <c:v>34.578784183375078</c:v>
                </c:pt>
                <c:pt idx="6">
                  <c:v>35.240869276636616</c:v>
                </c:pt>
                <c:pt idx="7">
                  <c:v>35.66864789567073</c:v>
                </c:pt>
                <c:pt idx="8">
                  <c:v>35.888689504348982</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150 mm</c:v>
                </c:pt>
              </c:strCache>
            </c:strRef>
          </c:tx>
          <c:xVal>
            <c:numRef>
              <c:f>Abaco!$D$52:$D$60</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Abaco!$M$52:$M$60</c:f>
              <c:numCache>
                <c:formatCode>General" s"</c:formatCode>
                <c:ptCount val="9"/>
                <c:pt idx="0">
                  <c:v>20.039975757275649</c:v>
                </c:pt>
                <c:pt idx="1">
                  <c:v>21.758747643974083</c:v>
                </c:pt>
                <c:pt idx="2">
                  <c:v>23.170851102686676</c:v>
                </c:pt>
                <c:pt idx="3">
                  <c:v>24.353521150000393</c:v>
                </c:pt>
                <c:pt idx="4">
                  <c:v>25.349035144079309</c:v>
                </c:pt>
                <c:pt idx="5">
                  <c:v>26.183501500004809</c:v>
                </c:pt>
                <c:pt idx="6">
                  <c:v>26.874749763941626</c:v>
                </c:pt>
                <c:pt idx="7">
                  <c:v>27.436087634846871</c:v>
                </c:pt>
                <c:pt idx="8">
                  <c:v>27.878257626103139</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225 mm</c:v>
                </c:pt>
              </c:strCache>
            </c:strRef>
          </c:tx>
          <c:xVal>
            <c:numRef>
              <c:f>Abaco!$D$61:$D$69</c:f>
              <c:numCache>
                <c:formatCode>General\ "kg"</c:formatCode>
                <c:ptCount val="9"/>
                <c:pt idx="0">
                  <c:v>13.247999999999999</c:v>
                </c:pt>
                <c:pt idx="1">
                  <c:v>14.936</c:v>
                </c:pt>
                <c:pt idx="2">
                  <c:v>16.623999999999999</c:v>
                </c:pt>
                <c:pt idx="3">
                  <c:v>18.311999999999998</c:v>
                </c:pt>
                <c:pt idx="4">
                  <c:v>20</c:v>
                </c:pt>
                <c:pt idx="5">
                  <c:v>21.688000000000002</c:v>
                </c:pt>
                <c:pt idx="6">
                  <c:v>23.375999999999998</c:v>
                </c:pt>
                <c:pt idx="7">
                  <c:v>25.064</c:v>
                </c:pt>
                <c:pt idx="8">
                  <c:v>26.752000000000002</c:v>
                </c:pt>
              </c:numCache>
            </c:numRef>
          </c:xVal>
          <c:yVal>
            <c:numRef>
              <c:f>Abaco!$M$61:$M$69</c:f>
              <c:numCache>
                <c:formatCode>General" s"</c:formatCode>
                <c:ptCount val="9"/>
                <c:pt idx="0">
                  <c:v>16.031263991664794</c:v>
                </c:pt>
                <c:pt idx="1">
                  <c:v>17.188422945336505</c:v>
                </c:pt>
                <c:pt idx="2">
                  <c:v>18.153061523243984</c:v>
                </c:pt>
                <c:pt idx="3">
                  <c:v>18.980130605777063</c:v>
                </c:pt>
                <c:pt idx="4">
                  <c:v>19.699853279303838</c:v>
                </c:pt>
                <c:pt idx="5">
                  <c:v>20.330386210374229</c:v>
                </c:pt>
                <c:pt idx="6">
                  <c:v>20.883377515347803</c:v>
                </c:pt>
                <c:pt idx="7">
                  <c:v>21.366748827673405</c:v>
                </c:pt>
                <c:pt idx="8">
                  <c:v>21.786205808529168</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700"/>
</file>

<file path=xl/ctrlProps/ctrlProp2.xml><?xml version="1.0" encoding="utf-8"?>
<formControlPr xmlns="http://schemas.microsoft.com/office/spreadsheetml/2009/9/main" objectType="Spin" dx="15" fmlaLink="$C$12" inc="100" max="30000" noThreeD="1" page="10" val="20000"/>
</file>

<file path=xl/ctrlProps/ctrlProp3.xml><?xml version="1.0" encoding="utf-8"?>
<formControlPr xmlns="http://schemas.microsoft.com/office/spreadsheetml/2009/9/main" objectType="Spin" dx="15" fmlaLink="$C$13" inc="50" max="30000" noThreeD="1" page="10" val="1200"/>
</file>

<file path=xl/ctrlProps/ctrlProp4.xml><?xml version="1.0" encoding="utf-8"?>
<formControlPr xmlns="http://schemas.microsoft.com/office/spreadsheetml/2009/9/main" objectType="Spin" dx="15" fmlaLink="$C$24" inc="20" max="30000" noThreeD="1" page="10" val="150"/>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30"/>
</file>

<file path=xl/ctrlProps/ctrlProp7.xml><?xml version="1.0" encoding="utf-8"?>
<formControlPr xmlns="http://schemas.microsoft.com/office/spreadsheetml/2009/9/main" objectType="Spin" dx="15" fmlaLink="$C$30" inc="10" max="30000" noThreeD="1" page="10" val="170"/>
</file>

<file path=xl/ctrlProps/ctrlProp8.xml><?xml version="1.0" encoding="utf-8"?>
<formControlPr xmlns="http://schemas.microsoft.com/office/spreadsheetml/2009/9/main" objectType="Spin" dx="15" fmlaLink="$C$31" inc="10" max="30000" noThreeD="1" page="10" val="150"/>
</file>

<file path=xl/ctrlProps/ctrlProp9.xml><?xml version="1.0" encoding="utf-8"?>
<formControlPr xmlns="http://schemas.microsoft.com/office/spreadsheetml/2009/9/main" objectType="Spin" dx="15" fmlaLink="$C$32" max="30000" noThreeD="1" page="10" val="2"/>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000"/>
</file>

<file path=xl/ctrlProps/ctrlProp12.xml><?xml version="1.0" encoding="utf-8"?>
<formControlPr xmlns="http://schemas.microsoft.com/office/spreadsheetml/2009/9/main" objectType="Spin" dx="15" fmlaLink="$C$12" inc="100" max="30000" noThreeD="1" page="10" val="20000"/>
</file>

<file path=xl/ctrlProps/ctrlProp13.xml><?xml version="1.0" encoding="utf-8"?>
<formControlPr xmlns="http://schemas.microsoft.com/office/spreadsheetml/2009/9/main" objectType="Spin" dx="15" fmlaLink="$C$12" inc="100" max="30000" noThreeD="1" page="10" val="20000"/>
</file>

<file path=xl/ctrlProps/ctrlProp14.xml><?xml version="1.0" encoding="utf-8"?>
<formControlPr xmlns="http://schemas.microsoft.com/office/spreadsheetml/2009/9/main" objectType="Spin" dx="15" fmlaLink="Stabilito!C12" inc="100" max="30000" noThreeD="1" page="10" val="20000"/>
</file>

<file path=xl/ctrlProps/ctrlProp15.xml><?xml version="1.0" encoding="utf-8"?>
<formControlPr xmlns="http://schemas.microsoft.com/office/spreadsheetml/2009/9/main" objectType="Spin" dx="15" fmlaLink="$B$44" inc="50" max="30000" noThreeD="1" page="10" val="249"/>
</file>

<file path=xl/ctrlProps/ctrlProp16.xml><?xml version="1.0" encoding="utf-8"?>
<formControlPr xmlns="http://schemas.microsoft.com/office/spreadsheetml/2009/9/main" objectType="Spin" dx="15" fmlaLink="$B$46" inc="50" max="30000" noThreeD="1" page="10" val="199"/>
</file>

<file path=xl/ctrlProps/ctrlProp17.xml><?xml version="1.0" encoding="utf-8"?>
<formControlPr xmlns="http://schemas.microsoft.com/office/spreadsheetml/2009/9/main" objectType="Spin" dx="15" fmlaLink="$B$52" inc="50" max="30000" noThreeD="1" page="10" val="450"/>
</file>

<file path=xl/ctrlProps/ctrlProp18.xml><?xml version="1.0" encoding="utf-8"?>
<formControlPr xmlns="http://schemas.microsoft.com/office/spreadsheetml/2009/9/main" objectType="Spin" dx="15" fmlaLink="$B$54" inc="5" max="30000" noThreeD="1" page="10" val="50"/>
</file>

<file path=xl/ctrlProps/ctrlProp19.xml><?xml version="1.0" encoding="utf-8"?>
<formControlPr xmlns="http://schemas.microsoft.com/office/spreadsheetml/2009/9/main" objectType="Spin" dx="15" fmlaLink="Stabilito!C12" inc="100" max="30000" noThreeD="1" page="10" val="20000"/>
</file>

<file path=xl/ctrlProps/ctrlProp20.xml><?xml version="1.0" encoding="utf-8"?>
<formControlPr xmlns="http://schemas.microsoft.com/office/spreadsheetml/2009/9/main" objectType="Spin" dx="15" fmlaLink="Stabilito!C12" inc="100" max="30000" noThreeD="1" page="10" val="20000"/>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7325"/>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986790</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72390</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567690</xdr:colOff>
      <xdr:row>9</xdr:row>
      <xdr:rowOff>33655</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4016" y="7984804"/>
          <a:ext cx="1043070" cy="1038342"/>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27704" y="6532016"/>
          <a:ext cx="1469283" cy="1163701"/>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Normal="100" zoomScaleSheetLayoutView="100" workbookViewId="0">
      <selection activeCell="Y24" sqref="Y2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545</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50</v>
      </c>
      <c r="N6" s="555"/>
      <c r="O6" s="575">
        <v>50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f>D_og</f>
        <v>150</v>
      </c>
      <c r="N7" s="555"/>
      <c r="O7" s="575">
        <f>D2j</f>
        <v>300</v>
      </c>
      <c r="P7" s="575"/>
      <c r="Q7" s="29"/>
    </row>
    <row r="8" spans="1:20" ht="12.75" customHeight="1" thickTop="1" x14ac:dyDescent="0.2">
      <c r="A8" s="25"/>
      <c r="B8" s="138" t="str">
        <f>IF(Lang="Français","Nom",IF(Lang="English","Name",""))</f>
        <v>Nom</v>
      </c>
      <c r="C8" s="556"/>
      <c r="D8" s="556"/>
      <c r="E8" s="90"/>
      <c r="K8" s="33"/>
      <c r="L8" s="139" t="str">
        <f>IF(Lang="Français","Diamètre     'D2'",IF(Lang="English","Diameter 'D2'",""))</f>
        <v>Diamètre     'D2'</v>
      </c>
      <c r="M8" s="554">
        <v>300</v>
      </c>
      <c r="N8" s="555"/>
      <c r="O8" s="575">
        <f>D_og</f>
        <v>150</v>
      </c>
      <c r="P8" s="575"/>
      <c r="Q8" s="29"/>
    </row>
    <row r="9" spans="1:20" ht="12.75" customHeight="1" x14ac:dyDescent="0.2">
      <c r="A9" s="25"/>
      <c r="B9" s="138" t="s">
        <v>4</v>
      </c>
      <c r="C9" s="557" t="s">
        <v>572</v>
      </c>
      <c r="D9" s="557"/>
      <c r="E9" s="90"/>
      <c r="K9" s="33"/>
      <c r="L9" s="139" t="str">
        <f>IF(Lang="Français","Implantation 'x'",IF(Lang="English","Basement 'x'",""))</f>
        <v>Implantation 'x'</v>
      </c>
      <c r="M9" s="554">
        <v>1000</v>
      </c>
      <c r="N9" s="555"/>
      <c r="O9" s="575">
        <v>500</v>
      </c>
      <c r="P9" s="575"/>
      <c r="Q9" s="29"/>
    </row>
    <row r="10" spans="1:20" ht="12.75" customHeight="1" x14ac:dyDescent="0.2">
      <c r="A10" s="25"/>
      <c r="B10" s="138" t="s">
        <v>561</v>
      </c>
      <c r="C10" s="537" t="str">
        <f>IF((LEFT(Type_fusee,4)="Mini"),"MF",(IF((RIGHT(Type_fusee,1)="."),"FX","")))</f>
        <v>FX</v>
      </c>
      <c r="D10" s="538"/>
      <c r="E10" s="539" t="str">
        <f>IF(C10="","",C10&amp;D10)</f>
        <v>FX</v>
      </c>
      <c r="K10" s="33"/>
      <c r="Q10" s="29"/>
    </row>
    <row r="11" spans="1:20" ht="12.75" customHeight="1" x14ac:dyDescent="0.2">
      <c r="A11" s="25"/>
      <c r="B11" s="139" t="s">
        <v>54</v>
      </c>
      <c r="C11" s="563" t="s">
        <v>566</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20000</v>
      </c>
      <c r="D12" s="34" t="s">
        <v>567</v>
      </c>
      <c r="L12" s="108" t="str">
        <f>IF(Lang="Français","Masse propu",IF(Lang="English","Motor Mass",""))</f>
        <v>Masse propu</v>
      </c>
      <c r="M12" s="109">
        <f ca="1">MpropuPlein</f>
        <v>13.247999999999999</v>
      </c>
      <c r="N12" s="587">
        <f ca="1">MpropuVide</f>
        <v>4.6639999999999997</v>
      </c>
      <c r="O12" s="588"/>
      <c r="P12" s="110" t="s">
        <v>14</v>
      </c>
      <c r="Q12" s="29"/>
      <c r="S12" s="386" t="str">
        <f>IF(Lang="Français","Haut",IF(Lang="English","Top",""))</f>
        <v>Haut</v>
      </c>
      <c r="T12" s="387">
        <f ca="1">XpropuRef-Long_propu</f>
        <v>990</v>
      </c>
    </row>
    <row r="13" spans="1:20" ht="12.75" customHeight="1" x14ac:dyDescent="0.2">
      <c r="A13" s="25"/>
      <c r="B13" s="139" t="str">
        <f>IF(Lang="Français","Centre de Masse",IF(Lang="English","Center of Mass",""))</f>
        <v>Centre de Masse</v>
      </c>
      <c r="C13" s="35">
        <v>1200</v>
      </c>
      <c r="D13" s="34" t="s">
        <v>567</v>
      </c>
      <c r="L13" s="108" t="str">
        <f>IF(Lang="Français","CdM propu",IF(Lang="English","Motor CoM",""))</f>
        <v>CdM propu</v>
      </c>
      <c r="M13" s="111">
        <f ca="1">XpropuPlein</f>
        <v>505</v>
      </c>
      <c r="N13" s="585">
        <f ca="1">XpropuVide</f>
        <v>505</v>
      </c>
      <c r="O13" s="586"/>
      <c r="P13" s="110" t="s">
        <v>14</v>
      </c>
      <c r="Q13" s="29"/>
      <c r="S13" s="386" t="str">
        <f>IF(Lang="Français","Longueur",IF(Lang="English","Length",""))</f>
        <v>Longueur</v>
      </c>
      <c r="T13" s="387">
        <f ca="1">Long_propu</f>
        <v>1010</v>
      </c>
    </row>
    <row r="14" spans="1:20" ht="12.6" customHeight="1" x14ac:dyDescent="0.2">
      <c r="A14" s="25"/>
      <c r="B14" s="139" t="str">
        <f>IF(Lang="Français","Longueur totale",IF(Lang="English","Total length",""))</f>
        <v>Longueur totale</v>
      </c>
      <c r="C14" s="554">
        <v>2000</v>
      </c>
      <c r="D14" s="555"/>
      <c r="L14" s="108" t="str">
        <f>IF(Lang="Français","Masse fusée",IF(Lang="English","Rocket Mass",""))</f>
        <v>Masse fusée</v>
      </c>
      <c r="M14" s="112">
        <f ca="1">MasseSans+MpropuPlein</f>
        <v>20</v>
      </c>
      <c r="N14" s="567">
        <f ca="1">MasseSans+MpropuVide</f>
        <v>11.416</v>
      </c>
      <c r="O14" s="568"/>
      <c r="P14" s="109">
        <f ca="1">IF(OR(D12="sans propu",D12="without motor"),C12/1000,IF(OR(D12="avec propu vide",D12="with empty motor"),C12/1000-MpropuVide,IF(OR(D12="avec propu plein",D12="with loaded motor"),C12/1000-MpropuPlein,"Erreur")))</f>
        <v>6.7520000000000007</v>
      </c>
      <c r="Q14" s="29"/>
      <c r="S14" s="386" t="str">
        <f>IF(Lang="Français","Bas",IF(Lang="English","Base",""))</f>
        <v>Bas</v>
      </c>
      <c r="T14" s="387">
        <f>XpropuRef</f>
        <v>2000</v>
      </c>
    </row>
    <row r="15" spans="1:20" ht="12.75" customHeight="1" x14ac:dyDescent="0.2">
      <c r="A15" s="25"/>
      <c r="B15" s="139" t="str">
        <f>IF(Lang="Français","Diamètre Réf.",IF(Lang="English","Ref. Diameter",""))</f>
        <v>Diamètre Réf.</v>
      </c>
      <c r="C15" s="554">
        <f>D_og</f>
        <v>150</v>
      </c>
      <c r="D15" s="555"/>
      <c r="L15" s="175" t="str">
        <f>IF(Lang="Français","CdM fusée",IF(Lang="English","Rocket CoM",""))</f>
        <v>CdM fusée</v>
      </c>
      <c r="M15" s="176">
        <f ca="1">(XcgSans*MasseSans+(XpropuRef-Long_propu+XpropuPlein)*MpropuPlein)/MassePlein</f>
        <v>1200</v>
      </c>
      <c r="N15" s="569">
        <f ca="1">(XcgSans*MasseSans+(XpropuRef-Long_propu+XpropuVide)*MpropuVide)/MasseVide</f>
        <v>978.18149964961469</v>
      </c>
      <c r="O15" s="570"/>
      <c r="P15" s="113">
        <f ca="1">IF(OR(D13="sans propu",D13="without motor"),C13,IF(OR(D13="avec propu vide",D13="with empty motor"),(C13*MasseVide-(XpropuRef-Long_propu+XpropuVide)*MpropuVide)/MasseSans,IF(OR(D13="avec propu plein",D13="with loaded motor"),(C13*MassePlein-(XpropuRef-Long_propu+XpropuPlein)*MpropuPlein)/MasseSans,"Erreur")))</f>
        <v>621.18483412322291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1799.65</v>
      </c>
    </row>
    <row r="18" spans="1:20" ht="12.75" customHeight="1" thickTop="1" x14ac:dyDescent="0.2">
      <c r="A18" s="25"/>
      <c r="B18" s="139" t="s">
        <v>54</v>
      </c>
      <c r="C18" s="544" t="s">
        <v>554</v>
      </c>
      <c r="D18" s="545"/>
      <c r="K18" s="37"/>
      <c r="L18" s="108" t="str">
        <f>IF(Lang="Français","Coiffe",IF(Lang="English","Nose Cone",""))</f>
        <v>Coiffe</v>
      </c>
      <c r="M18" s="547">
        <f>IF(LEFT(Forme_ogive,5)="Parab",1/2*Long_ogive,IF(LEFT(Forme_ogive,4)="Ogiv",7/15*Long_ogive,IF(LEFT(Forme_ogive,3)="Con",2/3*Long_ogive)))</f>
        <v>466.66666666666663</v>
      </c>
      <c r="N18" s="548"/>
      <c r="O18" s="546">
        <f>2*POWER(D_og/D_ref, 2)</f>
        <v>2</v>
      </c>
      <c r="P18" s="546"/>
      <c r="Q18" s="29"/>
      <c r="S18" s="386" t="str">
        <f>IF(Lang="Français","Emplanture","Root edge")</f>
        <v>Emplanture</v>
      </c>
      <c r="T18" s="387">
        <f>m_ail</f>
        <v>170</v>
      </c>
    </row>
    <row r="19" spans="1:20" ht="12.75" customHeight="1" x14ac:dyDescent="0.2">
      <c r="A19" s="25"/>
      <c r="B19" s="139" t="str">
        <f>IF(Lang="Français","Position du bas",IF(Lang="English","Basement",""))</f>
        <v>Position du bas</v>
      </c>
      <c r="C19" s="575">
        <f>Long_tot</f>
        <v>2000</v>
      </c>
      <c r="D19" s="575"/>
      <c r="L19" s="108" t="str">
        <f>IF(Lang="Français","Ailerons",IF(Lang="English","Fins",""))</f>
        <v>Ailerons</v>
      </c>
      <c r="M19" s="547">
        <f>(XCpa*Cnail-0.5*XCpi*Cni)/Cnai</f>
        <v>1893.9</v>
      </c>
      <c r="N19" s="548"/>
      <c r="O19" s="549">
        <f>Cnail-Cni/2</f>
        <v>6.9681415404887312</v>
      </c>
      <c r="P19" s="550"/>
      <c r="Q19" s="29"/>
      <c r="S19" s="386" t="str">
        <f>IF(Lang="Français","Bas","Base")</f>
        <v>Bas</v>
      </c>
      <c r="T19" s="387">
        <f>X_ail</f>
        <v>1969.65</v>
      </c>
    </row>
    <row r="20" spans="1:20"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1893.9</v>
      </c>
      <c r="N20" s="548"/>
      <c r="O20" s="546">
        <f>4*Q_ail*POWER((E_ail/D_ref),2)*(1+D_ail/(2*E_ail+D_ail))/(1+SQRT(1+POWER(2*f_ail/(m_ail+n_ail),2)))</f>
        <v>6.9681415404887312</v>
      </c>
      <c r="P20" s="546"/>
      <c r="Q20" s="29"/>
    </row>
    <row r="21" spans="1:20"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0" ht="12.75" customHeight="1" thickTop="1" x14ac:dyDescent="0.2">
      <c r="A22" s="25"/>
      <c r="B22" s="139" t="str">
        <f>IF(Lang="Français","Forme",IF(Lang="English","Shape",""))</f>
        <v>Forme</v>
      </c>
      <c r="C22" s="577" t="s">
        <v>568</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0" ht="12.75" customHeight="1" x14ac:dyDescent="0.2">
      <c r="A23" s="25"/>
      <c r="B23" s="139" t="str">
        <f>IF(Lang="Français","Hauteur",IF(Lang="English","Heigth",""))</f>
        <v>Hauteur</v>
      </c>
      <c r="C23" s="554">
        <v>700</v>
      </c>
      <c r="D23" s="555"/>
      <c r="L23" s="108" t="s">
        <v>156</v>
      </c>
      <c r="M23" s="547">
        <f>IF(OR(RIGHT(Nb_diam,1)=",",D2j=0),0, X_j+l_j/3*(1+1/(1+D1j/D2j)) )</f>
        <v>0</v>
      </c>
      <c r="N23" s="548"/>
      <c r="O23" s="546">
        <f>IF(OR(RIGHT(Nb_diam,1)=",",D2j=0),0,2*(POWER(D2j/D_ref,2)-POWER(D1j/D_ref,2)))</f>
        <v>0</v>
      </c>
      <c r="P23" s="546"/>
      <c r="Q23" s="29"/>
    </row>
    <row r="24" spans="1:20" ht="12.75" customHeight="1" thickBot="1" x14ac:dyDescent="0.25">
      <c r="A24" s="25"/>
      <c r="B24" s="139" t="str">
        <f>IF(Lang="Français","Diamètre",IF(Lang="English","Diameter",""))</f>
        <v>Diamètre</v>
      </c>
      <c r="C24" s="554">
        <v>150</v>
      </c>
      <c r="D24" s="555"/>
      <c r="L24" s="108" t="s">
        <v>157</v>
      </c>
      <c r="M24" s="547">
        <f>IF( OR(RIGHT(Nb_diam,1)=",",D2r=0), 0, X_r+l_r/3*(1+1/(1+D1r/D2r)) )</f>
        <v>0</v>
      </c>
      <c r="N24" s="548"/>
      <c r="O24" s="546">
        <f>IF( OR(RIGHT(Nb_diam,1)=",",D2r=0), 0, 2*(POWER(D2r/D_ref,2)-POWER(D1r/D_ref,2)) )</f>
        <v>0</v>
      </c>
      <c r="P24" s="546"/>
      <c r="Q24" s="29"/>
    </row>
    <row r="25" spans="1:20" ht="12.75" customHeight="1" thickBot="1" x14ac:dyDescent="0.25">
      <c r="A25" s="25"/>
      <c r="E25" s="180" t="s">
        <v>151</v>
      </c>
      <c r="L25" s="38"/>
      <c r="M25" s="38"/>
      <c r="N25" s="38"/>
      <c r="Q25" s="29"/>
      <c r="R25" s="38"/>
      <c r="S25" s="388" t="e">
        <f ca="1">IF(AND(Portee_balistique&gt;200,LEFT(Type_propu,3)="Min"),IF(Lang="Français","Fusée trop lègère !","Rocket too light"),"")</f>
        <v>#N/A</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46087</v>
      </c>
      <c r="G26" s="137" t="s">
        <v>62</v>
      </c>
      <c r="H26" s="541" t="str">
        <f>IF(Lang="Français","Résultats",IF(Lang="English","Results",""))</f>
        <v>Résultats</v>
      </c>
      <c r="I26" s="541"/>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0" ht="12.75" customHeight="1" thickTop="1" x14ac:dyDescent="0.2">
      <c r="A27" s="25"/>
      <c r="B27" s="30"/>
      <c r="C27" s="573" t="s">
        <v>421</v>
      </c>
      <c r="D27" s="574"/>
      <c r="E27" s="146">
        <f>m_ail</f>
        <v>170</v>
      </c>
      <c r="F27" s="105" t="s">
        <v>64</v>
      </c>
      <c r="G27" s="104">
        <f>IF(RIGHT(Type_fusee,1)=".",10, IF(OR(LEFT(Type_fusee,1)="R",LEFT(Type_fusee,1)=",",LEFT(Type_fusee,4)="Mini"),10, IF(LEFT(Type_fusee,5)="Micro",10, IF(RIGHT(Type_fusee,1)=" ",1))))</f>
        <v>10</v>
      </c>
      <c r="H27" s="589">
        <f>Long_tot/D_ref</f>
        <v>13.333333333333334</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170</v>
      </c>
      <c r="D28" s="177">
        <v>70</v>
      </c>
      <c r="E28" s="146">
        <f>n_ail+(m_ail-n_ail)*(1-E_int/E_ail)</f>
        <v>123.33333333333334</v>
      </c>
      <c r="F28" s="105" t="str">
        <f>IF(Lang="Français","Portance","Lift")</f>
        <v>Portance</v>
      </c>
      <c r="G28" s="104">
        <f>IF(RIGHT(Type_fusee,1)=".",15,IF(OR(LEFT(Type_fusee,1)="R",LEFT(Type_fusee,1)=",",LEFT(Type_fusee,4)="Mini"),15, IF(LEFT(Type_fusee,5)="Micro",15, IF(RIGHT(Type_fusee,1)=" ",15))))</f>
        <v>15</v>
      </c>
      <c r="H28" s="508">
        <f>Cnai+Cnc+Cno+Cnj+Cnr</f>
        <v>8.9681415404887304</v>
      </c>
      <c r="I28" s="508">
        <f>Cnail+Cnc+Cno+Cnj+Cnr</f>
        <v>8.9681415404887304</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Ailerons trop petits !</v>
      </c>
    </row>
    <row r="29" spans="1:20" ht="12.75" customHeight="1" x14ac:dyDescent="0.2">
      <c r="A29" s="25"/>
      <c r="B29" s="524" t="str">
        <f>IF(Lang="Français"," Saumon       'n'",IF(Lang="English"," Tip edge    'n'",""))</f>
        <v xml:space="preserve"> Saumon       'n'</v>
      </c>
      <c r="C29" s="35">
        <v>30</v>
      </c>
      <c r="D29" s="35">
        <v>10</v>
      </c>
      <c r="E29" s="146">
        <f>p_ail*E_int/E_ail</f>
        <v>56.666666666666664</v>
      </c>
      <c r="F29" s="515" t="str">
        <f>IF(Lang="Français","MargeStat.","StatMargin")</f>
        <v>MargeStat.</v>
      </c>
      <c r="G29" s="510">
        <f>IF(RIGHT(Type_fusee,1)=".",2, IF(OR(LEFT(Type_fusee,1)="R",LEFT(Type_fusee,1)=",",LEFT(Type_fusee,4)="Mini"),1.5, IF(LEFT(Type_fusee,5)="Micro",1, IF(RIGHT(Type_fusee,1)=" ",1))))</f>
        <v>2</v>
      </c>
      <c r="H29" s="97">
        <f ca="1">(XCp-XcgPlein)/D_ref</f>
        <v>2.5040689742837503</v>
      </c>
      <c r="I29" s="98">
        <f ca="1">(XCp0-XcgVide)/D_ref</f>
        <v>3.9828589766196525</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170</v>
      </c>
      <c r="D30" s="35">
        <v>40</v>
      </c>
      <c r="E30" s="146">
        <f>IF(D_can/2+E_can&lt;=D_ail/2,0, IF(D_can/2+E_can&gt;=D_ail/2+E_ail,E_ail,  D_can/2+E_can - D_ail/2  ) )</f>
        <v>50</v>
      </c>
      <c r="F30" s="516" t="str">
        <f>IF(Lang="Français","Couple","Torque")</f>
        <v>Couple</v>
      </c>
      <c r="G30" s="511">
        <f>IF(RIGHT(Type_fusee,1)=".",40, IF(OR(LEFT(Type_fusee,1)="R",LEFT(Type_fusee,1)=",",LEFT(Type_fusee,4)="Mini"),30, IF(LEFT(Type_fusee,5)="Micro",15, IF(RIGHT(Type_fusee,1)=" ",15))))</f>
        <v>40</v>
      </c>
      <c r="H30" s="99">
        <f ca="1">MS_min*Cn</f>
        <v>22.456844988523109</v>
      </c>
      <c r="I30" s="96">
        <f ca="1">MS_max*Cn0</f>
        <v>35.718843038131141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row>
    <row r="31" spans="1:20" ht="12.75" customHeight="1" x14ac:dyDescent="0.2">
      <c r="A31" s="25"/>
      <c r="B31" s="524" t="str">
        <f>IF(Lang="Français"," Envergure     'E'",IF(Lang="English"," Span          'E'",""))</f>
        <v xml:space="preserve"> Envergure     'E'</v>
      </c>
      <c r="C31" s="35">
        <v>150</v>
      </c>
      <c r="D31" s="35">
        <v>50</v>
      </c>
      <c r="E31" s="146">
        <f>ep_ail</f>
        <v>2</v>
      </c>
      <c r="F31" s="106" t="s">
        <v>55</v>
      </c>
      <c r="G31" s="103"/>
      <c r="H31" s="509">
        <f>(Cnai*XCpai+Cnc*XCpc+Cnj*XCpj+Cnr*XCpr+Cno*XCpo)/(Cnai+Cnc+Cnr+Cnj+Cno)</f>
        <v>1575.6103461425625</v>
      </c>
      <c r="I31" s="509">
        <f>(Cnail*XCpa+Cnc*XCpc+Cnj*XCpj+Cnr*XCpr+Cno*XCpo)/(Cnail+Cnc+Cnr+Cnj+Cno)</f>
        <v>1575.6103461425625</v>
      </c>
      <c r="J31" s="102"/>
      <c r="K31" s="32"/>
      <c r="Q31" s="29"/>
      <c r="R31" s="38"/>
      <c r="S31" s="388"/>
    </row>
    <row r="32" spans="1:20" ht="12.75" customHeight="1" x14ac:dyDescent="0.2">
      <c r="A32" s="25"/>
      <c r="B32" s="525" t="str">
        <f>IF(Lang="Français"," Epaisseur     'ep'",IF(Lang="English"," Thickness  'ep'",""))</f>
        <v xml:space="preserve"> Epaisseur     'ep'</v>
      </c>
      <c r="C32" s="35">
        <v>2</v>
      </c>
      <c r="D32" s="35">
        <v>2</v>
      </c>
      <c r="E32" s="146">
        <f>IF(Q_ail=Q_can,Q_ail,FALSE)</f>
        <v>4</v>
      </c>
      <c r="F32" s="106" t="s">
        <v>66</v>
      </c>
      <c r="G32" s="103"/>
      <c r="H32" s="100">
        <f ca="1">(XCp-XcgPlein)/Long_tot*100</f>
        <v>18.780517307128129</v>
      </c>
      <c r="I32" s="101">
        <f ca="1">(XCp-XcgVide)/Long_tot*100</f>
        <v>29.87144232464739</v>
      </c>
      <c r="J32" s="102"/>
      <c r="K32" s="32"/>
      <c r="Q32" s="29"/>
      <c r="R32" s="38"/>
    </row>
    <row r="33" spans="1:23" ht="12.75" customHeight="1" x14ac:dyDescent="0.2">
      <c r="A33" s="25"/>
      <c r="B33" s="524" t="str">
        <f>IF(Lang="Français"," Nombre            ",IF(Lang="English"," Number of fins",""))</f>
        <v xml:space="preserve"> Nombre            </v>
      </c>
      <c r="C33" s="36">
        <v>4</v>
      </c>
      <c r="D33" s="36">
        <v>4</v>
      </c>
      <c r="E33" s="146">
        <f>X_ail</f>
        <v>1969.65</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f>Long_tot-30.35</f>
        <v>1969.65</v>
      </c>
      <c r="D34" s="35">
        <v>700</v>
      </c>
      <c r="E34" s="146">
        <f>D_ail</f>
        <v>150</v>
      </c>
      <c r="G34" s="24"/>
      <c r="H34" s="581"/>
      <c r="I34" s="582"/>
      <c r="K34" s="32"/>
      <c r="Q34" s="29"/>
      <c r="R34" s="38"/>
    </row>
    <row r="35" spans="1:23" ht="12.75" customHeight="1" x14ac:dyDescent="0.2">
      <c r="A35" s="25"/>
      <c r="B35" s="524" t="str">
        <f>IF(Lang="Français"," Diamètre         ",IF(Lang="English"," Diameter at Fins",""))</f>
        <v xml:space="preserve"> Diamètre         </v>
      </c>
      <c r="C35" s="35">
        <f>D_ref</f>
        <v>150</v>
      </c>
      <c r="D35" s="35">
        <f>D_ref</f>
        <v>150</v>
      </c>
      <c r="E35" s="146">
        <f>SQRT(POWER(p_int+n_int/2-m_int/2,2)+POWER(E_int,2))</f>
        <v>60.092521257733161</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180.27756377319946</v>
      </c>
      <c r="D36" s="145">
        <f>SQRT(POWER(p_can+n_can/2-m_can/2,2)+POWER(E_can,2))</f>
        <v>50.990195135927848</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268</v>
      </c>
      <c r="M37" s="392" t="str">
        <f>IF(ROUND(SUM(Propu!5:1228),0)=437735,"propu OK","propu NOK")</f>
        <v>propu OK</v>
      </c>
      <c r="N37" s="391" t="str">
        <f>IF(Lang="Français","fichier initial","Initial file")</f>
        <v>fichier initial</v>
      </c>
      <c r="O37" s="392"/>
      <c r="P37" s="390"/>
      <c r="Q37" s="291" t="s">
        <v>565</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396</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421</v>
      </c>
      <c r="H111" s="43"/>
      <c r="I111" s="44"/>
      <c r="J111" s="43"/>
      <c r="L111" s="43"/>
      <c r="M111" s="43"/>
      <c r="N111" s="43"/>
      <c r="Q111" s="43"/>
      <c r="R111" s="43"/>
    </row>
    <row r="112" spans="2:18" x14ac:dyDescent="0.2">
      <c r="B112" s="38" t="s">
        <v>422</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-700</v>
      </c>
      <c r="D124" s="46">
        <v>0</v>
      </c>
      <c r="E124" s="93">
        <f t="shared" ref="E124:E136" si="0">-D124</f>
        <v>0</v>
      </c>
      <c r="K124" s="46"/>
    </row>
    <row r="125" spans="2:18" x14ac:dyDescent="0.2">
      <c r="B125" s="45" t="s">
        <v>72</v>
      </c>
      <c r="C125" s="46">
        <f>-Long_ogive</f>
        <v>-700</v>
      </c>
      <c r="D125" s="46">
        <f>D_og/2</f>
        <v>75</v>
      </c>
      <c r="E125" s="93">
        <f t="shared" si="0"/>
        <v>-75</v>
      </c>
      <c r="K125" s="46"/>
    </row>
    <row r="126" spans="2:18" x14ac:dyDescent="0.2">
      <c r="B126" s="45" t="s">
        <v>73</v>
      </c>
      <c r="C126" s="46">
        <f>IF(AND(RIGHT(Nb_diam,1)=".",X_j), -X_j, C125 )</f>
        <v>-700</v>
      </c>
      <c r="D126" s="46">
        <f>IF(AND(RIGHT(Nb_diam,1)=".",X_j), D1j/2, D125 )</f>
        <v>75</v>
      </c>
      <c r="E126" s="93">
        <f t="shared" si="0"/>
        <v>-75</v>
      </c>
      <c r="K126" s="46"/>
    </row>
    <row r="127" spans="2:18" x14ac:dyDescent="0.2">
      <c r="B127" s="45" t="s">
        <v>74</v>
      </c>
      <c r="C127" s="46">
        <f>IF(AND(RIGHT(Nb_diam,1)=".",X_j), -X_j-l_j, C126 )</f>
        <v>-700</v>
      </c>
      <c r="D127" s="46">
        <f>IF(AND(RIGHT(Nb_diam,1)=".",X_j), D2j/2, D126 )</f>
        <v>75</v>
      </c>
      <c r="E127" s="93">
        <f t="shared" si="0"/>
        <v>-75</v>
      </c>
      <c r="K127" s="46"/>
    </row>
    <row r="128" spans="2:18" x14ac:dyDescent="0.2">
      <c r="B128" s="45" t="s">
        <v>75</v>
      </c>
      <c r="C128" s="46">
        <f>IF(AND(RIGHT(Nb_diam,1)=".",X_r), -X_r, C127 )</f>
        <v>-700</v>
      </c>
      <c r="D128" s="46">
        <f>IF(AND(RIGHT(Nb_diam,1)=".",X_r), D1r/2, D127 )</f>
        <v>75</v>
      </c>
      <c r="E128" s="93">
        <f t="shared" si="0"/>
        <v>-75</v>
      </c>
      <c r="K128" s="46"/>
    </row>
    <row r="129" spans="2:11" x14ac:dyDescent="0.2">
      <c r="B129" s="45" t="s">
        <v>76</v>
      </c>
      <c r="C129" s="46">
        <f>IF(AND(RIGHT(Nb_diam,1)=".",X_r), -X_r-l_r, C128 )</f>
        <v>-700</v>
      </c>
      <c r="D129" s="46">
        <f>IF(AND(RIGHT(Nb_diam,1)=".",X_r), D2r/2, D128 )</f>
        <v>75</v>
      </c>
      <c r="E129" s="93">
        <f t="shared" si="0"/>
        <v>-75</v>
      </c>
      <c r="K129" s="46"/>
    </row>
    <row r="130" spans="2:11" x14ac:dyDescent="0.2">
      <c r="B130" s="45" t="s">
        <v>77</v>
      </c>
      <c r="C130" s="46">
        <f>-Long_tot</f>
        <v>-2000</v>
      </c>
      <c r="D130" s="46">
        <f>D129</f>
        <v>75</v>
      </c>
      <c r="E130" s="93">
        <f t="shared" si="0"/>
        <v>-75</v>
      </c>
      <c r="K130" s="46"/>
    </row>
    <row r="131" spans="2:11" x14ac:dyDescent="0.2">
      <c r="B131" s="45" t="s">
        <v>77</v>
      </c>
      <c r="C131" s="46">
        <f>-Long_tot</f>
        <v>-2000</v>
      </c>
      <c r="D131" s="46">
        <v>0</v>
      </c>
      <c r="E131" s="93">
        <f t="shared" si="0"/>
        <v>0</v>
      </c>
      <c r="K131" s="46"/>
    </row>
    <row r="132" spans="2:11" x14ac:dyDescent="0.2">
      <c r="B132" s="183" t="s">
        <v>78</v>
      </c>
      <c r="C132" s="197">
        <f>-X_ail+m_ail</f>
        <v>-1799.65</v>
      </c>
      <c r="D132" s="197">
        <f>D_ail/2</f>
        <v>75</v>
      </c>
      <c r="E132" s="198">
        <f t="shared" si="0"/>
        <v>-75</v>
      </c>
      <c r="K132" s="46"/>
    </row>
    <row r="133" spans="2:11" x14ac:dyDescent="0.2">
      <c r="B133" s="185" t="s">
        <v>79</v>
      </c>
      <c r="C133" s="46">
        <f>-X_ail+m_ail-p_ail</f>
        <v>-1969.65</v>
      </c>
      <c r="D133" s="46">
        <f>D_ail/2+E_ail</f>
        <v>225</v>
      </c>
      <c r="E133" s="199">
        <f t="shared" si="0"/>
        <v>-225</v>
      </c>
      <c r="K133" s="46"/>
    </row>
    <row r="134" spans="2:11" x14ac:dyDescent="0.2">
      <c r="B134" s="185" t="s">
        <v>80</v>
      </c>
      <c r="C134" s="46">
        <f>-X_ail+m_ail-p_ail-n_ail</f>
        <v>-1999.65</v>
      </c>
      <c r="D134" s="46">
        <f>D_ail/2+E_ail</f>
        <v>225</v>
      </c>
      <c r="E134" s="199">
        <f t="shared" si="0"/>
        <v>-225</v>
      </c>
      <c r="K134" s="46"/>
    </row>
    <row r="135" spans="2:11" x14ac:dyDescent="0.2">
      <c r="B135" s="185" t="s">
        <v>81</v>
      </c>
      <c r="C135" s="46">
        <f>-X_ail</f>
        <v>-1969.65</v>
      </c>
      <c r="D135" s="46">
        <f>D_ail/2</f>
        <v>75</v>
      </c>
      <c r="E135" s="199">
        <f t="shared" si="0"/>
        <v>-75</v>
      </c>
      <c r="K135" s="46"/>
    </row>
    <row r="136" spans="2:11" x14ac:dyDescent="0.2">
      <c r="B136" s="187" t="s">
        <v>78</v>
      </c>
      <c r="C136" s="200">
        <f>-X_ail+m_ail</f>
        <v>-1799.65</v>
      </c>
      <c r="D136" s="200">
        <f>D_ail/2</f>
        <v>75</v>
      </c>
      <c r="E136" s="201">
        <f t="shared" si="0"/>
        <v>-75</v>
      </c>
      <c r="K136" s="46"/>
    </row>
    <row r="137" spans="2:11" x14ac:dyDescent="0.2">
      <c r="B137" s="192" t="str">
        <f>IF(E_ail&gt;0,IF(Lang="Français","Envergure","Span"),"")</f>
        <v>Envergure</v>
      </c>
      <c r="C137" s="197">
        <f>MIN(-X_ail,-X_ail+m_ail-p_ail-n_ail)-Long_tot/30</f>
        <v>-2066.3166666666666</v>
      </c>
      <c r="D137" s="207">
        <f>-D_ail/2-E_ail</f>
        <v>-225</v>
      </c>
      <c r="E137" s="93"/>
      <c r="K137" s="46"/>
    </row>
    <row r="138" spans="2:11" x14ac:dyDescent="0.2">
      <c r="B138" s="195" t="s">
        <v>166</v>
      </c>
      <c r="C138" s="46">
        <f>MIN(-X_ail,-X_ail+m_ail-p_ail-n_ail)-Long_tot/30</f>
        <v>-2066.3166666666666</v>
      </c>
      <c r="D138" s="208">
        <f>-D_ail/2-E_ail/2</f>
        <v>-150</v>
      </c>
      <c r="E138" s="93"/>
      <c r="K138" s="46"/>
    </row>
    <row r="139" spans="2:11" x14ac:dyDescent="0.2">
      <c r="B139" s="212" t="s">
        <v>162</v>
      </c>
      <c r="C139" s="200">
        <f>MIN(-X_ail,-X_ail+m_ail-p_ail-n_ail)-Long_tot/30</f>
        <v>-2066.3166666666666</v>
      </c>
      <c r="D139" s="209">
        <f>-D_ail/2</f>
        <v>-75</v>
      </c>
      <c r="E139" s="93"/>
      <c r="K139" s="46"/>
    </row>
    <row r="140" spans="2:11" x14ac:dyDescent="0.2">
      <c r="B140" s="192" t="str">
        <f>IF(Lang="Français","Emplanture","Root edge")</f>
        <v>Emplanture</v>
      </c>
      <c r="C140" s="197">
        <f>-X_ail+m_ail</f>
        <v>-1799.65</v>
      </c>
      <c r="D140" s="207">
        <f>D_ail/2+E_ail+Long_tot/20</f>
        <v>325</v>
      </c>
      <c r="E140" s="93"/>
      <c r="K140" s="46"/>
    </row>
    <row r="141" spans="2:11" x14ac:dyDescent="0.2">
      <c r="B141" s="195" t="s">
        <v>168</v>
      </c>
      <c r="C141" s="46">
        <f>-X_ail+m_ail/2</f>
        <v>-1884.65</v>
      </c>
      <c r="D141" s="208">
        <f>D_ail/2+E_ail+Long_tot/20</f>
        <v>325</v>
      </c>
      <c r="E141" s="93"/>
      <c r="K141" s="46"/>
    </row>
    <row r="142" spans="2:11" x14ac:dyDescent="0.2">
      <c r="B142" s="212" t="s">
        <v>169</v>
      </c>
      <c r="C142" s="200">
        <f>-X_ail</f>
        <v>-1969.65</v>
      </c>
      <c r="D142" s="209">
        <f>D_ail/2+E_ail+Long_tot/20</f>
        <v>325</v>
      </c>
      <c r="E142" s="93"/>
      <c r="K142" s="46"/>
    </row>
    <row r="143" spans="2:11" x14ac:dyDescent="0.2">
      <c r="B143" s="192" t="str">
        <f>IF(p_ail&lt;&gt;0,IF(Lang="Français","Flèche","Offset"),"")</f>
        <v>Flèche</v>
      </c>
      <c r="C143" s="197">
        <f>-X_ail+m_ail</f>
        <v>-1799.65</v>
      </c>
      <c r="D143" s="207">
        <f>-D_ail/2-E_ail-Long_tot/30</f>
        <v>-291.66666666666669</v>
      </c>
      <c r="E143" s="93"/>
      <c r="K143" s="46"/>
    </row>
    <row r="144" spans="2:11" x14ac:dyDescent="0.2">
      <c r="B144" s="195" t="s">
        <v>165</v>
      </c>
      <c r="C144" s="46">
        <f>-X_ail+m_ail-p_ail/2</f>
        <v>-1884.65</v>
      </c>
      <c r="D144" s="208">
        <f>-D_ail/2-E_ail-Long_tot/30</f>
        <v>-291.66666666666669</v>
      </c>
      <c r="E144" s="93"/>
      <c r="K144" s="46"/>
    </row>
    <row r="145" spans="2:11" x14ac:dyDescent="0.2">
      <c r="B145" s="212" t="s">
        <v>163</v>
      </c>
      <c r="C145" s="200">
        <f>-X_ail+m_ail-p_ail</f>
        <v>-1969.65</v>
      </c>
      <c r="D145" s="209">
        <f>-D_ail/2-E_ail-Long_tot/30</f>
        <v>-291.66666666666669</v>
      </c>
      <c r="E145" s="93"/>
      <c r="K145" s="46"/>
    </row>
    <row r="146" spans="2:11" x14ac:dyDescent="0.2">
      <c r="B146" s="192" t="str">
        <f>IF(n_ail&gt;0,IF(Lang="Français","Saumon","Tip edge"),"")</f>
        <v>Saumon</v>
      </c>
      <c r="C146" s="197">
        <f>-X_ail+m_ail-p_ail</f>
        <v>-1969.65</v>
      </c>
      <c r="D146" s="207">
        <f>-D_ail/2-E_ail-Long_tot/20</f>
        <v>-325</v>
      </c>
      <c r="E146" s="93"/>
      <c r="K146" s="46"/>
    </row>
    <row r="147" spans="2:11" x14ac:dyDescent="0.2">
      <c r="B147" s="195" t="s">
        <v>167</v>
      </c>
      <c r="C147" s="46">
        <f>-X_ail+m_ail-p_ail-n_ail/2</f>
        <v>-1984.65</v>
      </c>
      <c r="D147" s="208">
        <f>-D_ail/2-E_ail-Long_tot/20</f>
        <v>-325</v>
      </c>
      <c r="E147" s="93"/>
      <c r="K147" s="46"/>
    </row>
    <row r="148" spans="2:11" x14ac:dyDescent="0.2">
      <c r="B148" s="212" t="s">
        <v>164</v>
      </c>
      <c r="C148" s="200">
        <f>-X_ail+m_ail-p_ail-n_ail</f>
        <v>-1999.65</v>
      </c>
      <c r="D148" s="209">
        <f>-D_ail/2-E_ail-Long_tot/20</f>
        <v>-325</v>
      </c>
      <c r="E148" s="93"/>
      <c r="K148" s="46"/>
    </row>
    <row r="149" spans="2:11" x14ac:dyDescent="0.2">
      <c r="B149" s="183" t="s">
        <v>82</v>
      </c>
      <c r="C149" s="197">
        <f ca="1">-XcgPlein</f>
        <v>-1200</v>
      </c>
      <c r="D149" s="207">
        <v>0</v>
      </c>
      <c r="E149" s="93"/>
      <c r="K149" s="46"/>
    </row>
    <row r="150" spans="2:11" x14ac:dyDescent="0.2">
      <c r="B150" s="187" t="s">
        <v>83</v>
      </c>
      <c r="C150" s="200">
        <f ca="1">-XcgVide</f>
        <v>-978.18149964961469</v>
      </c>
      <c r="D150" s="209">
        <v>0</v>
      </c>
      <c r="E150" s="93"/>
      <c r="K150" s="46"/>
    </row>
    <row r="151" spans="2:11" x14ac:dyDescent="0.2">
      <c r="B151" s="183" t="s">
        <v>84</v>
      </c>
      <c r="C151" s="197">
        <f>-XCp</f>
        <v>-1575.6103461425625</v>
      </c>
      <c r="D151" s="207">
        <v>0</v>
      </c>
      <c r="E151" s="93"/>
      <c r="K151" s="46"/>
    </row>
    <row r="152" spans="2:11" x14ac:dyDescent="0.2">
      <c r="B152" s="187" t="s">
        <v>84</v>
      </c>
      <c r="C152" s="200">
        <f>-XCp</f>
        <v>-1575.6103461425625</v>
      </c>
      <c r="D152" s="209">
        <f>Cn*D_ref/CritCnmin</f>
        <v>89.681415404887304</v>
      </c>
      <c r="E152" s="93"/>
      <c r="K152" s="46"/>
    </row>
    <row r="153" spans="2:11" x14ac:dyDescent="0.2">
      <c r="B153" s="185" t="s">
        <v>420</v>
      </c>
      <c r="C153" s="46">
        <f>-XCp0</f>
        <v>-1575.6103461425625</v>
      </c>
      <c r="D153" s="208">
        <f>Cn0*D_ref/CritCnmin</f>
        <v>89.681415404887304</v>
      </c>
      <c r="E153" s="93"/>
      <c r="K153" s="46"/>
    </row>
    <row r="154" spans="2:11" x14ac:dyDescent="0.2">
      <c r="B154" s="185" t="s">
        <v>420</v>
      </c>
      <c r="C154" s="46">
        <f>-XCp0</f>
        <v>-1575.6103461425625</v>
      </c>
      <c r="D154" s="208">
        <v>0</v>
      </c>
      <c r="E154" s="93"/>
      <c r="K154" s="46"/>
    </row>
    <row r="155" spans="2:11" x14ac:dyDescent="0.2">
      <c r="B155" s="192" t="str">
        <f>IF(n_ail&gt;0,IF(Lang="Français","Marge Statique","Static Margin"),"")</f>
        <v>Marge Statique</v>
      </c>
      <c r="C155" s="197">
        <f ca="1">(-XcgPlein-XcgVide)/2</f>
        <v>-1089.0907498248073</v>
      </c>
      <c r="D155" s="207">
        <f>-D_ail/2-E_ail-Long_tot/20</f>
        <v>-325</v>
      </c>
      <c r="E155" s="93"/>
      <c r="K155" s="46"/>
    </row>
    <row r="156" spans="2:11" x14ac:dyDescent="0.2">
      <c r="B156" s="195" t="s">
        <v>170</v>
      </c>
      <c r="C156" s="46">
        <f ca="1">(C155+C157)/2</f>
        <v>-1332.3505479836849</v>
      </c>
      <c r="D156" s="208">
        <f>-D_ail/2-E_ail-Long_tot/20</f>
        <v>-325</v>
      </c>
      <c r="E156" s="93"/>
      <c r="K156" s="46"/>
    </row>
    <row r="157" spans="2:11" x14ac:dyDescent="0.2">
      <c r="B157" s="212" t="s">
        <v>171</v>
      </c>
      <c r="C157" s="200">
        <f>-XCp</f>
        <v>-1575.6103461425625</v>
      </c>
      <c r="D157" s="209">
        <f>-D_ail/2-E_ail-Long_tot/20</f>
        <v>-325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-2020</v>
      </c>
      <c r="D168" s="46">
        <f>MAX(E_ail+D_ail/2, Long_tot/3)</f>
        <v>666.66666666666663</v>
      </c>
      <c r="E168" s="93"/>
      <c r="K168" s="46"/>
    </row>
    <row r="169" spans="2:11" x14ac:dyDescent="0.2">
      <c r="B169" s="45" t="s">
        <v>93</v>
      </c>
      <c r="C169" s="46">
        <f>C168</f>
        <v>-2020</v>
      </c>
      <c r="D169" s="46">
        <f>-D168</f>
        <v>-666.66666666666663</v>
      </c>
      <c r="E169" s="93"/>
      <c r="K169" s="46"/>
    </row>
    <row r="170" spans="2:11" x14ac:dyDescent="0.2">
      <c r="B170" s="183" t="s">
        <v>94</v>
      </c>
      <c r="C170" s="197">
        <f ca="1">-XpropuRef+Long_propu</f>
        <v>-990</v>
      </c>
      <c r="D170" s="207">
        <f ca="1">-Diam_propu/2</f>
        <v>-49</v>
      </c>
      <c r="E170" s="93"/>
      <c r="K170" s="46"/>
    </row>
    <row r="171" spans="2:11" x14ac:dyDescent="0.2">
      <c r="B171" s="185" t="s">
        <v>95</v>
      </c>
      <c r="C171" s="46">
        <f ca="1">-XpropuRef+Long_propu</f>
        <v>-990</v>
      </c>
      <c r="D171" s="208">
        <f ca="1">Diam_propu/2</f>
        <v>49</v>
      </c>
      <c r="E171" s="93"/>
      <c r="K171" s="46"/>
    </row>
    <row r="172" spans="2:11" x14ac:dyDescent="0.2">
      <c r="B172" s="185" t="s">
        <v>96</v>
      </c>
      <c r="C172" s="46">
        <f>-XpropuRef</f>
        <v>-2000</v>
      </c>
      <c r="D172" s="208">
        <f ca="1">Diam_propu/2</f>
        <v>49</v>
      </c>
      <c r="E172" s="93"/>
      <c r="K172" s="46"/>
    </row>
    <row r="173" spans="2:11" x14ac:dyDescent="0.2">
      <c r="B173" s="185" t="s">
        <v>97</v>
      </c>
      <c r="C173" s="46">
        <f>-XpropuRef</f>
        <v>-2000</v>
      </c>
      <c r="D173" s="208">
        <f ca="1">-Diam_propu/2</f>
        <v>-49</v>
      </c>
      <c r="E173" s="93"/>
      <c r="K173" s="46"/>
    </row>
    <row r="174" spans="2:11" x14ac:dyDescent="0.2">
      <c r="B174" s="187" t="s">
        <v>98</v>
      </c>
      <c r="C174" s="200">
        <f ca="1">-XpropuRef+Long_propu</f>
        <v>-990</v>
      </c>
      <c r="D174" s="209">
        <f ca="1">-Diam_propu/2</f>
        <v>-49</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-70</v>
      </c>
      <c r="D176" s="46">
        <f>IF(LEFT(Forme_ogive,5)="Parab",H176,IF(LEFT(Forme_ogive,4)="Ogiv",G176,IF(LEFT(Forme_ogive,3)="Con",F176)))</f>
        <v>7.5</v>
      </c>
      <c r="E176" s="199">
        <f t="shared" si="2"/>
        <v>-7.5</v>
      </c>
      <c r="F176" s="185">
        <f>D_og/2*0.1</f>
        <v>7.5</v>
      </c>
      <c r="G176" s="45">
        <f>D_og/2*0.2</f>
        <v>15</v>
      </c>
      <c r="H176" s="189">
        <f>D_og/2*0.5</f>
        <v>37.5</v>
      </c>
      <c r="K176" s="46"/>
    </row>
    <row r="177" spans="2:11" x14ac:dyDescent="0.2">
      <c r="B177" s="185" t="s">
        <v>72</v>
      </c>
      <c r="C177" s="46">
        <f>-Long_ogive/4</f>
        <v>-175</v>
      </c>
      <c r="D177" s="46">
        <f>IF(LEFT(Forme_ogive,5)="Parab",H177,IF(LEFT(Forme_ogive,4)="Ogiv",G177,IF(LEFT(Forme_ogive,3)="Con",F177)))</f>
        <v>18.75</v>
      </c>
      <c r="E177" s="199">
        <f t="shared" si="2"/>
        <v>-18.75</v>
      </c>
      <c r="F177" s="185">
        <f>D_og/2*1/4</f>
        <v>18.75</v>
      </c>
      <c r="G177" s="45">
        <f>D_og/2/2</f>
        <v>37.5</v>
      </c>
      <c r="H177" s="189">
        <f>D_og/2*0.7</f>
        <v>52.5</v>
      </c>
      <c r="K177" s="46"/>
    </row>
    <row r="178" spans="2:11" x14ac:dyDescent="0.2">
      <c r="B178" s="185" t="s">
        <v>72</v>
      </c>
      <c r="C178" s="46">
        <f>-Long_ogive/2</f>
        <v>-350</v>
      </c>
      <c r="D178" s="46">
        <f>IF(LEFT(Forme_ogive,5)="Parab",H178,IF(LEFT(Forme_ogive,4)="Ogiv",G178,IF(LEFT(Forme_ogive,3)="Con",F178)))</f>
        <v>37.5</v>
      </c>
      <c r="E178" s="199">
        <f t="shared" si="2"/>
        <v>-37.5</v>
      </c>
      <c r="F178" s="185">
        <f>D_og/2/2</f>
        <v>37.5</v>
      </c>
      <c r="G178" s="45">
        <f>D_og/2*3/4</f>
        <v>56.25</v>
      </c>
      <c r="H178" s="189">
        <f>D_og/2*0.88</f>
        <v>66</v>
      </c>
      <c r="K178" s="46"/>
    </row>
    <row r="179" spans="2:11" x14ac:dyDescent="0.2">
      <c r="B179" s="185" t="s">
        <v>72</v>
      </c>
      <c r="C179" s="46">
        <f>-Long_ogive*3/4</f>
        <v>-525</v>
      </c>
      <c r="D179" s="46">
        <f>IF(LEFT(Forme_ogive,5)="Parab",H179,IF(LEFT(Forme_ogive,4)="Ogiv",G179,IF(LEFT(Forme_ogive,3)="Con",F179)))</f>
        <v>56.25</v>
      </c>
      <c r="E179" s="199">
        <f t="shared" si="2"/>
        <v>-56.25</v>
      </c>
      <c r="F179" s="185">
        <f>D_og/2*3/4</f>
        <v>56.25</v>
      </c>
      <c r="G179" s="45">
        <f>D_og/2*0.9</f>
        <v>67.5</v>
      </c>
      <c r="H179" s="189">
        <f>D_og/2*0.95</f>
        <v>71.25</v>
      </c>
      <c r="K179" s="46"/>
    </row>
    <row r="180" spans="2:11" x14ac:dyDescent="0.2">
      <c r="B180" s="187" t="s">
        <v>72</v>
      </c>
      <c r="C180" s="200">
        <f>-Long_ogive</f>
        <v>-700</v>
      </c>
      <c r="D180" s="200">
        <f>D_og/2</f>
        <v>75</v>
      </c>
      <c r="E180" s="201">
        <f t="shared" si="2"/>
        <v>-75</v>
      </c>
      <c r="F180" s="187">
        <f>D_og/2</f>
        <v>75</v>
      </c>
      <c r="G180" s="196">
        <f>D_og/2</f>
        <v>75</v>
      </c>
      <c r="H180" s="190">
        <f>D_og/2</f>
        <v>75</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2.5040689742837503</v>
      </c>
      <c r="C190" s="203">
        <f>Cn</f>
        <v>8.9681415404887304</v>
      </c>
      <c r="D190" s="185">
        <v>3</v>
      </c>
      <c r="E190" s="205">
        <f t="shared" si="4"/>
        <v>33.333333333333336</v>
      </c>
      <c r="K190" s="45"/>
    </row>
    <row r="191" spans="2:11" x14ac:dyDescent="0.2">
      <c r="B191" s="512">
        <f ca="1">(XCp0-XcgPlein)/D_ref</f>
        <v>2.5040689742837503</v>
      </c>
      <c r="C191" s="513">
        <f>Cn0</f>
        <v>8.9681415404887304</v>
      </c>
      <c r="D191" s="185">
        <v>4</v>
      </c>
      <c r="E191" s="205">
        <f t="shared" si="4"/>
        <v>25</v>
      </c>
      <c r="K191" s="45"/>
    </row>
    <row r="192" spans="2:11" x14ac:dyDescent="0.2">
      <c r="B192" s="512">
        <f ca="1">(XCp0-XcgVide)/D_ref</f>
        <v>3.9828589766196525</v>
      </c>
      <c r="C192" s="513">
        <f>Cn0</f>
        <v>8.9681415404887304</v>
      </c>
      <c r="D192" s="185">
        <v>6</v>
      </c>
      <c r="E192" s="205">
        <f t="shared" si="4"/>
        <v>16.666666666666668</v>
      </c>
      <c r="K192" s="45"/>
    </row>
    <row r="193" spans="2:11" x14ac:dyDescent="0.2">
      <c r="B193" s="512">
        <f ca="1">(XCp-XcgVide)/D_ref</f>
        <v>3.9828589766196525</v>
      </c>
      <c r="C193" s="513">
        <f>Cn</f>
        <v>8.9681415404887304</v>
      </c>
      <c r="D193" s="187">
        <v>7</v>
      </c>
      <c r="E193" s="206">
        <f t="shared" si="4"/>
        <v>14.285714285714286</v>
      </c>
      <c r="K193" s="45"/>
    </row>
    <row r="194" spans="2:11" x14ac:dyDescent="0.2">
      <c r="B194" s="512">
        <f ca="1">MS_min</f>
        <v>2.5040689742837503</v>
      </c>
      <c r="C194" s="514">
        <f>Cn</f>
        <v>8.9681415404887304</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403</v>
      </c>
      <c r="C204" s="31" t="b">
        <f ca="1">(OR(C205:C210))</f>
        <v>1</v>
      </c>
      <c r="D204" s="474"/>
    </row>
    <row r="205" spans="2:11" x14ac:dyDescent="0.2">
      <c r="B205" s="475" t="s">
        <v>400</v>
      </c>
      <c r="C205" s="474" t="b">
        <f ca="1">AND(Type_propu="H2O",RIGHT(Type_fusee,1)=" ")</f>
        <v>0</v>
      </c>
      <c r="D205" s="474"/>
    </row>
    <row r="206" spans="2:11" x14ac:dyDescent="0.2">
      <c r="B206" s="475" t="s">
        <v>118</v>
      </c>
      <c r="C206" s="474" t="b">
        <f ca="1">AND(Type_propu="Fusex",RIGHT(Type_fusee,1)=".")</f>
        <v>1</v>
      </c>
      <c r="D206" s="474"/>
    </row>
    <row r="207" spans="2:11" x14ac:dyDescent="0.2">
      <c r="B207" s="475" t="s">
        <v>401</v>
      </c>
      <c r="C207" s="474" t="b">
        <f ca="1">LEFT(Type_propu,5)=LEFT(Type_fusee,5)</f>
        <v>0</v>
      </c>
      <c r="D207" s="474"/>
    </row>
    <row r="208" spans="2:11" x14ac:dyDescent="0.2">
      <c r="B208" s="475" t="s">
        <v>402</v>
      </c>
      <c r="C208" s="474" t="b">
        <f ca="1">AND(RIGHT(Type_propu,1)="N",LEFT(Type_fusee,4)="Mini")</f>
        <v>0</v>
      </c>
      <c r="D208" s="474"/>
    </row>
    <row r="209" spans="1:3" x14ac:dyDescent="0.2">
      <c r="B209" s="475" t="s">
        <v>404</v>
      </c>
      <c r="C209" s="474" t="b">
        <f ca="1">AND(LEFT(Type_propu,5)="MiniR",LEFT(Type_fusee,1)="R")</f>
        <v>0</v>
      </c>
    </row>
    <row r="210" spans="1:3" x14ac:dyDescent="0.2">
      <c r="B210" s="475" t="s">
        <v>394</v>
      </c>
      <c r="C210" s="474" t="b">
        <f ca="1">AND(LEFT(Type_propu,4)="Mini",LEFT(Type_fusee,1)=",")</f>
        <v>0</v>
      </c>
    </row>
    <row r="223" spans="1:3" x14ac:dyDescent="0.2">
      <c r="A223" s="24" t="s">
        <v>460</v>
      </c>
    </row>
    <row r="226" spans="1:1" x14ac:dyDescent="0.2">
      <c r="A226" s="24" t="s">
        <v>473</v>
      </c>
    </row>
    <row r="228" spans="1:1" x14ac:dyDescent="0.2">
      <c r="A228" s="24" t="s">
        <v>474</v>
      </c>
    </row>
    <row r="230" spans="1:1" x14ac:dyDescent="0.2">
      <c r="A230" s="24" t="s">
        <v>475</v>
      </c>
    </row>
    <row r="232" spans="1:1" x14ac:dyDescent="0.2">
      <c r="A232" s="24" t="s">
        <v>476</v>
      </c>
    </row>
    <row r="233" spans="1:1" x14ac:dyDescent="0.2">
      <c r="A233" s="24" t="s">
        <v>477</v>
      </c>
    </row>
    <row r="234" spans="1:1" x14ac:dyDescent="0.2">
      <c r="A234" s="24" t="s">
        <v>478</v>
      </c>
    </row>
    <row r="235" spans="1:1" x14ac:dyDescent="0.2">
      <c r="A235" s="24" t="s">
        <v>479</v>
      </c>
    </row>
    <row r="236" spans="1:1" x14ac:dyDescent="0.2">
      <c r="A236" s="24" t="s">
        <v>480</v>
      </c>
    </row>
    <row r="237" spans="1:1" x14ac:dyDescent="0.2">
      <c r="A237" s="24" t="s">
        <v>481</v>
      </c>
    </row>
    <row r="238" spans="1:1" x14ac:dyDescent="0.2">
      <c r="A238" s="24" t="s">
        <v>183</v>
      </c>
    </row>
    <row r="239" spans="1:1" x14ac:dyDescent="0.2">
      <c r="A239" s="24" t="s">
        <v>482</v>
      </c>
    </row>
    <row r="240" spans="1:1" x14ac:dyDescent="0.2">
      <c r="A240" s="24" t="s">
        <v>483</v>
      </c>
    </row>
    <row r="241" spans="1:1" x14ac:dyDescent="0.2">
      <c r="A241" s="24" t="s">
        <v>183</v>
      </c>
    </row>
    <row r="242" spans="1:1" x14ac:dyDescent="0.2">
      <c r="A242" s="24" t="s">
        <v>484</v>
      </c>
    </row>
    <row r="244" spans="1:1" x14ac:dyDescent="0.2">
      <c r="A244" s="24" t="s">
        <v>485</v>
      </c>
    </row>
    <row r="246" spans="1:1" x14ac:dyDescent="0.2">
      <c r="A246" s="24" t="s">
        <v>486</v>
      </c>
    </row>
    <row r="248" spans="1:1" x14ac:dyDescent="0.2">
      <c r="A248" s="24" t="s">
        <v>487</v>
      </c>
    </row>
    <row r="249" spans="1:1" x14ac:dyDescent="0.2">
      <c r="A249" s="24" t="s">
        <v>488</v>
      </c>
    </row>
    <row r="250" spans="1:1" x14ac:dyDescent="0.2">
      <c r="A250" s="24" t="s">
        <v>489</v>
      </c>
    </row>
    <row r="251" spans="1:1" x14ac:dyDescent="0.2">
      <c r="A251" s="24" t="s">
        <v>490</v>
      </c>
    </row>
    <row r="252" spans="1:1" x14ac:dyDescent="0.2">
      <c r="A252" s="24" t="s">
        <v>491</v>
      </c>
    </row>
    <row r="254" spans="1:1" x14ac:dyDescent="0.2">
      <c r="A254" s="24" t="s">
        <v>492</v>
      </c>
    </row>
    <row r="255" spans="1:1" x14ac:dyDescent="0.2">
      <c r="A255" s="24" t="s">
        <v>493</v>
      </c>
    </row>
    <row r="256" spans="1:1" x14ac:dyDescent="0.2">
      <c r="A256" s="24" t="s">
        <v>494</v>
      </c>
    </row>
    <row r="257" spans="1:1" x14ac:dyDescent="0.2">
      <c r="A257" s="24" t="s">
        <v>495</v>
      </c>
    </row>
    <row r="258" spans="1:1" x14ac:dyDescent="0.2">
      <c r="A258" s="24" t="s">
        <v>496</v>
      </c>
    </row>
    <row r="261" spans="1:1" x14ac:dyDescent="0.2">
      <c r="A261" s="24" t="s">
        <v>497</v>
      </c>
    </row>
    <row r="262" spans="1:1" x14ac:dyDescent="0.2">
      <c r="A262" s="24" t="s">
        <v>498</v>
      </c>
    </row>
    <row r="263" spans="1:1" x14ac:dyDescent="0.2">
      <c r="A263" s="24" t="s">
        <v>499</v>
      </c>
    </row>
    <row r="264" spans="1:1" x14ac:dyDescent="0.2">
      <c r="A264" s="24" t="s">
        <v>500</v>
      </c>
    </row>
    <row r="265" spans="1:1" x14ac:dyDescent="0.2">
      <c r="A265" s="24" t="s">
        <v>501</v>
      </c>
    </row>
    <row r="267" spans="1:1" x14ac:dyDescent="0.2">
      <c r="A267" s="24" t="s">
        <v>494</v>
      </c>
    </row>
    <row r="268" spans="1:1" x14ac:dyDescent="0.2">
      <c r="A268" s="24" t="s">
        <v>495</v>
      </c>
    </row>
    <row r="269" spans="1:1" x14ac:dyDescent="0.2">
      <c r="A269" s="24" t="s">
        <v>502</v>
      </c>
    </row>
    <row r="272" spans="1:1" x14ac:dyDescent="0.2">
      <c r="A272" s="24" t="s">
        <v>462</v>
      </c>
    </row>
    <row r="273" spans="1:1" x14ac:dyDescent="0.2">
      <c r="A273" s="24" t="s">
        <v>463</v>
      </c>
    </row>
    <row r="275" spans="1:1" x14ac:dyDescent="0.2">
      <c r="A275" s="24" t="s">
        <v>503</v>
      </c>
    </row>
    <row r="277" spans="1:1" x14ac:dyDescent="0.2">
      <c r="A277" s="24" t="s">
        <v>502</v>
      </c>
    </row>
    <row r="280" spans="1:1" x14ac:dyDescent="0.2">
      <c r="A280" s="24" t="s">
        <v>464</v>
      </c>
    </row>
    <row r="281" spans="1:1" x14ac:dyDescent="0.2">
      <c r="A281" s="24" t="s">
        <v>465</v>
      </c>
    </row>
    <row r="282" spans="1:1" x14ac:dyDescent="0.2">
      <c r="A282" s="24" t="s">
        <v>504</v>
      </c>
    </row>
    <row r="283" spans="1:1" x14ac:dyDescent="0.2">
      <c r="A283" s="24" t="s">
        <v>505</v>
      </c>
    </row>
    <row r="284" spans="1:1" x14ac:dyDescent="0.2">
      <c r="A284" s="24" t="s">
        <v>502</v>
      </c>
    </row>
    <row r="285" spans="1:1" x14ac:dyDescent="0.2">
      <c r="A285" s="24" t="s">
        <v>466</v>
      </c>
    </row>
    <row r="287" spans="1:1" x14ac:dyDescent="0.2">
      <c r="A287" s="24" t="s">
        <v>506</v>
      </c>
    </row>
    <row r="288" spans="1:1" x14ac:dyDescent="0.2">
      <c r="A288" s="24" t="s">
        <v>504</v>
      </c>
    </row>
    <row r="289" spans="1:1" x14ac:dyDescent="0.2">
      <c r="A289" s="24" t="s">
        <v>507</v>
      </c>
    </row>
    <row r="291" spans="1:1" x14ac:dyDescent="0.2">
      <c r="A291" s="24" t="s">
        <v>502</v>
      </c>
    </row>
    <row r="294" spans="1:1" x14ac:dyDescent="0.2">
      <c r="A294" s="24" t="s">
        <v>508</v>
      </c>
    </row>
    <row r="295" spans="1:1" x14ac:dyDescent="0.2">
      <c r="A295" s="24" t="s">
        <v>509</v>
      </c>
    </row>
    <row r="296" spans="1:1" x14ac:dyDescent="0.2">
      <c r="A296" s="24" t="s">
        <v>510</v>
      </c>
    </row>
    <row r="298" spans="1:1" x14ac:dyDescent="0.2">
      <c r="A298" s="24" t="s">
        <v>502</v>
      </c>
    </row>
    <row r="301" spans="1:1" x14ac:dyDescent="0.2">
      <c r="A301" s="24" t="s">
        <v>511</v>
      </c>
    </row>
    <row r="302" spans="1:1" x14ac:dyDescent="0.2">
      <c r="A302" s="24" t="s">
        <v>512</v>
      </c>
    </row>
    <row r="304" spans="1:1" x14ac:dyDescent="0.2">
      <c r="A304" s="24" t="s">
        <v>513</v>
      </c>
    </row>
    <row r="305" spans="1:1" x14ac:dyDescent="0.2">
      <c r="A305" s="24" t="s">
        <v>514</v>
      </c>
    </row>
    <row r="306" spans="1:1" x14ac:dyDescent="0.2">
      <c r="A306" s="24" t="s">
        <v>502</v>
      </c>
    </row>
    <row r="309" spans="1:1" x14ac:dyDescent="0.2">
      <c r="A309" s="24" t="s">
        <v>511</v>
      </c>
    </row>
    <row r="310" spans="1:1" x14ac:dyDescent="0.2">
      <c r="A310" s="24" t="s">
        <v>515</v>
      </c>
    </row>
    <row r="311" spans="1:1" x14ac:dyDescent="0.2">
      <c r="A311" s="24" t="s">
        <v>511</v>
      </c>
    </row>
    <row r="312" spans="1:1" x14ac:dyDescent="0.2">
      <c r="A312" s="24" t="s">
        <v>516</v>
      </c>
    </row>
    <row r="314" spans="1:1" x14ac:dyDescent="0.2">
      <c r="A314" s="24" t="s">
        <v>517</v>
      </c>
    </row>
    <row r="316" spans="1:1" x14ac:dyDescent="0.2">
      <c r="A316" s="24" t="s">
        <v>502</v>
      </c>
    </row>
    <row r="319" spans="1:1" x14ac:dyDescent="0.2">
      <c r="A319" s="24" t="s">
        <v>511</v>
      </c>
    </row>
    <row r="320" spans="1:1" x14ac:dyDescent="0.2">
      <c r="A320" s="24" t="s">
        <v>518</v>
      </c>
    </row>
    <row r="321" spans="1:1" x14ac:dyDescent="0.2">
      <c r="A321" s="24" t="s">
        <v>519</v>
      </c>
    </row>
    <row r="322" spans="1:1" x14ac:dyDescent="0.2">
      <c r="A322" s="24" t="s">
        <v>520</v>
      </c>
    </row>
    <row r="324" spans="1:1" x14ac:dyDescent="0.2">
      <c r="A324" s="24" t="s">
        <v>502</v>
      </c>
    </row>
    <row r="326" spans="1:1" x14ac:dyDescent="0.2">
      <c r="A326" s="24" t="s">
        <v>461</v>
      </c>
    </row>
    <row r="329" spans="1:1" x14ac:dyDescent="0.2">
      <c r="A329" s="24" t="s">
        <v>467</v>
      </c>
    </row>
    <row r="330" spans="1:1" x14ac:dyDescent="0.2">
      <c r="A330" s="24" t="s">
        <v>468</v>
      </c>
    </row>
    <row r="331" spans="1:1" x14ac:dyDescent="0.2">
      <c r="A331" s="24" t="s">
        <v>521</v>
      </c>
    </row>
    <row r="332" spans="1:1" x14ac:dyDescent="0.2">
      <c r="A332" s="24" t="s">
        <v>522</v>
      </c>
    </row>
    <row r="333" spans="1:1" x14ac:dyDescent="0.2">
      <c r="A333" s="24" t="s">
        <v>523</v>
      </c>
    </row>
    <row r="334" spans="1:1" x14ac:dyDescent="0.2">
      <c r="A334" s="24" t="s">
        <v>524</v>
      </c>
    </row>
    <row r="335" spans="1:1" x14ac:dyDescent="0.2">
      <c r="A335" s="24" t="s">
        <v>525</v>
      </c>
    </row>
    <row r="336" spans="1:1" x14ac:dyDescent="0.2">
      <c r="A336" s="24" t="s">
        <v>478</v>
      </c>
    </row>
    <row r="337" spans="1:1" x14ac:dyDescent="0.2">
      <c r="A337" s="24" t="s">
        <v>469</v>
      </c>
    </row>
    <row r="340" spans="1:1" x14ac:dyDescent="0.2">
      <c r="A340" s="24" t="s">
        <v>470</v>
      </c>
    </row>
    <row r="342" spans="1:1" x14ac:dyDescent="0.2">
      <c r="A342" s="24" t="s">
        <v>526</v>
      </c>
    </row>
    <row r="343" spans="1:1" x14ac:dyDescent="0.2">
      <c r="A343" s="24" t="s">
        <v>527</v>
      </c>
    </row>
    <row r="344" spans="1:1" x14ac:dyDescent="0.2">
      <c r="A344" s="24" t="s">
        <v>528</v>
      </c>
    </row>
    <row r="345" spans="1:1" x14ac:dyDescent="0.2">
      <c r="A345" s="24" t="s">
        <v>529</v>
      </c>
    </row>
    <row r="346" spans="1:1" x14ac:dyDescent="0.2">
      <c r="A346" s="24" t="s">
        <v>530</v>
      </c>
    </row>
    <row r="347" spans="1:1" x14ac:dyDescent="0.2">
      <c r="A347" s="24" t="s">
        <v>478</v>
      </c>
    </row>
    <row r="348" spans="1:1" x14ac:dyDescent="0.2">
      <c r="A348" s="24" t="s">
        <v>471</v>
      </c>
    </row>
    <row r="349" spans="1:1" x14ac:dyDescent="0.2">
      <c r="A349" s="24" t="s">
        <v>531</v>
      </c>
    </row>
    <row r="350" spans="1:1" x14ac:dyDescent="0.2">
      <c r="A350" s="24" t="s">
        <v>532</v>
      </c>
    </row>
    <row r="352" spans="1:1" x14ac:dyDescent="0.2">
      <c r="A352" s="24" t="s">
        <v>502</v>
      </c>
    </row>
    <row r="355" spans="1:1" x14ac:dyDescent="0.2">
      <c r="A355" s="24" t="s">
        <v>461</v>
      </c>
    </row>
    <row r="361" spans="1:1" x14ac:dyDescent="0.2">
      <c r="A361" s="24" t="s">
        <v>472</v>
      </c>
    </row>
  </sheetData>
  <sheetProtection algorithmName="SHA-512" hashValue="lr7AUTmqQKWCln9lxU/pkY39SNhSvguOSf0niYW80GvK2cC/MbUIRDjvwd1bIGz8aqjd6a7y3D66efnX6zcc6g==" saltValue="kioZ43ZFarxjOdpvjH0yzw==" spinCount="100000" sheet="1" objects="1" scenarios="1"/>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C35: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119" zoomScaleNormal="100" workbookViewId="0">
      <selection activeCell="Q29" sqref="Q29"/>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f>Nom</f>
        <v>0</v>
      </c>
      <c r="D8" s="633"/>
      <c r="E8" s="5"/>
      <c r="F8" s="5"/>
      <c r="J8" s="4"/>
      <c r="N8" s="57"/>
    </row>
    <row r="9" spans="1:14" ht="12.75" customHeight="1" x14ac:dyDescent="0.25">
      <c r="A9" s="59"/>
      <c r="B9" s="140" t="s">
        <v>4</v>
      </c>
      <c r="C9" s="634" t="str">
        <f>Club</f>
        <v>S&amp;T Sorbonne</v>
      </c>
      <c r="D9" s="634"/>
      <c r="F9" s="5"/>
      <c r="N9" s="58"/>
    </row>
    <row r="10" spans="1:14" ht="12.75" customHeight="1" x14ac:dyDescent="0.25">
      <c r="A10" s="59"/>
      <c r="B10" s="141" t="s">
        <v>561</v>
      </c>
      <c r="C10" s="630" t="str">
        <f>Matricule</f>
        <v>FX</v>
      </c>
      <c r="D10" s="630"/>
      <c r="F10" s="5"/>
      <c r="N10" s="58"/>
    </row>
    <row r="11" spans="1:14" ht="12.75" customHeight="1" x14ac:dyDescent="0.2">
      <c r="A11" s="59"/>
      <c r="B11" s="140" t="str">
        <f>IF(Lang="Français","Masse totale",IF(Lang="English","Total Mass",""))</f>
        <v>Masse totale</v>
      </c>
      <c r="C11" s="607">
        <f ca="1">MassePlein</f>
        <v>20</v>
      </c>
      <c r="D11" s="607"/>
      <c r="F11" s="5"/>
      <c r="N11" s="58"/>
    </row>
    <row r="12" spans="1:14" ht="12.75" customHeight="1" x14ac:dyDescent="0.2">
      <c r="A12" s="59"/>
      <c r="B12" s="227" t="str">
        <f>IF(Lang="Français","Propulseur",IF(Lang="English","Motor",""))</f>
        <v>Propulseur</v>
      </c>
      <c r="C12" s="610" t="str">
        <f>Propu</f>
        <v>Pro98-6G Green</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1.8871458676442587E-2</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75</v>
      </c>
      <c r="D20" s="608"/>
      <c r="N20" s="58"/>
    </row>
    <row r="21" spans="1:18" ht="12.75" customHeight="1" x14ac:dyDescent="0.2">
      <c r="A21" s="59"/>
      <c r="B21" s="140" t="s">
        <v>6</v>
      </c>
      <c r="C21" s="609">
        <v>0</v>
      </c>
      <c r="D21" s="609"/>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4" t="str">
        <f>IF(Lang="Français","DescenteSousParachute",IF(Lang="English","Over Parachute",""))</f>
        <v>DescenteSousParachute</v>
      </c>
      <c r="D23" s="615"/>
      <c r="F23" s="4"/>
      <c r="G23" s="50">
        <f ca="1">TODAY()</f>
        <v>46087</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419</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f ca="1">INDEX(vit_xz,MATCH("Sortie de rampe",Event,0))</f>
        <v>25.211731558354685</v>
      </c>
      <c r="L24" s="493"/>
      <c r="M24" s="500"/>
      <c r="N24" s="58"/>
    </row>
    <row r="25" spans="1:18" x14ac:dyDescent="0.2">
      <c r="A25" s="59"/>
      <c r="B25" s="466" t="str">
        <f>IF(Lang="Français","Masse",IF(Lang="English","Mass",""))</f>
        <v>Masse</v>
      </c>
      <c r="C25" s="467">
        <f ca="1">IF(Nb_sat="0 satellite",MasseVide,MasseVide-m_satellite)</f>
        <v>11.416</v>
      </c>
      <c r="D25" s="480">
        <f>IF(RIGHT(Type_fusee,1)=".",1,0.15)</f>
        <v>1</v>
      </c>
      <c r="F25" s="619" t="str">
        <f>IF(Lang="Français","Vit max &amp; Acc max",IF(Lang="English","Max Velocity &amp; Acc",""))</f>
        <v>Vit max &amp; Acc max</v>
      </c>
      <c r="G25" s="599"/>
      <c r="H25" s="115"/>
      <c r="I25" s="115"/>
      <c r="J25" s="115"/>
      <c r="K25" s="158">
        <f ca="1">MAX(vit_xz)</f>
        <v>506.78531686924737</v>
      </c>
      <c r="L25" s="494">
        <f ca="1">MAX(acc_xz)</f>
        <v>120.58677613714163</v>
      </c>
      <c r="M25" s="500"/>
      <c r="N25" s="58"/>
    </row>
    <row r="26" spans="1:18" x14ac:dyDescent="0.2">
      <c r="A26" s="59"/>
      <c r="B26" s="469" t="str">
        <f>IF(Lang="Français","Dépotage",IF(Lang="English","Delay",""))</f>
        <v>Dépotage</v>
      </c>
      <c r="C26" s="505" t="s">
        <v>405</v>
      </c>
      <c r="D26" s="535"/>
      <c r="F26" s="620" t="str">
        <f>IF(Lang="Français","Largage du satellite",IF(Lang="English","Satellite separation",""))</f>
        <v>Largage du satellite</v>
      </c>
      <c r="G26" s="601"/>
      <c r="H26" s="152">
        <f>IF(T_satellite&lt;&gt;0,T_satellite,"")</f>
        <v>3.5</v>
      </c>
      <c r="I26" s="156">
        <f ca="1">IF(T_satellite&lt;&gt;0,INDEX(pos_z,MATCH("Satellite",Event_sat,0)),"")</f>
        <v>498.63559071419252</v>
      </c>
      <c r="J26" s="154">
        <f ca="1">IF(T_satellite&lt;&gt;0,INDEX(pos_x,MATCH("Satellite",Event_sat,0)),"")</f>
        <v>168.47833682839681</v>
      </c>
      <c r="K26" s="159">
        <f ca="1">IF(T_satellite&lt;&gt;0,INDEX(vit_xz,MATCH("Satellite",Event_sat,0)),"")</f>
        <v>313.24890311293871</v>
      </c>
      <c r="L26" s="495"/>
      <c r="M26" s="485">
        <f ca="1">1/2*Rho_moyen*1*V_ouv_sat^2*S_satellite</f>
        <v>6010.1486122143806</v>
      </c>
      <c r="N26" s="58"/>
    </row>
    <row r="27" spans="1:18" x14ac:dyDescent="0.2">
      <c r="A27" s="59"/>
      <c r="B27" s="468" t="str">
        <f>IF(Lang="Français","Ouverture para",IF(Lang="English","Opening time",""))</f>
        <v>Ouverture para</v>
      </c>
      <c r="C27" s="507">
        <v>22</v>
      </c>
      <c r="D27" s="507">
        <v>3.5</v>
      </c>
      <c r="F27" s="619" t="s">
        <v>15</v>
      </c>
      <c r="G27" s="599"/>
      <c r="H27" s="153">
        <f ca="1">INDEX(t,MATCH("Apogée",Event,0))</f>
        <v>25.199999999999974</v>
      </c>
      <c r="I27" s="157">
        <f ca="1">INDEX(pos_z,MATCH("Apogée",Event,0))</f>
        <v>4427.2316091816419</v>
      </c>
      <c r="J27" s="155">
        <f ca="1">INDEX(pos_x,MATCH("Apogée",Event,0))</f>
        <v>2131.8931340009794</v>
      </c>
      <c r="K27" s="160">
        <f ca="1">INDEX(vit_xz,MATCH("Apogée",Event,0))</f>
        <v>49.794443797804618</v>
      </c>
      <c r="L27" s="496"/>
      <c r="M27" s="500"/>
      <c r="N27" s="58"/>
    </row>
    <row r="28" spans="1:18" x14ac:dyDescent="0.2">
      <c r="A28" s="59"/>
      <c r="B28" s="534" t="s">
        <v>556</v>
      </c>
      <c r="C28" s="507" t="s">
        <v>557</v>
      </c>
      <c r="D28" s="507"/>
      <c r="F28" s="618" t="str">
        <f>IF(Lang="Français","Ouverture parachute fusée",IF(Lang="English","Rocket parachute opening",""))</f>
        <v>Ouverture parachute fusée</v>
      </c>
      <c r="G28" s="604"/>
      <c r="H28" s="152">
        <f>T_para</f>
        <v>22</v>
      </c>
      <c r="I28" s="156">
        <f ca="1">INDEX(pos_z,MATCH("Para",Event_para,0))</f>
        <v>4375.5859407695725</v>
      </c>
      <c r="J28" s="486">
        <f ca="1">INDEX(pos_x,MATCH("Para",Event_para,0))</f>
        <v>1967.2249650240287</v>
      </c>
      <c r="K28" s="159">
        <f ca="1">INDEX(vit_xz,MATCH("Para",Event_para,0))</f>
        <v>62.50265979820427</v>
      </c>
      <c r="L28" s="495"/>
      <c r="M28" s="485">
        <f ca="1">1/2*Rho_moyen*1*V_ouverture^2*S_para</f>
        <v>1503.4291261387846</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0.62831853071795862</v>
      </c>
      <c r="D29" s="17">
        <f>IF(RIGHT(Type_fusee,1)=".",0.1,0.02)</f>
        <v>0.1</v>
      </c>
      <c r="F29" s="623" t="str">
        <f>IF(Lang="Français","Impact balistique",IF(Lang="English","Balistic Impact",""))</f>
        <v>Impact balistique</v>
      </c>
      <c r="G29" s="624"/>
      <c r="H29" s="497" t="e">
        <f ca="1">INDEX(t,MATCH("Impact balistique",Event,0))</f>
        <v>#N/A</v>
      </c>
      <c r="I29" s="517" t="s">
        <v>425</v>
      </c>
      <c r="J29" s="487" t="e">
        <f ca="1">INDEX(pos_x,MATCH("Impact balistique",Event,0))</f>
        <v>#N/A</v>
      </c>
      <c r="K29" s="501" t="e">
        <f ca="1">K47</f>
        <v>#N/A</v>
      </c>
      <c r="L29" s="498"/>
      <c r="M29" s="502" t="e">
        <f ca="1">0.5*m_vide*K29^2</f>
        <v>#N/A</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1.5</v>
      </c>
      <c r="D30" s="143">
        <v>1</v>
      </c>
      <c r="E30" s="18" t="str">
        <f>IF(AND(T_satellite=0,m_satellite&lt;&gt;0),"Erreur !","")</f>
        <v/>
      </c>
      <c r="G30" s="483"/>
      <c r="H30" s="484"/>
      <c r="I30" s="488"/>
      <c r="N30" s="58"/>
      <c r="P30" s="384" t="e">
        <f ca="1">IF(AND(Portee_balistique&gt;200,LEFT(Type_propu,4)="Mini"),IF(Lang="Français","Fusée trop lègère !","Rocket too light"),"")</f>
        <v>#N/A</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13.92845269423648</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Ouverture parachute fusée précoce.</v>
      </c>
    </row>
    <row r="33" spans="1:16" x14ac:dyDescent="0.2">
      <c r="A33" s="59"/>
      <c r="B33" s="133" t="str">
        <f>IF(Lang="Français","Durée descente",IF(Lang="English","Fall duration",""))</f>
        <v>Durée descente</v>
      </c>
      <c r="C33" s="132">
        <f ca="1">Alt_para/V_para</f>
        <v>314.14730959887362</v>
      </c>
      <c r="D33" s="132">
        <f ca="1">IF(V_satellite&lt;&gt;0,Alt_sat/V_satellite,0)</f>
        <v>39.400507552760018</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Attention, aux efforts sur le parachute lors de l'ouverture !</v>
      </c>
    </row>
    <row r="34" spans="1:16" customFormat="1" x14ac:dyDescent="0.2">
      <c r="A34" s="59"/>
      <c r="B34" s="133" t="str">
        <f>IF(Lang="Français","Durée du vol",IF(Lang="English","Fligth duration",""))</f>
        <v>Durée du vol</v>
      </c>
      <c r="C34" s="132">
        <f ca="1">T_para+Dt_para</f>
        <v>336.14730959887362</v>
      </c>
      <c r="D34" s="132">
        <f ca="1">T_satellite+Dt_satellite</f>
        <v>42.900507552760018</v>
      </c>
      <c r="F34" s="625" t="str">
        <f>IF(Lang="Français","Couleur fuselage/coiffe","Body/Nose color")</f>
        <v>Couleur fuselage/coiffe</v>
      </c>
      <c r="G34" s="625"/>
      <c r="H34" s="621" t="s">
        <v>570</v>
      </c>
      <c r="I34" s="622"/>
      <c r="J34" s="1"/>
      <c r="K34" s="1"/>
      <c r="L34" s="1"/>
      <c r="M34" s="1"/>
      <c r="N34" s="394"/>
    </row>
    <row r="35" spans="1:16" x14ac:dyDescent="0.2">
      <c r="A35" s="74"/>
      <c r="B35" s="133" t="str">
        <f>IF(Lang="Français","Déport latéral",IF(Lang="English","Lateral shift",""))</f>
        <v>Déport latéral</v>
      </c>
      <c r="C35" s="151">
        <f ca="1">Alt_para*V_vent/V_para</f>
        <v>1570.7365479943678</v>
      </c>
      <c r="D35" s="151">
        <f ca="1">IF(V_satellite&lt;&gt;0,Alt_sat*V_vent_sat/V_satellite,0)</f>
        <v>197.00253776380006</v>
      </c>
      <c r="F35" s="625" t="str">
        <f>IF(Lang="Français","Couleur parachute fusée","Rocket parachute color")</f>
        <v>Couleur parachute fusée</v>
      </c>
      <c r="G35" s="625"/>
      <c r="H35" s="621" t="s">
        <v>571</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t="s">
        <v>569</v>
      </c>
      <c r="D37" s="61"/>
      <c r="E37" s="61"/>
      <c r="F37" s="61"/>
      <c r="G37" s="61"/>
      <c r="H37" s="61"/>
      <c r="I37" s="61"/>
      <c r="J37" s="61"/>
      <c r="K37" s="61"/>
      <c r="L37" s="61"/>
      <c r="M37" s="61"/>
      <c r="N37" s="290" t="s">
        <v>565</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0</v>
      </c>
      <c r="J42" s="150">
        <v>0</v>
      </c>
      <c r="K42" s="150">
        <v>0</v>
      </c>
      <c r="L42" s="148" t="s">
        <v>14</v>
      </c>
      <c r="M42" s="149">
        <f>Beta_rampe</f>
        <v>75</v>
      </c>
    </row>
    <row r="43" spans="1:16" x14ac:dyDescent="0.2">
      <c r="A43" s="161"/>
      <c r="B43" s="166" t="str">
        <f>IF(Lang="Français","Bord   'a'","Side length 'a'")</f>
        <v>Bord   'a'</v>
      </c>
      <c r="D43" s="162"/>
      <c r="F43" s="599" t="str">
        <f>IF(Lang="Français","Sortie de Rampe",IF(Lang="English","Launch-Pad Exit",""))</f>
        <v>Sortie de Rampe</v>
      </c>
      <c r="G43" s="599"/>
      <c r="H43" s="115">
        <f ca="1">INDEX(t,MATCH("Sortie de rampe",Event,0))</f>
        <v>0.35000000000000014</v>
      </c>
      <c r="I43" s="115">
        <f ca="1">INDEX(pos_z,MATCH("Sortie de rampe",Event,0))</f>
        <v>3.8421889048454996</v>
      </c>
      <c r="J43" s="115">
        <f ca="1">INDEX(pos_x,MATCH("Sortie de rampe",Event,0))</f>
        <v>1.0294398512800442</v>
      </c>
      <c r="K43" s="116">
        <f ca="1">INDEX(vit_xz,MATCH("Sortie de rampe",Event,0))</f>
        <v>25.211731558354685</v>
      </c>
      <c r="L43" s="116">
        <f ca="1">INDEX(acc_xz,MATCH("Sortie de rampe",Event,0))</f>
        <v>81.286801135416695</v>
      </c>
      <c r="M43" s="116">
        <f ca="1">INDEX(BetaD,MATCH("Sortie de rampe",Event,0))</f>
        <v>75</v>
      </c>
    </row>
    <row r="44" spans="1:16" x14ac:dyDescent="0.2">
      <c r="A44" s="161"/>
      <c r="B44" s="167">
        <v>249</v>
      </c>
      <c r="D44" s="162"/>
      <c r="F44" s="599" t="str">
        <f>IF(Lang="Français","Vit max &amp; Acc max",IF(Lang="English","Max Velocity &amp; Acc",""))</f>
        <v>Vit max &amp; Acc max</v>
      </c>
      <c r="G44" s="599"/>
      <c r="H44" s="115" t="s">
        <v>14</v>
      </c>
      <c r="I44" s="115" t="s">
        <v>14</v>
      </c>
      <c r="J44" s="115" t="s">
        <v>14</v>
      </c>
      <c r="K44" s="117">
        <f ca="1">MAX(vit_xz)</f>
        <v>506.78531686924737</v>
      </c>
      <c r="L44" s="118">
        <f ca="1">MAX(acc_xz)</f>
        <v>120.58677613714163</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7.2599999999998897</v>
      </c>
      <c r="I45" s="119">
        <f ca="1">INDEX(pos_z,MATCH("Fin de propulsion",Event,0))</f>
        <v>2050.8447129579181</v>
      </c>
      <c r="J45" s="119">
        <f ca="1">INDEX(pos_x,MATCH("Fin de propulsion",Event,0))</f>
        <v>752.67865522515729</v>
      </c>
      <c r="K45" s="119">
        <f ca="1">INDEX(vit_xz,MATCH("Fin de propulsion",Event,0))</f>
        <v>473.31838886974509</v>
      </c>
      <c r="L45" s="116">
        <f ca="1">INDEX(acc_xz,MATCH("Fin de propulsion",Event,0))</f>
        <v>120.58677613714163</v>
      </c>
      <c r="M45" s="116">
        <f ca="1">INDEX(BetaD,MATCH("Fin de propulsion",Event,0))</f>
        <v>68.637612285245694</v>
      </c>
    </row>
    <row r="46" spans="1:16" x14ac:dyDescent="0.2">
      <c r="A46" s="161"/>
      <c r="B46" s="168">
        <v>199</v>
      </c>
      <c r="D46" s="162"/>
      <c r="F46" s="599" t="s">
        <v>15</v>
      </c>
      <c r="G46" s="599"/>
      <c r="H46" s="118">
        <f ca="1">INDEX(t,MATCH("Apogée",Event,0))</f>
        <v>25.199999999999974</v>
      </c>
      <c r="I46" s="117">
        <f ca="1">INDEX(pos_z,MATCH("Apogée",Event,0))</f>
        <v>4427.2316091816419</v>
      </c>
      <c r="J46" s="120">
        <f ca="1">INDEX(pos_x,MATCH("Apogée",Event,0))</f>
        <v>2131.8931340009794</v>
      </c>
      <c r="K46" s="120">
        <f ca="1">INDEX(vit_xz,MATCH("Apogée",Event,0))</f>
        <v>49.794443797804618</v>
      </c>
      <c r="L46" s="116">
        <f ca="1">INDEX(acc_xz,MATCH("Apogée",Event,0))</f>
        <v>9.8774104271730678</v>
      </c>
      <c r="M46" s="121">
        <f ca="1">INDEX(BetaD,MATCH("Apogée",Event,0))</f>
        <v>7.3570552064572053E-2</v>
      </c>
    </row>
    <row r="47" spans="1:16" x14ac:dyDescent="0.2">
      <c r="A47" s="161"/>
      <c r="B47" s="169" t="s">
        <v>9</v>
      </c>
      <c r="D47" s="162"/>
      <c r="F47" s="602" t="str">
        <f>IF(Lang="Français","Impact balistique",IF(Lang="English","Balistic Impact",""))</f>
        <v>Impact balistique</v>
      </c>
      <c r="G47" s="602"/>
      <c r="H47" s="116" t="e">
        <f ca="1">INDEX(t,MATCH("Impact balistique",Event,0))</f>
        <v>#N/A</v>
      </c>
      <c r="I47" s="148" t="s">
        <v>16</v>
      </c>
      <c r="J47" s="117" t="e">
        <f ca="1">INDEX(pos_x,MATCH("Impact balistique",Event,0))</f>
        <v>#N/A</v>
      </c>
      <c r="K47" s="119" t="e">
        <f ca="1">INDEX(vit_xz,MATCH("Impact balistique",Event,0))</f>
        <v>#N/A</v>
      </c>
      <c r="L47" s="116" t="e">
        <f ca="1">INDEX(acc_xz,MATCH("Impact balistique",Event,0))</f>
        <v>#N/A</v>
      </c>
      <c r="M47" s="116" t="e">
        <f ca="1">INDEX(BetaD,MATCH("Impact balistique",Event,0))</f>
        <v>#N/A</v>
      </c>
    </row>
    <row r="48" spans="1:16" x14ac:dyDescent="0.2">
      <c r="A48" s="161"/>
      <c r="B48" s="174">
        <f>(4*B44*B46+B44^2)/10^6</f>
        <v>0.26020500000000002</v>
      </c>
      <c r="D48" s="162"/>
      <c r="F48" s="604" t="str">
        <f>IF(Lang="Français","Ouverture parachute fusée",IF(Lang="English","Rocket parachute opening",""))</f>
        <v>Ouverture parachute fusée</v>
      </c>
      <c r="G48" s="604"/>
      <c r="H48" s="122">
        <f>T_para</f>
        <v>22</v>
      </c>
      <c r="I48" s="123">
        <f ca="1">INDEX(pos_z,MATCH("Para",Event_para,0))</f>
        <v>4375.5859407695725</v>
      </c>
      <c r="J48" s="123">
        <f ca="1">INDEX(pos_x,MATCH("Para",Event_para,0))</f>
        <v>1967.2249650240287</v>
      </c>
      <c r="K48" s="123">
        <f ca="1">INDEX(vit_xz,MATCH("Para",Event_para,0))</f>
        <v>62.50265979820427</v>
      </c>
      <c r="L48" s="122">
        <f ca="1">INDEX(acc_xz,MATCH("Para",Event_para,0))</f>
        <v>10.720262093869321</v>
      </c>
      <c r="M48" s="124">
        <f ca="1">INDEX(BetaD,MATCH("Para",Event_para,0))</f>
        <v>31.475325462075222</v>
      </c>
    </row>
    <row r="49" spans="1:13" x14ac:dyDescent="0.2">
      <c r="A49" s="161"/>
      <c r="D49" s="162"/>
      <c r="F49" s="603" t="str">
        <f>IF(Lang="Français","Impact fusée sous para.",IF(Lang="English","Impact of rocket with para. ",""))</f>
        <v>Impact fusée sous para.</v>
      </c>
      <c r="G49" s="603"/>
      <c r="H49" s="125">
        <f ca="1">T_para+Dt_para</f>
        <v>336.14730959887362</v>
      </c>
      <c r="I49" s="127" t="s">
        <v>16</v>
      </c>
      <c r="J49" s="126" t="str">
        <f ca="1">CONCATENATE(TEXT(X_para-Dx_para,"0")," | ",TEXT(X_para+Dx_para,"0"))</f>
        <v>396 | 3538</v>
      </c>
      <c r="K49" s="126">
        <f ca="1">V_para</f>
        <v>13.92845269423648</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3.5</v>
      </c>
      <c r="I50" s="123">
        <f ca="1">IF(T_satellite&lt;&gt;0,INDEX(pos_z,MATCH("Satellite",Event_sat,0)),"")</f>
        <v>498.63559071419252</v>
      </c>
      <c r="J50" s="129">
        <f ca="1">IF(T_satellite&lt;&gt;0,INDEX(pos_x,MATCH("Satellite",Event_sat,0)),"")</f>
        <v>168.47833682839681</v>
      </c>
      <c r="K50" s="123">
        <f ca="1">IF(T_satellite&lt;&gt;0,INDEX(vit_xz,MATCH("Satellite",Event_sat,0)),"")</f>
        <v>313.24890311293871</v>
      </c>
      <c r="L50" s="122">
        <f ca="1">IF(T_satellite&lt;&gt;0,INDEX(acc_xz,MATCH("Satellite",Event_sat,0)),"")</f>
        <v>90.758789833499094</v>
      </c>
      <c r="M50" s="124">
        <f ca="1">IF(T_satellite&lt;&gt;0,INDEX(BetaD,MATCH("Satellite",Event_sat,0)),"")</f>
        <v>70.347310806387995</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42.900507552760018</v>
      </c>
      <c r="I51" s="130" t="str">
        <f>IF(T_satellite&lt;&gt;0,"~0","")</f>
        <v>~0</v>
      </c>
      <c r="J51" s="130" t="str">
        <f ca="1">IF(T_satellite&lt;&gt;0,CONCATENATE(TEXT(X_satellite-Dx_sat,"0")," | ",TEXT(X_satellite+Dx_sat,"0")),"")</f>
        <v>-29 | 365</v>
      </c>
      <c r="K51" s="130">
        <f>IF(T_satellite&lt;&gt;0,V_satellite,"")</f>
        <v>12.655562623057198</v>
      </c>
      <c r="L51" s="128">
        <f>IF(T_satellite&lt;&gt;0,g,"")</f>
        <v>9.81</v>
      </c>
      <c r="M51" s="131" t="str">
        <f>IF(T_satellite&lt;&gt;0,"-","")</f>
        <v>-</v>
      </c>
    </row>
    <row r="52" spans="1:13" x14ac:dyDescent="0.2">
      <c r="A52" s="161"/>
      <c r="B52" s="168">
        <v>450</v>
      </c>
      <c r="D52" s="162"/>
    </row>
    <row r="53" spans="1:13" x14ac:dyDescent="0.2">
      <c r="A53" s="161"/>
      <c r="B53" s="166" t="str">
        <f>IF(Lang="Français","Rayon intérieur","Half-diameter int")</f>
        <v>Rayon intérieur</v>
      </c>
      <c r="D53" s="162"/>
    </row>
    <row r="54" spans="1:13" x14ac:dyDescent="0.2">
      <c r="A54" s="161"/>
      <c r="B54" s="168">
        <v>50</v>
      </c>
      <c r="D54" s="162"/>
    </row>
    <row r="55" spans="1:13" x14ac:dyDescent="0.2">
      <c r="A55" s="161"/>
      <c r="B55" s="169" t="s">
        <v>9</v>
      </c>
      <c r="D55" s="162"/>
    </row>
    <row r="56" spans="1:13" x14ac:dyDescent="0.2">
      <c r="A56" s="161"/>
      <c r="B56" s="174">
        <f>PI()*(B52^2-B54^2)/10^6</f>
        <v>0.62831853071795862</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405</v>
      </c>
      <c r="G104" s="1" t="s">
        <v>412</v>
      </c>
      <c r="I104" s="1" t="s">
        <v>557</v>
      </c>
    </row>
    <row r="105" spans="2:9" x14ac:dyDescent="0.2">
      <c r="B105" s="1" t="s">
        <v>120</v>
      </c>
      <c r="F105" s="477">
        <f ca="1">Combustion+Depotage-9</f>
        <v>-9</v>
      </c>
      <c r="G105" s="478" t="s">
        <v>407</v>
      </c>
      <c r="I105" s="1" t="s">
        <v>558</v>
      </c>
    </row>
    <row r="106" spans="2:9" x14ac:dyDescent="0.2">
      <c r="B106" s="1" t="s">
        <v>121</v>
      </c>
      <c r="F106" s="477">
        <f ca="1">Combustion+Depotage-7</f>
        <v>-7</v>
      </c>
      <c r="G106" s="478" t="s">
        <v>408</v>
      </c>
      <c r="I106" s="1" t="s">
        <v>559</v>
      </c>
    </row>
    <row r="107" spans="2:9" x14ac:dyDescent="0.2">
      <c r="B107" s="1" t="str">
        <f>IF(T_para&gt;0,IF(Lang="Français","Phase ascendante","Climbing phase"),"")</f>
        <v>Phase ascendante</v>
      </c>
      <c r="F107" s="477">
        <f ca="1">Combustion+Depotage-5</f>
        <v>-5</v>
      </c>
      <c r="G107" s="478" t="s">
        <v>409</v>
      </c>
    </row>
    <row r="108" spans="2:9" x14ac:dyDescent="0.2">
      <c r="B108" s="1" t="str">
        <f>IF(Lang="Français","Descente balistique","Balistic fall")</f>
        <v>Descente balistique</v>
      </c>
      <c r="F108" s="477">
        <f ca="1">Combustion+Depotage-3</f>
        <v>-3</v>
      </c>
      <c r="G108" s="478" t="s">
        <v>410</v>
      </c>
    </row>
    <row r="109" spans="2:9" x14ac:dyDescent="0.2">
      <c r="B109" s="1" t="str">
        <f>IF(T_para&gt;0,IF(Lang="Français","Fusée sous parachute","Rocket under parachute"),"")</f>
        <v>Fusée sous parachute</v>
      </c>
      <c r="F109" s="477">
        <f ca="1">Combustion+Depotage</f>
        <v>0</v>
      </c>
      <c r="G109" s="478" t="s">
        <v>411</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22</v>
      </c>
    </row>
    <row r="116" spans="2:3" x14ac:dyDescent="0.2">
      <c r="B116" s="1" t="s">
        <v>406</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t="e">
        <f ca="1">MAX(Altitude_culmi,Portee_balistique)</f>
        <v>#N/A</v>
      </c>
      <c r="C121" s="216" t="e">
        <f ca="1">MAX(Altitude_culmi,Portee_balistique)</f>
        <v>#N/A</v>
      </c>
    </row>
    <row r="123" spans="2:3" x14ac:dyDescent="0.2">
      <c r="B123" s="210" t="s">
        <v>49</v>
      </c>
      <c r="C123" s="211" t="s">
        <v>45</v>
      </c>
    </row>
    <row r="124" spans="2:3" x14ac:dyDescent="0.2">
      <c r="B124" s="217">
        <f ca="1">X_para</f>
        <v>1967.2249650240287</v>
      </c>
      <c r="C124" s="214">
        <f ca="1">Alt_para</f>
        <v>4375.5859407695725</v>
      </c>
    </row>
    <row r="125" spans="2:3" x14ac:dyDescent="0.2">
      <c r="B125" s="217">
        <f ca="1">X_para</f>
        <v>1967.2249650240287</v>
      </c>
      <c r="C125" s="214">
        <f ca="1">Alt_para/2</f>
        <v>2187.7929703847863</v>
      </c>
    </row>
    <row r="126" spans="2:3" x14ac:dyDescent="0.2">
      <c r="B126" s="217">
        <f ca="1">X_para</f>
        <v>1967.2249650240287</v>
      </c>
      <c r="C126" s="214">
        <v>0</v>
      </c>
    </row>
    <row r="127" spans="2:3" x14ac:dyDescent="0.2">
      <c r="B127" s="217">
        <f ca="1">X_para+Alt_para/40</f>
        <v>2076.6146135432682</v>
      </c>
      <c r="C127" s="214">
        <f ca="1">Alt_para/20</f>
        <v>218.77929703847863</v>
      </c>
    </row>
    <row r="128" spans="2:3" x14ac:dyDescent="0.2">
      <c r="B128" s="217">
        <f ca="1">X_para</f>
        <v>1967.2249650240287</v>
      </c>
      <c r="C128" s="214">
        <v>0</v>
      </c>
    </row>
    <row r="129" spans="2:6" x14ac:dyDescent="0.2">
      <c r="B129" s="217">
        <f ca="1">X_para-Alt_para/40</f>
        <v>1857.8353165047895</v>
      </c>
      <c r="C129" s="214">
        <f ca="1">Alt_para/20</f>
        <v>218.77929703847863</v>
      </c>
    </row>
    <row r="130" spans="2:6" x14ac:dyDescent="0.2">
      <c r="B130" s="218">
        <f ca="1">X_para</f>
        <v>1967.2249650240287</v>
      </c>
      <c r="C130" s="219">
        <v>0</v>
      </c>
    </row>
    <row r="131" spans="2:6" x14ac:dyDescent="0.2">
      <c r="B131" s="210" t="s">
        <v>48</v>
      </c>
      <c r="C131" s="211" t="s">
        <v>45</v>
      </c>
    </row>
    <row r="132" spans="2:6" x14ac:dyDescent="0.2">
      <c r="B132" s="213">
        <f>T_para</f>
        <v>22</v>
      </c>
      <c r="C132" s="214">
        <f ca="1">Alt_para</f>
        <v>4375.5859407695725</v>
      </c>
    </row>
    <row r="133" spans="2:6" x14ac:dyDescent="0.2">
      <c r="B133" s="213">
        <f ca="1">(B132+B134)/2</f>
        <v>179.07365479943681</v>
      </c>
      <c r="C133" s="214">
        <f ca="1">(C132+C134)/2</f>
        <v>2187.7929703847863</v>
      </c>
      <c r="E133" s="232">
        <v>1</v>
      </c>
      <c r="F133" s="233" t="s">
        <v>175</v>
      </c>
    </row>
    <row r="134" spans="2:6" x14ac:dyDescent="0.2">
      <c r="B134" s="213">
        <f ca="1">H49</f>
        <v>336.14730959887362</v>
      </c>
      <c r="C134" s="214">
        <f>0</f>
        <v>0</v>
      </c>
      <c r="E134" s="161">
        <v>1</v>
      </c>
      <c r="F134" s="234" t="s">
        <v>176</v>
      </c>
    </row>
    <row r="135" spans="2:6" x14ac:dyDescent="0.2">
      <c r="B135" s="213" t="e">
        <f ca="1">H49+E133*sS/2*zZ_fus-E134*sS*tT_fus</f>
        <v>#N/A</v>
      </c>
      <c r="C135" s="214" t="e">
        <f ca="1">Alt_para-V_para*(H49-T_para)+E133*sS*Altitude_culmi/H49*zZ_fus+E134*sS/2*Altitude_culmi/H49*tT_fus</f>
        <v>#N/A</v>
      </c>
      <c r="E135" s="161"/>
      <c r="F135" s="241" t="s">
        <v>177</v>
      </c>
    </row>
    <row r="136" spans="2:6" x14ac:dyDescent="0.2">
      <c r="B136" s="213">
        <f ca="1">H49</f>
        <v>336.14730959887362</v>
      </c>
      <c r="C136" s="214">
        <f ca="1">Alt_para-V_para*(H49-T_para)</f>
        <v>0</v>
      </c>
      <c r="E136" s="235" t="s">
        <v>172</v>
      </c>
      <c r="F136" s="236" t="e">
        <f ca="1">T_balistique/10</f>
        <v>#N/A</v>
      </c>
    </row>
    <row r="137" spans="2:6" x14ac:dyDescent="0.2">
      <c r="B137" s="213" t="e">
        <f ca="1">H49-E133*sS/2*zZ_fus-E134*sS*tT_fus</f>
        <v>#N/A</v>
      </c>
      <c r="C137" s="214" t="e">
        <f ca="1">Alt_para-V_para*(H49-T_para)+E133*sS*Altitude_culmi/H49*zZ_fus-E134*sS/2*Altitude_culmi/H49*tT_fus</f>
        <v>#N/A</v>
      </c>
      <c r="E137" s="235" t="s">
        <v>173</v>
      </c>
      <c r="F137" s="236">
        <f ca="1">(H49-T_para)/H49</f>
        <v>0.93455250310867366</v>
      </c>
    </row>
    <row r="138" spans="2:6" x14ac:dyDescent="0.2">
      <c r="B138" s="215">
        <f ca="1">H49</f>
        <v>336.14730959887362</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t="e">
        <f ca="1">(T_balistique-T_satellite)/T_balistique</f>
        <v>#N/A</v>
      </c>
    </row>
    <row r="155" spans="2:6" x14ac:dyDescent="0.2">
      <c r="B155" s="215" t="b">
        <f>IF(Nb_sat="1 satellite",H51)</f>
        <v>0</v>
      </c>
      <c r="C155" s="216" t="b">
        <f>IF(Nb_sat="1 satellite",0)</f>
        <v>0</v>
      </c>
      <c r="E155" s="237" t="s">
        <v>174</v>
      </c>
      <c r="F155" s="238" t="e">
        <f ca="1">V_satellite*(T_balistique-T_satellite)/Alt_sat</f>
        <v>#N/A</v>
      </c>
    </row>
    <row r="157" spans="2:6" x14ac:dyDescent="0.2">
      <c r="B157" s="210" t="s">
        <v>2</v>
      </c>
      <c r="C157" s="228" t="s">
        <v>29</v>
      </c>
      <c r="D157" s="211" t="s">
        <v>3</v>
      </c>
    </row>
    <row r="158" spans="2:6" x14ac:dyDescent="0.2">
      <c r="B158" s="231">
        <f>T_para/4</f>
        <v>5.5</v>
      </c>
      <c r="C158" s="82">
        <f ca="1">Alt_para/2</f>
        <v>2187.7929703847863</v>
      </c>
      <c r="D158" s="214">
        <f ca="1">X_para/4</f>
        <v>491.80624125600718</v>
      </c>
    </row>
    <row r="159" spans="2:6" x14ac:dyDescent="0.2">
      <c r="B159" s="229" t="e">
        <f ca="1">Temps_culmi + (T_balistique-Temps_culmi)/2</f>
        <v>#N/A</v>
      </c>
      <c r="C159" s="230">
        <f ca="1">Altitude_culmi/2</f>
        <v>2213.615804590821</v>
      </c>
      <c r="D159" s="216" t="e">
        <f ca="1">X_culmi+(Portee_balistique-X_culmi)*2/3</f>
        <v>#N/A</v>
      </c>
    </row>
    <row r="161" spans="2:6" x14ac:dyDescent="0.2">
      <c r="B161" s="210" t="s">
        <v>302</v>
      </c>
      <c r="C161" s="228" t="s">
        <v>301</v>
      </c>
      <c r="D161" s="422" t="s">
        <v>303</v>
      </c>
    </row>
    <row r="162" spans="2:6" x14ac:dyDescent="0.2">
      <c r="B162" s="231" t="e">
        <f ca="1">IF(AND(Altitude_culmi&gt;80, Altitude_culmi&lt;=350), 49, NA())</f>
        <v>#N/A</v>
      </c>
      <c r="C162" s="5">
        <v>0</v>
      </c>
      <c r="D162" s="82">
        <f t="shared" ref="D162:D177" ca="1" si="0">X_culmi+C162</f>
        <v>2131.8931340009794</v>
      </c>
      <c r="E162" s="422"/>
      <c r="F162" s="423" t="s">
        <v>303</v>
      </c>
    </row>
    <row r="163" spans="2:6" x14ac:dyDescent="0.2">
      <c r="B163" s="231" t="e">
        <f ca="1">IF(AND(Altitude_culmi&gt;80, Altitude_culmi&lt;=350), 49, NA())</f>
        <v>#N/A</v>
      </c>
      <c r="C163" s="5">
        <v>23</v>
      </c>
      <c r="D163" s="82">
        <f t="shared" ca="1" si="0"/>
        <v>2154.8931340009794</v>
      </c>
      <c r="E163" s="82"/>
      <c r="F163" s="214">
        <f t="shared" ref="F163:F178" ca="1" si="1">X_culmi-C162</f>
        <v>2131.8931340009794</v>
      </c>
    </row>
    <row r="164" spans="2:6" x14ac:dyDescent="0.2">
      <c r="B164" s="231" t="e">
        <f ca="1">IF(AND(Altitude_culmi&gt;80, Altitude_culmi&lt;=350), 43, NA())</f>
        <v>#N/A</v>
      </c>
      <c r="C164" s="5">
        <v>23</v>
      </c>
      <c r="D164" s="82">
        <f t="shared" ca="1" si="0"/>
        <v>2154.8931340009794</v>
      </c>
      <c r="E164" s="82"/>
      <c r="F164" s="214">
        <f t="shared" ca="1" si="1"/>
        <v>2108.8931340009794</v>
      </c>
    </row>
    <row r="165" spans="2:6" x14ac:dyDescent="0.2">
      <c r="B165" s="231" t="e">
        <f ca="1">IF(AND(Altitude_culmi&gt;80, Altitude_culmi&lt;=350), 43, NA())</f>
        <v>#N/A</v>
      </c>
      <c r="C165" s="5">
        <v>0</v>
      </c>
      <c r="D165" s="82">
        <f t="shared" ca="1" si="0"/>
        <v>2131.8931340009794</v>
      </c>
      <c r="E165" s="82"/>
      <c r="F165" s="214">
        <f t="shared" ca="1" si="1"/>
        <v>2108.8931340009794</v>
      </c>
    </row>
    <row r="166" spans="2:6" x14ac:dyDescent="0.2">
      <c r="B166" s="231" t="e">
        <f ca="1">IF(AND(Altitude_culmi&gt;80, Altitude_culmi&lt;=350), 43, NA())</f>
        <v>#N/A</v>
      </c>
      <c r="C166" s="5">
        <v>23</v>
      </c>
      <c r="D166" s="82">
        <f t="shared" ca="1" si="0"/>
        <v>2154.8931340009794</v>
      </c>
      <c r="E166" s="82"/>
      <c r="F166" s="214">
        <f t="shared" ca="1" si="1"/>
        <v>2131.8931340009794</v>
      </c>
    </row>
    <row r="167" spans="2:6" x14ac:dyDescent="0.2">
      <c r="B167" s="231" t="e">
        <f ca="1">IF(AND(Altitude_culmi&gt;80, Altitude_culmi&lt;=350), 0.5, NA())</f>
        <v>#N/A</v>
      </c>
      <c r="C167" s="5">
        <v>23</v>
      </c>
      <c r="D167" s="82">
        <f t="shared" ca="1" si="0"/>
        <v>2154.8931340009794</v>
      </c>
      <c r="E167" s="82"/>
      <c r="F167" s="214">
        <f t="shared" ca="1" si="1"/>
        <v>2108.8931340009794</v>
      </c>
    </row>
    <row r="168" spans="2:6" x14ac:dyDescent="0.2">
      <c r="B168" s="231" t="e">
        <f ca="1">IF(AND(Altitude_culmi&gt;80, Altitude_culmi&lt;=350), 0.5, NA())</f>
        <v>#N/A</v>
      </c>
      <c r="C168" s="5">
        <v>8</v>
      </c>
      <c r="D168" s="82">
        <f t="shared" ca="1" si="0"/>
        <v>2139.8931340009794</v>
      </c>
      <c r="E168" s="82"/>
      <c r="F168" s="214">
        <f t="shared" ca="1" si="1"/>
        <v>2108.8931340009794</v>
      </c>
    </row>
    <row r="169" spans="2:6" x14ac:dyDescent="0.2">
      <c r="B169" s="231" t="e">
        <f ca="1">IF(AND(Altitude_culmi&gt;80, Altitude_culmi&lt;=350), 27, NA())</f>
        <v>#N/A</v>
      </c>
      <c r="C169" s="5">
        <v>8</v>
      </c>
      <c r="D169" s="82">
        <f t="shared" ca="1" si="0"/>
        <v>2139.8931340009794</v>
      </c>
      <c r="E169" s="82"/>
      <c r="F169" s="214">
        <f t="shared" ca="1" si="1"/>
        <v>2123.8931340009794</v>
      </c>
    </row>
    <row r="170" spans="2:6" x14ac:dyDescent="0.2">
      <c r="B170" s="231" t="e">
        <f ca="1">IF(AND(Altitude_culmi&gt;80, Altitude_culmi&lt;=350), 27, NA())</f>
        <v>#N/A</v>
      </c>
      <c r="C170" s="5">
        <v>23</v>
      </c>
      <c r="D170" s="82">
        <f t="shared" ca="1" si="0"/>
        <v>2154.8931340009794</v>
      </c>
      <c r="E170" s="82"/>
      <c r="F170" s="214">
        <f t="shared" ca="1" si="1"/>
        <v>2123.8931340009794</v>
      </c>
    </row>
    <row r="171" spans="2:6" x14ac:dyDescent="0.2">
      <c r="B171" s="231" t="e">
        <f ca="1">IF(AND(Altitude_culmi&gt;80, Altitude_culmi&lt;=350), 27, NA())</f>
        <v>#N/A</v>
      </c>
      <c r="C171" s="5">
        <v>8</v>
      </c>
      <c r="D171" s="82">
        <f t="shared" ca="1" si="0"/>
        <v>2139.8931340009794</v>
      </c>
      <c r="E171" s="82"/>
      <c r="F171" s="214">
        <f t="shared" ca="1" si="1"/>
        <v>2108.8931340009794</v>
      </c>
    </row>
    <row r="172" spans="2:6" x14ac:dyDescent="0.2">
      <c r="B172" s="231" t="e">
        <f ca="1">IF(AND(Altitude_culmi&gt;80, Altitude_culmi&lt;=350), 29, NA())</f>
        <v>#N/A</v>
      </c>
      <c r="C172" s="5">
        <v>7.6</v>
      </c>
      <c r="D172" s="82">
        <f t="shared" ca="1" si="0"/>
        <v>2139.4931340009794</v>
      </c>
      <c r="E172" s="82"/>
      <c r="F172" s="214">
        <f t="shared" ca="1" si="1"/>
        <v>2123.8931340009794</v>
      </c>
    </row>
    <row r="173" spans="2:6" x14ac:dyDescent="0.2">
      <c r="B173" s="231" t="e">
        <f ca="1">IF(AND(Altitude_culmi&gt;80, Altitude_culmi&lt;=350), 31, NA())</f>
        <v>#N/A</v>
      </c>
      <c r="C173" s="5">
        <v>6.8</v>
      </c>
      <c r="D173" s="82">
        <f t="shared" ca="1" si="0"/>
        <v>2138.6931340009796</v>
      </c>
      <c r="E173" s="82"/>
      <c r="F173" s="214">
        <f t="shared" ca="1" si="1"/>
        <v>2124.2931340009795</v>
      </c>
    </row>
    <row r="174" spans="2:6" x14ac:dyDescent="0.2">
      <c r="B174" s="231" t="e">
        <f ca="1">IF(AND(Altitude_culmi&gt;80, Altitude_culmi&lt;=350), 32, NA())</f>
        <v>#N/A</v>
      </c>
      <c r="C174" s="5">
        <v>6</v>
      </c>
      <c r="D174" s="82">
        <f t="shared" ca="1" si="0"/>
        <v>2137.8931340009794</v>
      </c>
      <c r="E174" s="82"/>
      <c r="F174" s="214">
        <f t="shared" ca="1" si="1"/>
        <v>2125.0931340009793</v>
      </c>
    </row>
    <row r="175" spans="2:6" x14ac:dyDescent="0.2">
      <c r="B175" s="231" t="e">
        <f ca="1">IF(AND(Altitude_culmi&gt;80, Altitude_culmi&lt;=350), 33, NA())</f>
        <v>#N/A</v>
      </c>
      <c r="C175" s="5">
        <v>5</v>
      </c>
      <c r="D175" s="82">
        <f t="shared" ca="1" si="0"/>
        <v>2136.8931340009794</v>
      </c>
      <c r="E175" s="82"/>
      <c r="F175" s="214">
        <f t="shared" ca="1" si="1"/>
        <v>2125.8931340009794</v>
      </c>
    </row>
    <row r="176" spans="2:6" x14ac:dyDescent="0.2">
      <c r="B176" s="231" t="e">
        <f ca="1">IF(AND(Altitude_culmi&gt;80, Altitude_culmi&lt;=350), 34, NA())</f>
        <v>#N/A</v>
      </c>
      <c r="C176" s="5">
        <v>3.8</v>
      </c>
      <c r="D176" s="82">
        <f t="shared" ca="1" si="0"/>
        <v>2135.6931340009796</v>
      </c>
      <c r="E176" s="82"/>
      <c r="F176" s="214">
        <f t="shared" ca="1" si="1"/>
        <v>2126.8931340009794</v>
      </c>
    </row>
    <row r="177" spans="2:6" x14ac:dyDescent="0.2">
      <c r="B177" s="229" t="e">
        <f ca="1">IF(AND(Altitude_culmi&gt;80, Altitude_culmi&lt;=350), 35, NA())</f>
        <v>#N/A</v>
      </c>
      <c r="C177" s="421">
        <v>0</v>
      </c>
      <c r="D177" s="230">
        <f t="shared" ca="1" si="0"/>
        <v>2131.8931340009794</v>
      </c>
      <c r="E177" s="82"/>
      <c r="F177" s="214">
        <f t="shared" ca="1" si="1"/>
        <v>2128.0931340009793</v>
      </c>
    </row>
    <row r="178" spans="2:6" x14ac:dyDescent="0.2">
      <c r="E178" s="230"/>
      <c r="F178" s="216">
        <f t="shared" ca="1" si="1"/>
        <v>2131.8931340009794</v>
      </c>
    </row>
    <row r="179" spans="2:6" x14ac:dyDescent="0.2">
      <c r="B179" s="210" t="s">
        <v>304</v>
      </c>
      <c r="C179" s="228" t="s">
        <v>305</v>
      </c>
      <c r="D179" s="228" t="s">
        <v>306</v>
      </c>
    </row>
    <row r="180" spans="2:6" x14ac:dyDescent="0.2">
      <c r="B180" s="231">
        <f ca="1">IF(Altitude_culmi&gt;350, 324, NA())</f>
        <v>324</v>
      </c>
      <c r="C180" s="5">
        <v>0</v>
      </c>
      <c r="D180" s="82">
        <f t="shared" ref="D180:D200" ca="1" si="2">X_culmi+C180</f>
        <v>2131.8931340009794</v>
      </c>
      <c r="E180" s="228"/>
      <c r="F180" s="211" t="s">
        <v>306</v>
      </c>
    </row>
    <row r="181" spans="2:6" x14ac:dyDescent="0.2">
      <c r="B181" s="231">
        <f ca="1">IF(Altitude_culmi&gt;350, 300, NA())</f>
        <v>300</v>
      </c>
      <c r="C181" s="5">
        <v>0</v>
      </c>
      <c r="D181" s="82">
        <f t="shared" ca="1" si="2"/>
        <v>2131.8931340009794</v>
      </c>
      <c r="E181" s="82"/>
      <c r="F181" s="214">
        <f t="shared" ref="F181:F201" ca="1" si="3">X_culmi-C180</f>
        <v>2131.8931340009794</v>
      </c>
    </row>
    <row r="182" spans="2:6" x14ac:dyDescent="0.2">
      <c r="B182" s="231">
        <f ca="1">IF(Altitude_culmi&gt;350, 280, NA())</f>
        <v>280</v>
      </c>
      <c r="C182" s="5">
        <v>10</v>
      </c>
      <c r="D182" s="82">
        <f t="shared" ca="1" si="2"/>
        <v>2141.8931340009794</v>
      </c>
      <c r="E182" s="82"/>
      <c r="F182" s="214">
        <f t="shared" ca="1" si="3"/>
        <v>2131.8931340009794</v>
      </c>
    </row>
    <row r="183" spans="2:6" x14ac:dyDescent="0.2">
      <c r="B183" s="231">
        <f ca="1">IF(Altitude_culmi&gt;350, 280, NA())</f>
        <v>280</v>
      </c>
      <c r="C183" s="5">
        <v>0</v>
      </c>
      <c r="D183" s="82">
        <f t="shared" ca="1" si="2"/>
        <v>2131.8931340009794</v>
      </c>
      <c r="E183" s="82"/>
      <c r="F183" s="214">
        <f t="shared" ca="1" si="3"/>
        <v>2121.8931340009794</v>
      </c>
    </row>
    <row r="184" spans="2:6" x14ac:dyDescent="0.2">
      <c r="B184" s="231">
        <f ca="1">IF(Altitude_culmi&gt;350, 280, NA())</f>
        <v>280</v>
      </c>
      <c r="C184" s="5">
        <v>10</v>
      </c>
      <c r="D184" s="82">
        <f t="shared" ca="1" si="2"/>
        <v>2141.8931340009794</v>
      </c>
      <c r="E184" s="82"/>
      <c r="F184" s="214">
        <f t="shared" ca="1" si="3"/>
        <v>2131.8931340009794</v>
      </c>
    </row>
    <row r="185" spans="2:6" x14ac:dyDescent="0.2">
      <c r="B185" s="231">
        <f ca="1">IF(Altitude_culmi&gt;350, 200, NA())</f>
        <v>200</v>
      </c>
      <c r="C185" s="5">
        <v>13</v>
      </c>
      <c r="D185" s="82">
        <f t="shared" ca="1" si="2"/>
        <v>2144.8931340009794</v>
      </c>
      <c r="E185" s="82"/>
      <c r="F185" s="214">
        <f t="shared" ca="1" si="3"/>
        <v>2121.8931340009794</v>
      </c>
    </row>
    <row r="186" spans="2:6" x14ac:dyDescent="0.2">
      <c r="B186" s="231">
        <f ca="1">IF(Altitude_culmi&gt;350, 160, NA())</f>
        <v>160</v>
      </c>
      <c r="C186" s="5">
        <v>17</v>
      </c>
      <c r="D186" s="82">
        <f t="shared" ca="1" si="2"/>
        <v>2148.8931340009794</v>
      </c>
      <c r="E186" s="82"/>
      <c r="F186" s="214">
        <f t="shared" ca="1" si="3"/>
        <v>2118.8931340009794</v>
      </c>
    </row>
    <row r="187" spans="2:6" x14ac:dyDescent="0.2">
      <c r="B187" s="231">
        <f ca="1">IF(Altitude_culmi&gt;350, 115, NA())</f>
        <v>115</v>
      </c>
      <c r="C187" s="5">
        <v>20</v>
      </c>
      <c r="D187" s="82">
        <f t="shared" ca="1" si="2"/>
        <v>2151.8931340009794</v>
      </c>
      <c r="E187" s="82"/>
      <c r="F187" s="214">
        <f t="shared" ca="1" si="3"/>
        <v>2114.8931340009794</v>
      </c>
    </row>
    <row r="188" spans="2:6" x14ac:dyDescent="0.2">
      <c r="B188" s="231">
        <f ca="1">IF(Altitude_culmi&gt;350, 90, NA())</f>
        <v>90</v>
      </c>
      <c r="C188" s="5">
        <v>25</v>
      </c>
      <c r="D188" s="82">
        <f t="shared" ca="1" si="2"/>
        <v>2156.8931340009794</v>
      </c>
      <c r="E188" s="82"/>
      <c r="F188" s="214">
        <f t="shared" ca="1" si="3"/>
        <v>2111.8931340009794</v>
      </c>
    </row>
    <row r="189" spans="2:6" x14ac:dyDescent="0.2">
      <c r="B189" s="231">
        <f ca="1">IF(Altitude_culmi&gt;350, 57, NA())</f>
        <v>57</v>
      </c>
      <c r="C189" s="5">
        <v>30</v>
      </c>
      <c r="D189" s="82">
        <f t="shared" ca="1" si="2"/>
        <v>2161.8931340009794</v>
      </c>
      <c r="E189" s="82"/>
      <c r="F189" s="214">
        <f t="shared" ca="1" si="3"/>
        <v>2106.8931340009794</v>
      </c>
    </row>
    <row r="190" spans="2:6" x14ac:dyDescent="0.2">
      <c r="B190" s="231">
        <f ca="1">IF(Altitude_culmi&gt;350, 40, NA())</f>
        <v>40</v>
      </c>
      <c r="C190" s="5">
        <v>36</v>
      </c>
      <c r="D190" s="82">
        <f t="shared" ca="1" si="2"/>
        <v>2167.8931340009794</v>
      </c>
      <c r="E190" s="82"/>
      <c r="F190" s="214">
        <f t="shared" ca="1" si="3"/>
        <v>2101.8931340009794</v>
      </c>
    </row>
    <row r="191" spans="2:6" x14ac:dyDescent="0.2">
      <c r="B191" s="231">
        <f ca="1">IF(Altitude_culmi&gt;350, 20, NA())</f>
        <v>20</v>
      </c>
      <c r="C191" s="5">
        <v>48</v>
      </c>
      <c r="D191" s="82">
        <f t="shared" ca="1" si="2"/>
        <v>2179.8931340009794</v>
      </c>
      <c r="E191" s="82"/>
      <c r="F191" s="214">
        <f t="shared" ca="1" si="3"/>
        <v>2095.8931340009794</v>
      </c>
    </row>
    <row r="192" spans="2:6" x14ac:dyDescent="0.2">
      <c r="B192" s="231">
        <f ca="1">IF(Altitude_culmi&gt;350, 0.5, NA())</f>
        <v>0.5</v>
      </c>
      <c r="C192" s="5">
        <v>62</v>
      </c>
      <c r="D192" s="82">
        <f t="shared" ca="1" si="2"/>
        <v>2193.8931340009794</v>
      </c>
      <c r="E192" s="82"/>
      <c r="F192" s="214">
        <f t="shared" ca="1" si="3"/>
        <v>2083.8931340009794</v>
      </c>
    </row>
    <row r="193" spans="2:6" x14ac:dyDescent="0.2">
      <c r="B193" s="231">
        <f ca="1">IF(Altitude_culmi&gt;350, 0.5, NA())</f>
        <v>0.5</v>
      </c>
      <c r="C193" s="5">
        <v>37</v>
      </c>
      <c r="D193" s="82">
        <f t="shared" ca="1" si="2"/>
        <v>2168.8931340009794</v>
      </c>
      <c r="E193" s="82"/>
      <c r="F193" s="214">
        <f t="shared" ca="1" si="3"/>
        <v>2069.8931340009794</v>
      </c>
    </row>
    <row r="194" spans="2:6" x14ac:dyDescent="0.2">
      <c r="B194" s="231">
        <f ca="1">IF(Altitude_culmi&gt;350, 15, NA())</f>
        <v>15</v>
      </c>
      <c r="C194" s="5">
        <v>30</v>
      </c>
      <c r="D194" s="82">
        <f t="shared" ca="1" si="2"/>
        <v>2161.8931340009794</v>
      </c>
      <c r="E194" s="82"/>
      <c r="F194" s="214">
        <f t="shared" ca="1" si="3"/>
        <v>2094.8931340009794</v>
      </c>
    </row>
    <row r="195" spans="2:6" x14ac:dyDescent="0.2">
      <c r="B195" s="231">
        <f ca="1">IF(Altitude_culmi&gt;350, 30, NA())</f>
        <v>30</v>
      </c>
      <c r="C195" s="5">
        <v>15</v>
      </c>
      <c r="D195" s="82">
        <f t="shared" ca="1" si="2"/>
        <v>2146.8931340009794</v>
      </c>
      <c r="E195" s="82"/>
      <c r="F195" s="214">
        <f t="shared" ca="1" si="3"/>
        <v>2101.8931340009794</v>
      </c>
    </row>
    <row r="196" spans="2:6" x14ac:dyDescent="0.2">
      <c r="B196" s="231">
        <f ca="1">IF(Altitude_culmi&gt;350, 37, NA())</f>
        <v>37</v>
      </c>
      <c r="C196" s="5">
        <v>0</v>
      </c>
      <c r="D196" s="82">
        <f t="shared" ca="1" si="2"/>
        <v>2131.8931340009794</v>
      </c>
      <c r="E196" s="82"/>
      <c r="F196" s="214">
        <f t="shared" ca="1" si="3"/>
        <v>2116.8931340009794</v>
      </c>
    </row>
    <row r="197" spans="2:6" x14ac:dyDescent="0.2">
      <c r="B197" s="231">
        <f ca="1">IF(Altitude_culmi&gt;350, 67, NA())</f>
        <v>67</v>
      </c>
      <c r="C197" s="5">
        <v>0</v>
      </c>
      <c r="D197" s="82">
        <f t="shared" ca="1" si="2"/>
        <v>2131.8931340009794</v>
      </c>
      <c r="E197" s="82"/>
      <c r="F197" s="214">
        <f t="shared" ca="1" si="3"/>
        <v>2131.8931340009794</v>
      </c>
    </row>
    <row r="198" spans="2:6" x14ac:dyDescent="0.2">
      <c r="B198" s="231">
        <f ca="1">IF(Altitude_culmi&gt;350, 67, NA())</f>
        <v>67</v>
      </c>
      <c r="C198" s="5">
        <v>17</v>
      </c>
      <c r="D198" s="82">
        <f t="shared" ca="1" si="2"/>
        <v>2148.8931340009794</v>
      </c>
      <c r="E198" s="82"/>
      <c r="F198" s="214">
        <f t="shared" ca="1" si="3"/>
        <v>2131.8931340009794</v>
      </c>
    </row>
    <row r="199" spans="2:6" x14ac:dyDescent="0.2">
      <c r="B199" s="231">
        <f ca="1">IF(Altitude_culmi&gt;350, 100, NA())</f>
        <v>100</v>
      </c>
      <c r="C199" s="5">
        <v>11</v>
      </c>
      <c r="D199" s="82">
        <f t="shared" ca="1" si="2"/>
        <v>2142.8931340009794</v>
      </c>
      <c r="E199" s="82"/>
      <c r="F199" s="214">
        <f t="shared" ca="1" si="3"/>
        <v>2114.8931340009794</v>
      </c>
    </row>
    <row r="200" spans="2:6" x14ac:dyDescent="0.2">
      <c r="B200" s="229">
        <f ca="1">IF(Altitude_culmi&gt;350, 100, NA())</f>
        <v>100</v>
      </c>
      <c r="C200" s="421">
        <v>0</v>
      </c>
      <c r="D200" s="230">
        <f t="shared" ca="1" si="2"/>
        <v>2131.8931340009794</v>
      </c>
      <c r="E200" s="82"/>
      <c r="F200" s="214">
        <f t="shared" ca="1" si="3"/>
        <v>2120.8931340009794</v>
      </c>
    </row>
    <row r="201" spans="2:6" x14ac:dyDescent="0.2">
      <c r="E201" s="230"/>
      <c r="F201" s="216">
        <f t="shared" ca="1" si="3"/>
        <v>2131.8931340009794</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disablePrompts="1"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ColWidth="11.42578125"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P11" sqref="P11"/>
    </sheetView>
  </sheetViews>
  <sheetFormatPr baseColWidth="10" defaultColWidth="11.42578125"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Pro98-6G Green</v>
      </c>
      <c r="B2" s="352">
        <f>VLOOKUP(A2,A26:B314,2,FALSE)</f>
        <v>294</v>
      </c>
      <c r="C2" s="363" t="s">
        <v>115</v>
      </c>
      <c r="D2" s="353">
        <f ca="1">INDIRECT(ADDRESS(B2,4))</f>
        <v>14273.976008499998</v>
      </c>
      <c r="E2" s="363" t="s">
        <v>114</v>
      </c>
      <c r="F2" s="354">
        <f ca="1">INDIRECT(ADDRESS(B2,6))</f>
        <v>169.50645688990159</v>
      </c>
      <c r="G2" s="363" t="s">
        <v>56</v>
      </c>
      <c r="H2" s="355">
        <f ca="1">INDIRECT(ADDRESS(B2,8))</f>
        <v>13.247999999999999</v>
      </c>
      <c r="I2" s="363" t="s">
        <v>271</v>
      </c>
      <c r="J2" s="356">
        <f ca="1">INDIRECT(ADDRESS(B2,10))</f>
        <v>8.5839999999999996</v>
      </c>
      <c r="K2" s="363" t="s">
        <v>58</v>
      </c>
      <c r="L2" s="355">
        <f ca="1">INDIRECT(ADDRESS(B2,12))</f>
        <v>4.6639999999999997</v>
      </c>
      <c r="M2" s="363" t="s">
        <v>57</v>
      </c>
      <c r="N2" s="357">
        <f ca="1">INDIRECT(ADDRESS(B2,14))</f>
        <v>505</v>
      </c>
      <c r="O2" s="363" t="s">
        <v>59</v>
      </c>
      <c r="P2" s="357">
        <f ca="1">INDIRECT(ADDRESS(B2,16))</f>
        <v>505</v>
      </c>
      <c r="Q2" s="363" t="s">
        <v>60</v>
      </c>
      <c r="R2" s="357">
        <f ca="1">INDIRECT(ADDRESS(B2,18))</f>
        <v>1010</v>
      </c>
      <c r="S2" s="363" t="s">
        <v>61</v>
      </c>
      <c r="T2" s="357">
        <f ca="1">INDIRECT(ADDRESS(B2,20))</f>
        <v>98</v>
      </c>
      <c r="U2" s="363" t="s">
        <v>54</v>
      </c>
      <c r="V2" s="358" t="str">
        <f ca="1">INDIRECT(ADDRESS(B2,22))</f>
        <v>Fusex</v>
      </c>
      <c r="W2" s="463" t="s">
        <v>392</v>
      </c>
      <c r="X2" s="464">
        <f ca="1">INDIRECT(ADDRESS(B2,24))</f>
        <v>0</v>
      </c>
      <c r="Y2" s="463" t="s">
        <v>391</v>
      </c>
      <c r="Z2" s="358">
        <f ca="1">INDIRECT(ADDRESS(B2,26))</f>
        <v>0</v>
      </c>
    </row>
    <row r="3" spans="1:26" x14ac:dyDescent="0.2">
      <c r="A3" s="362" t="str">
        <f>IF(Lang="Français","Temps (en s)","Time (s)")</f>
        <v>Temps (en s)</v>
      </c>
      <c r="B3" s="364">
        <f t="shared" ref="B3:Y3" ca="1" si="0">INDIRECT(ADDRESS($B2+1,COLUMN(B3)))</f>
        <v>0</v>
      </c>
      <c r="C3" s="365">
        <f t="shared" ca="1" si="0"/>
        <v>0.04</v>
      </c>
      <c r="D3" s="365">
        <f t="shared" ca="1" si="0"/>
        <v>0.08</v>
      </c>
      <c r="E3" s="365">
        <f t="shared" ca="1" si="0"/>
        <v>0.20100000000000001</v>
      </c>
      <c r="F3" s="365">
        <f t="shared" ca="1" si="0"/>
        <v>0.44700000000000001</v>
      </c>
      <c r="G3" s="365">
        <f t="shared" ca="1" si="0"/>
        <v>0.67800000000000005</v>
      </c>
      <c r="H3" s="365">
        <f t="shared" ca="1" si="0"/>
        <v>0.75800000000000001</v>
      </c>
      <c r="I3" s="365">
        <f t="shared" ca="1" si="0"/>
        <v>0.85299999999999998</v>
      </c>
      <c r="J3" s="365">
        <f t="shared" ca="1" si="0"/>
        <v>2.4249999999999998</v>
      </c>
      <c r="K3" s="365">
        <f t="shared" ca="1" si="0"/>
        <v>2.52</v>
      </c>
      <c r="L3" s="365">
        <f t="shared" ca="1" si="0"/>
        <v>2.7610000000000001</v>
      </c>
      <c r="M3" s="365">
        <f t="shared" ca="1" si="0"/>
        <v>3.4340000000000002</v>
      </c>
      <c r="N3" s="365">
        <f t="shared" ca="1" si="0"/>
        <v>3.7149999999999999</v>
      </c>
      <c r="O3" s="365">
        <f t="shared" ca="1" si="0"/>
        <v>4.077</v>
      </c>
      <c r="P3" s="365">
        <f t="shared" ca="1" si="0"/>
        <v>4.96</v>
      </c>
      <c r="Q3" s="365">
        <f t="shared" ca="1" si="0"/>
        <v>5.492</v>
      </c>
      <c r="R3" s="365">
        <f t="shared" ca="1" si="0"/>
        <v>6.1050000000000004</v>
      </c>
      <c r="S3" s="365">
        <f t="shared" ca="1" si="0"/>
        <v>6.4459999999999997</v>
      </c>
      <c r="T3" s="365">
        <f t="shared" ca="1" si="0"/>
        <v>6.6470000000000002</v>
      </c>
      <c r="U3" s="365">
        <f t="shared" ca="1" si="0"/>
        <v>7.0739999999999998</v>
      </c>
      <c r="V3" s="365">
        <f t="shared" ca="1" si="0"/>
        <v>7.2389999999999999</v>
      </c>
      <c r="W3" s="365">
        <f t="shared" ca="1" si="0"/>
        <v>7.2539999999999996</v>
      </c>
      <c r="X3" s="365">
        <f ca="1">INDIRECT(ADDRESS($B2+1,COLUMN(X3)))</f>
        <v>8</v>
      </c>
      <c r="Y3" s="366">
        <f t="shared" ca="1" si="0"/>
        <v>1000</v>
      </c>
    </row>
    <row r="4" spans="1:26" ht="13.5" thickBot="1" x14ac:dyDescent="0.25">
      <c r="A4" s="379" t="str">
        <f>IF(Lang="Français","Poussée (en N)","Thrust (N)")</f>
        <v>Poussée (en N)</v>
      </c>
      <c r="B4" s="367">
        <f t="shared" ref="B4:Y4" ca="1" si="1">INDIRECT(ADDRESS($B2+2,COLUMN(B3)))</f>
        <v>0</v>
      </c>
      <c r="C4" s="368">
        <f t="shared" ca="1" si="1"/>
        <v>1382.46</v>
      </c>
      <c r="D4" s="368">
        <f t="shared" ca="1" si="1"/>
        <v>1699.1469999999999</v>
      </c>
      <c r="E4" s="368">
        <f t="shared" ca="1" si="1"/>
        <v>1781.364</v>
      </c>
      <c r="F4" s="368">
        <f t="shared" ca="1" si="1"/>
        <v>1793.5440000000001</v>
      </c>
      <c r="G4" s="368">
        <f t="shared" ca="1" si="1"/>
        <v>1820.95</v>
      </c>
      <c r="H4" s="368">
        <f t="shared" ca="1" si="1"/>
        <v>1927.527</v>
      </c>
      <c r="I4" s="368">
        <f t="shared" ca="1" si="1"/>
        <v>1842.2660000000001</v>
      </c>
      <c r="J4" s="368">
        <f t="shared" ca="1" si="1"/>
        <v>2088.9160000000002</v>
      </c>
      <c r="K4" s="368">
        <f t="shared" ca="1" si="1"/>
        <v>2180.268</v>
      </c>
      <c r="L4" s="368">
        <f t="shared" ca="1" si="1"/>
        <v>2198.538</v>
      </c>
      <c r="M4" s="368">
        <f t="shared" ca="1" si="1"/>
        <v>2213.7640000000001</v>
      </c>
      <c r="N4" s="368">
        <f t="shared" ca="1" si="1"/>
        <v>2268.5749999999998</v>
      </c>
      <c r="O4" s="368">
        <f t="shared" ca="1" si="1"/>
        <v>2299.0259999999998</v>
      </c>
      <c r="P4" s="368">
        <f t="shared" ca="1" si="1"/>
        <v>2238.1239999999998</v>
      </c>
      <c r="Q4" s="368">
        <f t="shared" ca="1" si="1"/>
        <v>2161.998</v>
      </c>
      <c r="R4" s="368">
        <f t="shared" ca="1" si="1"/>
        <v>2024.97</v>
      </c>
      <c r="S4" s="368">
        <f t="shared" ca="1" si="1"/>
        <v>1878.806</v>
      </c>
      <c r="T4" s="368">
        <f t="shared" ca="1" si="1"/>
        <v>1668.6969999999999</v>
      </c>
      <c r="U4" s="368">
        <f t="shared" ca="1" si="1"/>
        <v>602.923</v>
      </c>
      <c r="V4" s="368">
        <f t="shared" ca="1" si="1"/>
        <v>140.07300000000001</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274</v>
      </c>
    </row>
    <row r="26" spans="1:25" ht="13.5" thickBot="1" x14ac:dyDescent="0.25">
      <c r="A26" s="361" t="s">
        <v>307</v>
      </c>
      <c r="B26" s="359">
        <f>ROW(A26)</f>
        <v>26</v>
      </c>
      <c r="C26" s="363" t="s">
        <v>115</v>
      </c>
      <c r="D26" s="353">
        <f>SUM(B29:Y29)</f>
        <v>9.8449999999999989</v>
      </c>
      <c r="E26" s="363" t="s">
        <v>114</v>
      </c>
      <c r="F26" s="399">
        <f>D26/g/J26</f>
        <v>3.3452259599048584</v>
      </c>
      <c r="G26" s="363" t="s">
        <v>56</v>
      </c>
      <c r="H26" s="64">
        <v>0.3</v>
      </c>
      <c r="I26" s="363" t="s">
        <v>269</v>
      </c>
      <c r="J26" s="355">
        <f>H26-L26</f>
        <v>0.3</v>
      </c>
      <c r="K26" s="363" t="s">
        <v>270</v>
      </c>
      <c r="L26" s="64">
        <v>0</v>
      </c>
      <c r="M26" s="363" t="s">
        <v>57</v>
      </c>
      <c r="N26" s="65">
        <f>0.2*R26</f>
        <v>60</v>
      </c>
      <c r="O26" s="363" t="s">
        <v>59</v>
      </c>
      <c r="P26" s="65">
        <v>150</v>
      </c>
      <c r="Q26" s="363" t="s">
        <v>60</v>
      </c>
      <c r="R26" s="65">
        <v>300</v>
      </c>
      <c r="S26" s="363" t="s">
        <v>61</v>
      </c>
      <c r="T26" s="65">
        <v>90</v>
      </c>
      <c r="U26" s="363" t="s">
        <v>54</v>
      </c>
      <c r="V26" s="66" t="s">
        <v>274</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308</v>
      </c>
      <c r="B31" s="359">
        <f>ROW(A31)</f>
        <v>31</v>
      </c>
      <c r="C31" s="363" t="s">
        <v>115</v>
      </c>
      <c r="D31" s="353">
        <f>SUM(B34:Y34)</f>
        <v>13.814500000000002</v>
      </c>
      <c r="E31" s="363" t="s">
        <v>114</v>
      </c>
      <c r="F31" s="399">
        <f>D31/g/J31</f>
        <v>3.1293464718541175</v>
      </c>
      <c r="G31" s="363" t="s">
        <v>56</v>
      </c>
      <c r="H31" s="64">
        <v>0.45</v>
      </c>
      <c r="I31" s="363" t="s">
        <v>269</v>
      </c>
      <c r="J31" s="355">
        <f>H31-L31</f>
        <v>0.45</v>
      </c>
      <c r="K31" s="363" t="s">
        <v>270</v>
      </c>
      <c r="L31" s="64">
        <v>0</v>
      </c>
      <c r="M31" s="363" t="s">
        <v>57</v>
      </c>
      <c r="N31" s="65">
        <f>0.3*R31</f>
        <v>90</v>
      </c>
      <c r="O31" s="363" t="s">
        <v>59</v>
      </c>
      <c r="P31" s="65">
        <v>150</v>
      </c>
      <c r="Q31" s="363" t="s">
        <v>60</v>
      </c>
      <c r="R31" s="65">
        <v>300</v>
      </c>
      <c r="S31" s="363" t="s">
        <v>61</v>
      </c>
      <c r="T31" s="65">
        <v>90</v>
      </c>
      <c r="U31" s="363" t="s">
        <v>54</v>
      </c>
      <c r="V31" s="66" t="s">
        <v>274</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309</v>
      </c>
      <c r="B36" s="359">
        <f>ROW(A36)</f>
        <v>36</v>
      </c>
      <c r="C36" s="363" t="s">
        <v>115</v>
      </c>
      <c r="D36" s="353">
        <f>SUM(B39:Y39)</f>
        <v>17.144499999999997</v>
      </c>
      <c r="E36" s="363" t="s">
        <v>114</v>
      </c>
      <c r="F36" s="399">
        <f>D36/g/J36</f>
        <v>2.9127590893645934</v>
      </c>
      <c r="G36" s="363" t="s">
        <v>56</v>
      </c>
      <c r="H36" s="64">
        <v>0.6</v>
      </c>
      <c r="I36" s="363" t="s">
        <v>269</v>
      </c>
      <c r="J36" s="355">
        <f>H36-L36</f>
        <v>0.6</v>
      </c>
      <c r="K36" s="363" t="s">
        <v>270</v>
      </c>
      <c r="L36" s="64">
        <v>0</v>
      </c>
      <c r="M36" s="363" t="s">
        <v>57</v>
      </c>
      <c r="N36" s="65">
        <f>0.4*R36</f>
        <v>120</v>
      </c>
      <c r="O36" s="363" t="s">
        <v>59</v>
      </c>
      <c r="P36" s="65">
        <v>150</v>
      </c>
      <c r="Q36" s="363" t="s">
        <v>60</v>
      </c>
      <c r="R36" s="65">
        <v>300</v>
      </c>
      <c r="S36" s="363" t="s">
        <v>61</v>
      </c>
      <c r="T36" s="65">
        <v>90</v>
      </c>
      <c r="U36" s="363" t="s">
        <v>54</v>
      </c>
      <c r="V36" s="66" t="s">
        <v>274</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310</v>
      </c>
      <c r="B41" s="359">
        <f>ROW(A41)</f>
        <v>41</v>
      </c>
      <c r="C41" s="363" t="s">
        <v>115</v>
      </c>
      <c r="D41" s="353">
        <f>SUM(B44:Y44)</f>
        <v>19.415000000000003</v>
      </c>
      <c r="E41" s="363" t="s">
        <v>114</v>
      </c>
      <c r="F41" s="399">
        <f>D41/g/J41</f>
        <v>2.6388039415562354</v>
      </c>
      <c r="G41" s="363" t="s">
        <v>56</v>
      </c>
      <c r="H41" s="64">
        <v>0.75</v>
      </c>
      <c r="I41" s="363" t="s">
        <v>269</v>
      </c>
      <c r="J41" s="355">
        <f>H41-L41</f>
        <v>0.75</v>
      </c>
      <c r="K41" s="363" t="s">
        <v>270</v>
      </c>
      <c r="L41" s="64">
        <v>0</v>
      </c>
      <c r="M41" s="363" t="s">
        <v>57</v>
      </c>
      <c r="N41" s="65">
        <f>0.5*R41</f>
        <v>150</v>
      </c>
      <c r="O41" s="363" t="s">
        <v>59</v>
      </c>
      <c r="P41" s="65">
        <v>150</v>
      </c>
      <c r="Q41" s="363" t="s">
        <v>60</v>
      </c>
      <c r="R41" s="65">
        <v>300</v>
      </c>
      <c r="S41" s="363" t="s">
        <v>61</v>
      </c>
      <c r="T41" s="65">
        <v>90</v>
      </c>
      <c r="U41" s="363" t="s">
        <v>54</v>
      </c>
      <c r="V41" s="66" t="s">
        <v>274</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275</v>
      </c>
      <c r="B46" s="359">
        <f>ROW(A46)</f>
        <v>46</v>
      </c>
      <c r="C46" s="363" t="s">
        <v>115</v>
      </c>
      <c r="D46" s="353">
        <f>SUM(B49:Y49)</f>
        <v>12.8695</v>
      </c>
      <c r="E46" s="363" t="s">
        <v>114</v>
      </c>
      <c r="F46" s="399">
        <f>D46/g/J46</f>
        <v>3.2796890927624869</v>
      </c>
      <c r="G46" s="363" t="s">
        <v>56</v>
      </c>
      <c r="H46" s="64">
        <v>0.5</v>
      </c>
      <c r="I46" s="363" t="s">
        <v>269</v>
      </c>
      <c r="J46" s="355">
        <f>H46-L46</f>
        <v>0.4</v>
      </c>
      <c r="K46" s="363" t="s">
        <v>270</v>
      </c>
      <c r="L46" s="64">
        <v>0.1</v>
      </c>
      <c r="M46" s="363" t="s">
        <v>57</v>
      </c>
      <c r="N46" s="65">
        <f>0.2*R46</f>
        <v>60</v>
      </c>
      <c r="O46" s="363" t="s">
        <v>59</v>
      </c>
      <c r="P46" s="65">
        <v>150</v>
      </c>
      <c r="Q46" s="363" t="s">
        <v>60</v>
      </c>
      <c r="R46" s="65">
        <v>300</v>
      </c>
      <c r="S46" s="363" t="s">
        <v>61</v>
      </c>
      <c r="T46" s="65">
        <v>98</v>
      </c>
      <c r="U46" s="363" t="s">
        <v>54</v>
      </c>
      <c r="V46" s="66" t="s">
        <v>274</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276</v>
      </c>
      <c r="B51" s="359">
        <f>ROW(A51)</f>
        <v>51</v>
      </c>
      <c r="C51" s="363" t="s">
        <v>115</v>
      </c>
      <c r="D51" s="353">
        <f>SUM(B54:Y54)</f>
        <v>18.123500000000003</v>
      </c>
      <c r="E51" s="363" t="s">
        <v>114</v>
      </c>
      <c r="F51" s="399">
        <f>D51/g/J51</f>
        <v>3.0790859667006463</v>
      </c>
      <c r="G51" s="363" t="s">
        <v>56</v>
      </c>
      <c r="H51" s="64">
        <v>0.7</v>
      </c>
      <c r="I51" s="363" t="s">
        <v>269</v>
      </c>
      <c r="J51" s="355">
        <f>H51-L51</f>
        <v>0.6</v>
      </c>
      <c r="K51" s="363" t="s">
        <v>270</v>
      </c>
      <c r="L51" s="64">
        <v>0.1</v>
      </c>
      <c r="M51" s="363" t="s">
        <v>57</v>
      </c>
      <c r="N51" s="65">
        <f>0.3*R51</f>
        <v>90</v>
      </c>
      <c r="O51" s="363" t="s">
        <v>59</v>
      </c>
      <c r="P51" s="65">
        <v>150</v>
      </c>
      <c r="Q51" s="363" t="s">
        <v>60</v>
      </c>
      <c r="R51" s="65">
        <v>300</v>
      </c>
      <c r="S51" s="363" t="s">
        <v>61</v>
      </c>
      <c r="T51" s="65">
        <v>98</v>
      </c>
      <c r="U51" s="363" t="s">
        <v>54</v>
      </c>
      <c r="V51" s="66" t="s">
        <v>274</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277</v>
      </c>
      <c r="B56" s="359">
        <f>ROW(A56)</f>
        <v>56</v>
      </c>
      <c r="C56" s="363" t="s">
        <v>115</v>
      </c>
      <c r="D56" s="353">
        <f>SUM(B59:Y59)</f>
        <v>22.610000000000003</v>
      </c>
      <c r="E56" s="363" t="s">
        <v>114</v>
      </c>
      <c r="F56" s="399">
        <f>D56/g/J56</f>
        <v>2.88098878695209</v>
      </c>
      <c r="G56" s="363" t="s">
        <v>56</v>
      </c>
      <c r="H56" s="64">
        <v>0.9</v>
      </c>
      <c r="I56" s="363" t="s">
        <v>269</v>
      </c>
      <c r="J56" s="355">
        <f>H56-L56</f>
        <v>0.8</v>
      </c>
      <c r="K56" s="363" t="s">
        <v>270</v>
      </c>
      <c r="L56" s="64">
        <v>0.1</v>
      </c>
      <c r="M56" s="363" t="s">
        <v>57</v>
      </c>
      <c r="N56" s="65">
        <f>0.4*R56</f>
        <v>120</v>
      </c>
      <c r="O56" s="363" t="s">
        <v>59</v>
      </c>
      <c r="P56" s="65">
        <v>150</v>
      </c>
      <c r="Q56" s="363" t="s">
        <v>60</v>
      </c>
      <c r="R56" s="65">
        <v>300</v>
      </c>
      <c r="S56" s="363" t="s">
        <v>61</v>
      </c>
      <c r="T56" s="65">
        <v>98</v>
      </c>
      <c r="U56" s="363" t="s">
        <v>54</v>
      </c>
      <c r="V56" s="66" t="s">
        <v>274</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278</v>
      </c>
      <c r="B61" s="359">
        <f>ROW(A61)</f>
        <v>61</v>
      </c>
      <c r="C61" s="363" t="s">
        <v>115</v>
      </c>
      <c r="D61" s="353">
        <f>SUM(B64:Y64)</f>
        <v>25.874000000000006</v>
      </c>
      <c r="E61" s="363" t="s">
        <v>114</v>
      </c>
      <c r="F61" s="399">
        <f>D61/g/J61</f>
        <v>2.6375127420998985</v>
      </c>
      <c r="G61" s="363" t="s">
        <v>56</v>
      </c>
      <c r="H61" s="64">
        <v>1.1000000000000001</v>
      </c>
      <c r="I61" s="363" t="s">
        <v>269</v>
      </c>
      <c r="J61" s="355">
        <f>H61-L61</f>
        <v>1</v>
      </c>
      <c r="K61" s="363" t="s">
        <v>270</v>
      </c>
      <c r="L61" s="64">
        <v>0.1</v>
      </c>
      <c r="M61" s="363" t="s">
        <v>57</v>
      </c>
      <c r="N61" s="65">
        <f>0.5*R61</f>
        <v>150</v>
      </c>
      <c r="O61" s="363" t="s">
        <v>59</v>
      </c>
      <c r="P61" s="65">
        <v>150</v>
      </c>
      <c r="Q61" s="363" t="s">
        <v>60</v>
      </c>
      <c r="R61" s="65">
        <v>300</v>
      </c>
      <c r="S61" s="363" t="s">
        <v>61</v>
      </c>
      <c r="T61" s="65">
        <v>98</v>
      </c>
      <c r="U61" s="363" t="s">
        <v>54</v>
      </c>
      <c r="V61" s="66" t="s">
        <v>274</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269</v>
      </c>
      <c r="J67" s="355">
        <f>H67-L67</f>
        <v>4.9999999999999992E-3</v>
      </c>
      <c r="K67" s="363" t="s">
        <v>270</v>
      </c>
      <c r="L67" s="64">
        <v>0.01</v>
      </c>
      <c r="M67" s="363" t="s">
        <v>57</v>
      </c>
      <c r="N67" s="65">
        <v>30</v>
      </c>
      <c r="O67" s="363" t="s">
        <v>59</v>
      </c>
      <c r="P67" s="65">
        <v>30</v>
      </c>
      <c r="Q67" s="363" t="s">
        <v>60</v>
      </c>
      <c r="R67" s="65">
        <v>70</v>
      </c>
      <c r="S67" s="363" t="s">
        <v>61</v>
      </c>
      <c r="T67" s="65">
        <v>15</v>
      </c>
      <c r="U67" s="363" t="s">
        <v>54</v>
      </c>
      <c r="V67" s="66" t="s">
        <v>117</v>
      </c>
      <c r="W67" s="463" t="s">
        <v>392</v>
      </c>
      <c r="X67" s="465">
        <v>0.32</v>
      </c>
      <c r="Y67" s="463" t="s">
        <v>391</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269</v>
      </c>
      <c r="J72" s="355">
        <f>H72-L72</f>
        <v>6.0000000000000001E-3</v>
      </c>
      <c r="K72" s="363" t="s">
        <v>270</v>
      </c>
      <c r="L72" s="64">
        <v>1.4E-2</v>
      </c>
      <c r="M72" s="363" t="s">
        <v>57</v>
      </c>
      <c r="N72" s="65">
        <v>30</v>
      </c>
      <c r="O72" s="363" t="s">
        <v>59</v>
      </c>
      <c r="P72" s="65">
        <v>30</v>
      </c>
      <c r="Q72" s="363" t="s">
        <v>60</v>
      </c>
      <c r="R72" s="65">
        <v>70</v>
      </c>
      <c r="S72" s="363" t="s">
        <v>61</v>
      </c>
      <c r="T72" s="65">
        <v>15</v>
      </c>
      <c r="U72" s="363" t="s">
        <v>54</v>
      </c>
      <c r="V72" s="66" t="s">
        <v>117</v>
      </c>
      <c r="W72" s="463" t="s">
        <v>392</v>
      </c>
      <c r="X72" s="465">
        <v>1.2</v>
      </c>
      <c r="Y72" s="463" t="s">
        <v>391</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269</v>
      </c>
      <c r="J77" s="355">
        <f>H77-L77</f>
        <v>1.3000000000000001E-2</v>
      </c>
      <c r="K77" s="363" t="s">
        <v>270</v>
      </c>
      <c r="L77" s="64">
        <v>1.0999999999999999E-2</v>
      </c>
      <c r="M77" s="363" t="s">
        <v>57</v>
      </c>
      <c r="N77" s="65">
        <v>30</v>
      </c>
      <c r="O77" s="363" t="s">
        <v>59</v>
      </c>
      <c r="P77" s="65">
        <v>30</v>
      </c>
      <c r="Q77" s="363" t="s">
        <v>60</v>
      </c>
      <c r="R77" s="65">
        <v>70</v>
      </c>
      <c r="S77" s="363" t="s">
        <v>61</v>
      </c>
      <c r="T77" s="65">
        <v>15</v>
      </c>
      <c r="U77" s="363" t="s">
        <v>54</v>
      </c>
      <c r="V77" s="66" t="s">
        <v>117</v>
      </c>
      <c r="W77" s="463" t="s">
        <v>392</v>
      </c>
      <c r="X77" s="465">
        <v>1.7</v>
      </c>
      <c r="Y77" s="463" t="s">
        <v>391</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327</v>
      </c>
      <c r="B82" s="359">
        <f>ROW(A82)</f>
        <v>82</v>
      </c>
      <c r="C82" s="363" t="s">
        <v>115</v>
      </c>
      <c r="D82" s="353">
        <f>SUM(B85:Y85)</f>
        <v>20.52</v>
      </c>
      <c r="E82" s="363" t="s">
        <v>114</v>
      </c>
      <c r="F82" s="354">
        <f>D82/g/J82</f>
        <v>80.451658433309802</v>
      </c>
      <c r="G82" s="363" t="s">
        <v>56</v>
      </c>
      <c r="H82" s="64">
        <f>H77*2</f>
        <v>4.8000000000000001E-2</v>
      </c>
      <c r="I82" s="363" t="s">
        <v>269</v>
      </c>
      <c r="J82" s="355">
        <f>H82-L82</f>
        <v>2.6000000000000002E-2</v>
      </c>
      <c r="K82" s="363" t="s">
        <v>270</v>
      </c>
      <c r="L82" s="64">
        <f>L77*2</f>
        <v>2.1999999999999999E-2</v>
      </c>
      <c r="M82" s="363" t="s">
        <v>57</v>
      </c>
      <c r="N82" s="65">
        <v>30</v>
      </c>
      <c r="O82" s="363" t="s">
        <v>59</v>
      </c>
      <c r="P82" s="65">
        <v>30</v>
      </c>
      <c r="Q82" s="363" t="s">
        <v>60</v>
      </c>
      <c r="R82" s="65">
        <v>70</v>
      </c>
      <c r="S82" s="363" t="s">
        <v>61</v>
      </c>
      <c r="T82" s="65">
        <v>30</v>
      </c>
      <c r="U82" s="363" t="s">
        <v>54</v>
      </c>
      <c r="V82" s="66" t="s">
        <v>117</v>
      </c>
      <c r="W82" s="463" t="s">
        <v>392</v>
      </c>
      <c r="X82" s="465">
        <v>1.7</v>
      </c>
      <c r="Y82" s="463" t="s">
        <v>391</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328</v>
      </c>
      <c r="B87" s="359">
        <f>ROW(A87)</f>
        <v>87</v>
      </c>
      <c r="C87" s="363" t="s">
        <v>115</v>
      </c>
      <c r="D87" s="353">
        <f>SUM(B90:Y90)</f>
        <v>30.779999999999998</v>
      </c>
      <c r="E87" s="363" t="s">
        <v>114</v>
      </c>
      <c r="F87" s="354">
        <f>D87/g/J87</f>
        <v>80.451658433309774</v>
      </c>
      <c r="G87" s="363" t="s">
        <v>56</v>
      </c>
      <c r="H87" s="64">
        <f>H77*3</f>
        <v>7.2000000000000008E-2</v>
      </c>
      <c r="I87" s="363" t="s">
        <v>269</v>
      </c>
      <c r="J87" s="355">
        <f>H87-L87</f>
        <v>3.9000000000000007E-2</v>
      </c>
      <c r="K87" s="363" t="s">
        <v>270</v>
      </c>
      <c r="L87" s="64">
        <f>L77*3</f>
        <v>3.3000000000000002E-2</v>
      </c>
      <c r="M87" s="363" t="s">
        <v>57</v>
      </c>
      <c r="N87" s="65">
        <v>30</v>
      </c>
      <c r="O87" s="363" t="s">
        <v>59</v>
      </c>
      <c r="P87" s="65">
        <v>30</v>
      </c>
      <c r="Q87" s="363" t="s">
        <v>60</v>
      </c>
      <c r="R87" s="65">
        <v>70</v>
      </c>
      <c r="S87" s="363" t="s">
        <v>61</v>
      </c>
      <c r="T87" s="65">
        <v>40</v>
      </c>
      <c r="U87" s="363" t="s">
        <v>54</v>
      </c>
      <c r="V87" s="66" t="s">
        <v>117</v>
      </c>
      <c r="W87" s="463" t="s">
        <v>392</v>
      </c>
      <c r="X87" s="465">
        <v>1.7</v>
      </c>
      <c r="Y87" s="463" t="s">
        <v>391</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538</v>
      </c>
      <c r="B92" s="359">
        <f>ROW(A92)</f>
        <v>92</v>
      </c>
      <c r="C92" s="363" t="s">
        <v>115</v>
      </c>
      <c r="D92" s="353">
        <f>SUM(B95:Y95)</f>
        <v>19.961989000000003</v>
      </c>
      <c r="E92" s="363" t="s">
        <v>114</v>
      </c>
      <c r="F92" s="354">
        <f>D92/g/J92</f>
        <v>118.30588744280873</v>
      </c>
      <c r="G92" s="363" t="s">
        <v>56</v>
      </c>
      <c r="H92" s="64">
        <v>2.8199999999999999E-2</v>
      </c>
      <c r="I92" s="363" t="s">
        <v>269</v>
      </c>
      <c r="J92" s="355">
        <f>H92-L92</f>
        <v>1.72E-2</v>
      </c>
      <c r="K92" s="363" t="s">
        <v>270</v>
      </c>
      <c r="L92" s="64">
        <v>1.0999999999999999E-2</v>
      </c>
      <c r="M92" s="363" t="s">
        <v>57</v>
      </c>
      <c r="N92" s="65">
        <v>30</v>
      </c>
      <c r="O92" s="363" t="s">
        <v>59</v>
      </c>
      <c r="P92" s="65">
        <v>30</v>
      </c>
      <c r="Q92" s="363" t="s">
        <v>60</v>
      </c>
      <c r="R92" s="65">
        <v>70</v>
      </c>
      <c r="S92" s="363" t="s">
        <v>61</v>
      </c>
      <c r="T92" s="65">
        <v>18</v>
      </c>
      <c r="U92" s="363" t="s">
        <v>54</v>
      </c>
      <c r="V92" s="66" t="s">
        <v>399</v>
      </c>
      <c r="W92" s="463" t="s">
        <v>392</v>
      </c>
      <c r="X92" s="465">
        <v>2.1</v>
      </c>
      <c r="Y92" s="463" t="s">
        <v>391</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536</v>
      </c>
      <c r="B97" s="359">
        <f>ROW(A97)</f>
        <v>97</v>
      </c>
      <c r="C97" s="363" t="s">
        <v>115</v>
      </c>
      <c r="D97" s="353">
        <f>SUM(B100:Y100)</f>
        <v>39.923978000000005</v>
      </c>
      <c r="E97" s="363" t="s">
        <v>114</v>
      </c>
      <c r="F97" s="354">
        <f>D97/g/J97</f>
        <v>118.30588744280873</v>
      </c>
      <c r="G97" s="363" t="s">
        <v>56</v>
      </c>
      <c r="H97" s="64">
        <f>H92*2</f>
        <v>5.6399999999999999E-2</v>
      </c>
      <c r="I97" s="363" t="s">
        <v>269</v>
      </c>
      <c r="J97" s="355">
        <f>H97-L97</f>
        <v>3.44E-2</v>
      </c>
      <c r="K97" s="363" t="s">
        <v>270</v>
      </c>
      <c r="L97" s="64">
        <f>L92*2</f>
        <v>2.1999999999999999E-2</v>
      </c>
      <c r="M97" s="363" t="s">
        <v>57</v>
      </c>
      <c r="N97" s="65">
        <v>30</v>
      </c>
      <c r="O97" s="363" t="s">
        <v>59</v>
      </c>
      <c r="P97" s="65">
        <v>30</v>
      </c>
      <c r="Q97" s="363" t="s">
        <v>60</v>
      </c>
      <c r="R97" s="65">
        <v>70</v>
      </c>
      <c r="S97" s="363" t="s">
        <v>61</v>
      </c>
      <c r="T97" s="65">
        <v>30</v>
      </c>
      <c r="U97" s="363" t="s">
        <v>54</v>
      </c>
      <c r="V97" s="66" t="s">
        <v>399</v>
      </c>
      <c r="W97" s="463" t="s">
        <v>392</v>
      </c>
      <c r="X97" s="465">
        <v>2.1</v>
      </c>
      <c r="Y97" s="463" t="s">
        <v>391</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537</v>
      </c>
      <c r="B102" s="359">
        <f>ROW(A102)</f>
        <v>102</v>
      </c>
      <c r="C102" s="363" t="s">
        <v>115</v>
      </c>
      <c r="D102" s="353">
        <f>SUM(B105:Y105)</f>
        <v>59.885967000000008</v>
      </c>
      <c r="E102" s="363" t="s">
        <v>114</v>
      </c>
      <c r="F102" s="354">
        <f>D102/g/J102</f>
        <v>118.30588744280874</v>
      </c>
      <c r="G102" s="363" t="s">
        <v>56</v>
      </c>
      <c r="H102" s="64">
        <f>H92*3</f>
        <v>8.4599999999999995E-2</v>
      </c>
      <c r="I102" s="363" t="s">
        <v>269</v>
      </c>
      <c r="J102" s="355">
        <f>H102-L102</f>
        <v>5.1599999999999993E-2</v>
      </c>
      <c r="K102" s="363" t="s">
        <v>270</v>
      </c>
      <c r="L102" s="64">
        <f>L92*3</f>
        <v>3.3000000000000002E-2</v>
      </c>
      <c r="M102" s="363" t="s">
        <v>57</v>
      </c>
      <c r="N102" s="65">
        <v>30</v>
      </c>
      <c r="O102" s="363" t="s">
        <v>59</v>
      </c>
      <c r="P102" s="65">
        <v>30</v>
      </c>
      <c r="Q102" s="363" t="s">
        <v>60</v>
      </c>
      <c r="R102" s="65">
        <v>70</v>
      </c>
      <c r="S102" s="363" t="s">
        <v>61</v>
      </c>
      <c r="T102" s="65">
        <v>40</v>
      </c>
      <c r="U102" s="363" t="s">
        <v>54</v>
      </c>
      <c r="V102" s="66" t="s">
        <v>399</v>
      </c>
      <c r="W102" s="463" t="s">
        <v>392</v>
      </c>
      <c r="X102" s="465">
        <v>2.1</v>
      </c>
      <c r="Y102" s="463" t="s">
        <v>391</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315</v>
      </c>
    </row>
    <row r="108" spans="1:26" ht="13.5" thickBot="1" x14ac:dyDescent="0.25">
      <c r="A108" s="361" t="s">
        <v>317</v>
      </c>
      <c r="B108" s="359">
        <f>ROW(A108)</f>
        <v>108</v>
      </c>
      <c r="C108" s="363" t="s">
        <v>115</v>
      </c>
      <c r="D108" s="353">
        <f>SUM(B111:Y111)</f>
        <v>24.269519000000003</v>
      </c>
      <c r="E108" s="363" t="s">
        <v>114</v>
      </c>
      <c r="F108" s="354">
        <f>D108/g/J108</f>
        <v>154.62231778797147</v>
      </c>
      <c r="G108" s="363" t="s">
        <v>56</v>
      </c>
      <c r="H108" s="64">
        <v>5.1999999999999998E-2</v>
      </c>
      <c r="I108" s="363" t="s">
        <v>269</v>
      </c>
      <c r="J108" s="355">
        <f>H108-L108</f>
        <v>1.6E-2</v>
      </c>
      <c r="K108" s="363" t="s">
        <v>270</v>
      </c>
      <c r="L108" s="64">
        <v>3.5999999999999997E-2</v>
      </c>
      <c r="M108" s="363" t="s">
        <v>57</v>
      </c>
      <c r="N108" s="396">
        <v>35</v>
      </c>
      <c r="O108" s="363" t="s">
        <v>59</v>
      </c>
      <c r="P108" s="396">
        <v>35</v>
      </c>
      <c r="Q108" s="363" t="s">
        <v>60</v>
      </c>
      <c r="R108" s="65">
        <v>69</v>
      </c>
      <c r="S108" s="363" t="s">
        <v>61</v>
      </c>
      <c r="T108" s="65">
        <v>24</v>
      </c>
      <c r="U108" s="363" t="s">
        <v>54</v>
      </c>
      <c r="V108" s="66" t="s">
        <v>397</v>
      </c>
      <c r="W108" s="463" t="s">
        <v>392</v>
      </c>
      <c r="X108" s="465">
        <v>1</v>
      </c>
      <c r="Y108" s="463" t="s">
        <v>391</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415</v>
      </c>
      <c r="B113" s="359">
        <f>ROW(A113)</f>
        <v>113</v>
      </c>
      <c r="C113" s="363" t="s">
        <v>115</v>
      </c>
      <c r="D113" s="353">
        <f>SUM(B116:Y116)</f>
        <v>24.488898000000002</v>
      </c>
      <c r="E113" s="363" t="s">
        <v>114</v>
      </c>
      <c r="F113" s="354">
        <f>D113/g/J113</f>
        <v>121.771701350041</v>
      </c>
      <c r="G113" s="363" t="s">
        <v>56</v>
      </c>
      <c r="H113" s="64">
        <v>5.6500000000000002E-2</v>
      </c>
      <c r="I113" s="363" t="s">
        <v>269</v>
      </c>
      <c r="J113" s="355">
        <f>H113-L113</f>
        <v>2.0500000000000004E-2</v>
      </c>
      <c r="K113" s="363" t="s">
        <v>270</v>
      </c>
      <c r="L113" s="64">
        <v>3.5999999999999997E-2</v>
      </c>
      <c r="M113" s="363" t="s">
        <v>57</v>
      </c>
      <c r="N113" s="396">
        <v>35</v>
      </c>
      <c r="O113" s="363" t="s">
        <v>59</v>
      </c>
      <c r="P113" s="396">
        <v>35</v>
      </c>
      <c r="Q113" s="363" t="s">
        <v>60</v>
      </c>
      <c r="R113" s="65">
        <v>69</v>
      </c>
      <c r="S113" s="363" t="s">
        <v>61</v>
      </c>
      <c r="T113" s="65">
        <v>24</v>
      </c>
      <c r="U113" s="363" t="s">
        <v>54</v>
      </c>
      <c r="V113" s="66" t="s">
        <v>398</v>
      </c>
      <c r="W113" s="463" t="s">
        <v>392</v>
      </c>
      <c r="X113" s="465">
        <v>0.33</v>
      </c>
      <c r="Y113" s="463" t="s">
        <v>391</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318</v>
      </c>
      <c r="B118" s="359">
        <f>ROW(A118)</f>
        <v>118</v>
      </c>
      <c r="C118" s="363" t="s">
        <v>115</v>
      </c>
      <c r="D118" s="353">
        <f>SUM(B121:Y121)</f>
        <v>26.083982500000001</v>
      </c>
      <c r="E118" s="363" t="s">
        <v>114</v>
      </c>
      <c r="F118" s="354">
        <f>D118/g/J118</f>
        <v>166.18235537716615</v>
      </c>
      <c r="G118" s="363" t="s">
        <v>56</v>
      </c>
      <c r="H118" s="64">
        <v>5.1999999999999998E-2</v>
      </c>
      <c r="I118" s="363" t="s">
        <v>269</v>
      </c>
      <c r="J118" s="355">
        <f>H118-L118</f>
        <v>1.6E-2</v>
      </c>
      <c r="K118" s="363" t="s">
        <v>270</v>
      </c>
      <c r="L118" s="64">
        <v>3.5999999999999997E-2</v>
      </c>
      <c r="M118" s="363" t="s">
        <v>57</v>
      </c>
      <c r="N118" s="396">
        <v>35</v>
      </c>
      <c r="O118" s="363" t="s">
        <v>59</v>
      </c>
      <c r="P118" s="396">
        <v>35</v>
      </c>
      <c r="Q118" s="363" t="s">
        <v>60</v>
      </c>
      <c r="R118" s="65">
        <v>69</v>
      </c>
      <c r="S118" s="363" t="s">
        <v>61</v>
      </c>
      <c r="T118" s="65">
        <v>24</v>
      </c>
      <c r="U118" s="363" t="s">
        <v>54</v>
      </c>
      <c r="V118" s="66" t="s">
        <v>397</v>
      </c>
      <c r="W118" s="463" t="s">
        <v>392</v>
      </c>
      <c r="X118" s="465">
        <v>0.85</v>
      </c>
      <c r="Y118" s="463" t="s">
        <v>391</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387</v>
      </c>
    </row>
    <row r="123" spans="1:26" ht="13.5" thickBot="1" x14ac:dyDescent="0.25">
      <c r="A123" s="361" t="s">
        <v>388</v>
      </c>
      <c r="B123" s="359">
        <f>ROW(A123)</f>
        <v>123</v>
      </c>
      <c r="C123" s="363" t="s">
        <v>115</v>
      </c>
      <c r="D123" s="353">
        <f>SUM(B126:Y126)</f>
        <v>49.788765499999997</v>
      </c>
      <c r="E123" s="363" t="s">
        <v>114</v>
      </c>
      <c r="F123" s="354">
        <v>231</v>
      </c>
      <c r="G123" s="363" t="s">
        <v>56</v>
      </c>
      <c r="H123" s="64">
        <v>7.2999999999999995E-2</v>
      </c>
      <c r="I123" s="363" t="s">
        <v>269</v>
      </c>
      <c r="J123" s="355">
        <f>H123-L123</f>
        <v>2.7999999999999997E-2</v>
      </c>
      <c r="K123" s="363" t="s">
        <v>270</v>
      </c>
      <c r="L123" s="64">
        <v>4.4999999999999998E-2</v>
      </c>
      <c r="M123" s="363" t="s">
        <v>57</v>
      </c>
      <c r="N123" s="396">
        <v>50</v>
      </c>
      <c r="O123" s="363" t="s">
        <v>59</v>
      </c>
      <c r="P123" s="396">
        <v>50</v>
      </c>
      <c r="Q123" s="363" t="s">
        <v>60</v>
      </c>
      <c r="R123" s="65">
        <v>101</v>
      </c>
      <c r="S123" s="363" t="s">
        <v>61</v>
      </c>
      <c r="T123" s="65">
        <v>24</v>
      </c>
      <c r="U123" s="363" t="s">
        <v>54</v>
      </c>
      <c r="V123" s="66" t="s">
        <v>119</v>
      </c>
      <c r="W123" s="463" t="s">
        <v>392</v>
      </c>
      <c r="X123" s="465">
        <v>1</v>
      </c>
      <c r="Y123" s="463" t="s">
        <v>391</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389</v>
      </c>
      <c r="B128" s="359">
        <f>ROW(A128)</f>
        <v>128</v>
      </c>
      <c r="C128" s="363" t="s">
        <v>115</v>
      </c>
      <c r="D128" s="353">
        <f>SUM(B131:Y131)</f>
        <v>52.815674000000008</v>
      </c>
      <c r="E128" s="363" t="s">
        <v>114</v>
      </c>
      <c r="F128" s="354">
        <v>239</v>
      </c>
      <c r="G128" s="363" t="s">
        <v>56</v>
      </c>
      <c r="H128" s="64">
        <v>7.2999999999999995E-2</v>
      </c>
      <c r="I128" s="363" t="s">
        <v>269</v>
      </c>
      <c r="J128" s="355">
        <f>H128-L128</f>
        <v>2.8999999999999998E-2</v>
      </c>
      <c r="K128" s="363" t="s">
        <v>270</v>
      </c>
      <c r="L128" s="64">
        <v>4.3999999999999997E-2</v>
      </c>
      <c r="M128" s="363" t="s">
        <v>57</v>
      </c>
      <c r="N128" s="396">
        <v>50</v>
      </c>
      <c r="O128" s="363" t="s">
        <v>59</v>
      </c>
      <c r="P128" s="396">
        <v>50</v>
      </c>
      <c r="Q128" s="363" t="s">
        <v>60</v>
      </c>
      <c r="R128" s="65">
        <v>101</v>
      </c>
      <c r="S128" s="363" t="s">
        <v>61</v>
      </c>
      <c r="T128" s="65">
        <v>24</v>
      </c>
      <c r="U128" s="363" t="s">
        <v>54</v>
      </c>
      <c r="V128" s="66" t="s">
        <v>119</v>
      </c>
      <c r="W128" s="463" t="s">
        <v>392</v>
      </c>
      <c r="X128" s="465">
        <v>0.77</v>
      </c>
      <c r="Y128" s="463" t="s">
        <v>391</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312</v>
      </c>
    </row>
    <row r="133" spans="1:26" ht="13.5" thickBot="1" x14ac:dyDescent="0.25">
      <c r="A133" s="361" t="s">
        <v>379</v>
      </c>
      <c r="B133" s="359">
        <f>ROW(A133)</f>
        <v>133</v>
      </c>
      <c r="C133" s="363" t="s">
        <v>115</v>
      </c>
      <c r="D133" s="353">
        <f>SUM(B136:Y136)</f>
        <v>41.835000000000015</v>
      </c>
      <c r="E133" s="363" t="s">
        <v>114</v>
      </c>
      <c r="F133" s="354">
        <f>D133/g/J133</f>
        <v>121.84359982525126</v>
      </c>
      <c r="G133" s="363" t="s">
        <v>56</v>
      </c>
      <c r="H133" s="64">
        <v>0.104</v>
      </c>
      <c r="I133" s="363" t="s">
        <v>269</v>
      </c>
      <c r="J133" s="355">
        <f>H133-L133</f>
        <v>3.4999999999999989E-2</v>
      </c>
      <c r="K133" s="363" t="s">
        <v>270</v>
      </c>
      <c r="L133" s="64">
        <v>6.9000000000000006E-2</v>
      </c>
      <c r="M133" s="363" t="s">
        <v>57</v>
      </c>
      <c r="N133" s="65">
        <v>49</v>
      </c>
      <c r="O133" s="363" t="s">
        <v>59</v>
      </c>
      <c r="P133" s="65">
        <v>49</v>
      </c>
      <c r="Q133" s="363" t="s">
        <v>60</v>
      </c>
      <c r="R133" s="65">
        <v>98</v>
      </c>
      <c r="S133" s="363" t="s">
        <v>61</v>
      </c>
      <c r="T133" s="65">
        <v>29</v>
      </c>
      <c r="U133" s="363" t="s">
        <v>54</v>
      </c>
      <c r="V133" s="66" t="s">
        <v>397</v>
      </c>
      <c r="W133" s="463" t="s">
        <v>392</v>
      </c>
      <c r="X133" s="465">
        <v>1.07</v>
      </c>
      <c r="Y133" s="463" t="s">
        <v>391</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380</v>
      </c>
      <c r="B138" s="359">
        <f>ROW(A138)</f>
        <v>138</v>
      </c>
      <c r="C138" s="363" t="s">
        <v>115</v>
      </c>
      <c r="D138" s="353">
        <f>SUM(B141:Y141)</f>
        <v>52.564999999999998</v>
      </c>
      <c r="E138" s="363" t="s">
        <v>114</v>
      </c>
      <c r="F138" s="354">
        <f>D138/g/J138</f>
        <v>167.44712028542301</v>
      </c>
      <c r="G138" s="363" t="s">
        <v>56</v>
      </c>
      <c r="H138" s="64">
        <v>0.10100000000000001</v>
      </c>
      <c r="I138" s="363" t="s">
        <v>269</v>
      </c>
      <c r="J138" s="355">
        <f>H138-L138</f>
        <v>3.2000000000000001E-2</v>
      </c>
      <c r="K138" s="363" t="s">
        <v>270</v>
      </c>
      <c r="L138" s="64">
        <v>6.9000000000000006E-2</v>
      </c>
      <c r="M138" s="363" t="s">
        <v>57</v>
      </c>
      <c r="N138" s="65">
        <v>49</v>
      </c>
      <c r="O138" s="363" t="s">
        <v>59</v>
      </c>
      <c r="P138" s="65">
        <v>49</v>
      </c>
      <c r="Q138" s="363" t="s">
        <v>60</v>
      </c>
      <c r="R138" s="65">
        <v>98</v>
      </c>
      <c r="S138" s="363" t="s">
        <v>61</v>
      </c>
      <c r="T138" s="65">
        <v>29</v>
      </c>
      <c r="U138" s="363" t="s">
        <v>54</v>
      </c>
      <c r="V138" s="66" t="s">
        <v>398</v>
      </c>
      <c r="W138" s="463" t="s">
        <v>392</v>
      </c>
      <c r="X138" s="465">
        <v>1.8</v>
      </c>
      <c r="Y138" s="463" t="s">
        <v>391</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381</v>
      </c>
      <c r="B143" s="359">
        <f>ROW(A143)</f>
        <v>143</v>
      </c>
      <c r="C143" s="363" t="s">
        <v>115</v>
      </c>
      <c r="D143" s="353">
        <f>SUM(B146:Y146)</f>
        <v>54.110016122119539</v>
      </c>
      <c r="E143" s="363" t="s">
        <v>114</v>
      </c>
      <c r="F143" s="354">
        <f>D143/g/J143</f>
        <v>146.69685764124625</v>
      </c>
      <c r="G143" s="363" t="s">
        <v>56</v>
      </c>
      <c r="H143" s="64">
        <v>0.10580000000000001</v>
      </c>
      <c r="I143" s="363" t="s">
        <v>269</v>
      </c>
      <c r="J143" s="355">
        <f>H143-L143</f>
        <v>3.7600000000000008E-2</v>
      </c>
      <c r="K143" s="363" t="s">
        <v>270</v>
      </c>
      <c r="L143" s="64">
        <v>6.8199999999999997E-2</v>
      </c>
      <c r="M143" s="363" t="s">
        <v>57</v>
      </c>
      <c r="N143" s="65">
        <v>49</v>
      </c>
      <c r="O143" s="363" t="s">
        <v>59</v>
      </c>
      <c r="P143" s="65">
        <v>49</v>
      </c>
      <c r="Q143" s="363" t="s">
        <v>60</v>
      </c>
      <c r="R143" s="65">
        <v>98</v>
      </c>
      <c r="S143" s="363" t="s">
        <v>61</v>
      </c>
      <c r="T143" s="65">
        <v>29</v>
      </c>
      <c r="U143" s="363" t="s">
        <v>54</v>
      </c>
      <c r="V143" s="66" t="s">
        <v>397</v>
      </c>
      <c r="W143" s="463" t="s">
        <v>392</v>
      </c>
      <c r="X143" s="465">
        <v>1.9</v>
      </c>
      <c r="Y143" s="463" t="s">
        <v>391</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541</v>
      </c>
      <c r="B148" s="359">
        <f>ROW(A148)</f>
        <v>148</v>
      </c>
      <c r="C148" s="363" t="s">
        <v>115</v>
      </c>
      <c r="D148" s="353">
        <f>SUM(B151:Y151)</f>
        <v>55.589492</v>
      </c>
      <c r="E148" s="363" t="s">
        <v>114</v>
      </c>
      <c r="F148" s="354">
        <f>D148/g/J148</f>
        <v>177.08171508664634</v>
      </c>
      <c r="G148" s="363" t="s">
        <v>56</v>
      </c>
      <c r="H148" s="64">
        <v>0.10199999999999999</v>
      </c>
      <c r="I148" s="363" t="s">
        <v>269</v>
      </c>
      <c r="J148" s="355">
        <f>H148-L148</f>
        <v>3.1999999999999987E-2</v>
      </c>
      <c r="K148" s="363" t="s">
        <v>270</v>
      </c>
      <c r="L148" s="64">
        <v>7.0000000000000007E-2</v>
      </c>
      <c r="M148" s="363" t="s">
        <v>57</v>
      </c>
      <c r="N148" s="65">
        <v>49</v>
      </c>
      <c r="O148" s="363" t="s">
        <v>59</v>
      </c>
      <c r="P148" s="65">
        <v>49</v>
      </c>
      <c r="Q148" s="363" t="s">
        <v>60</v>
      </c>
      <c r="R148" s="65">
        <v>98</v>
      </c>
      <c r="S148" s="363" t="s">
        <v>61</v>
      </c>
      <c r="T148" s="65">
        <v>29</v>
      </c>
      <c r="U148" s="363" t="s">
        <v>54</v>
      </c>
      <c r="V148" s="66" t="s">
        <v>398</v>
      </c>
      <c r="W148" s="463" t="s">
        <v>392</v>
      </c>
      <c r="X148" s="465">
        <v>0.45</v>
      </c>
      <c r="Y148" s="463" t="s">
        <v>391</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382</v>
      </c>
      <c r="B153" s="359">
        <f>ROW(A153)</f>
        <v>153</v>
      </c>
      <c r="C153" s="363" t="s">
        <v>115</v>
      </c>
      <c r="D153" s="353">
        <f>SUM(B156:Y156)</f>
        <v>55.705884500000003</v>
      </c>
      <c r="E153" s="363" t="s">
        <v>114</v>
      </c>
      <c r="F153" s="354">
        <f>D153/g/J153</f>
        <v>180.84329814241278</v>
      </c>
      <c r="G153" s="363" t="s">
        <v>56</v>
      </c>
      <c r="H153" s="64">
        <v>0.1062</v>
      </c>
      <c r="I153" s="363" t="s">
        <v>269</v>
      </c>
      <c r="J153" s="355">
        <f>H153-L153</f>
        <v>3.1400000000000011E-2</v>
      </c>
      <c r="K153" s="363" t="s">
        <v>270</v>
      </c>
      <c r="L153" s="64">
        <v>7.4799999999999991E-2</v>
      </c>
      <c r="M153" s="363" t="s">
        <v>57</v>
      </c>
      <c r="N153" s="65">
        <v>49</v>
      </c>
      <c r="O153" s="363" t="s">
        <v>59</v>
      </c>
      <c r="P153" s="65">
        <v>49</v>
      </c>
      <c r="Q153" s="363" t="s">
        <v>60</v>
      </c>
      <c r="R153" s="65">
        <v>98</v>
      </c>
      <c r="S153" s="363" t="s">
        <v>61</v>
      </c>
      <c r="T153" s="65">
        <v>29</v>
      </c>
      <c r="U153" s="363" t="s">
        <v>54</v>
      </c>
      <c r="V153" s="66" t="s">
        <v>398</v>
      </c>
      <c r="W153" s="463" t="s">
        <v>392</v>
      </c>
      <c r="X153" s="465">
        <v>0.45</v>
      </c>
      <c r="Y153" s="463" t="s">
        <v>391</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383</v>
      </c>
      <c r="B158" s="359">
        <f>ROW(A158)</f>
        <v>158</v>
      </c>
      <c r="C158" s="363" t="s">
        <v>115</v>
      </c>
      <c r="D158" s="353">
        <f>SUM(B161:Y161)</f>
        <v>57.190000000000005</v>
      </c>
      <c r="E158" s="363" t="s">
        <v>114</v>
      </c>
      <c r="F158" s="354">
        <f>D158/g/J158</f>
        <v>188.05695307618953</v>
      </c>
      <c r="G158" s="363" t="s">
        <v>56</v>
      </c>
      <c r="H158" s="64">
        <v>9.9000000000000005E-2</v>
      </c>
      <c r="I158" s="363" t="s">
        <v>269</v>
      </c>
      <c r="J158" s="355">
        <f>H158-L158</f>
        <v>3.1E-2</v>
      </c>
      <c r="K158" s="363" t="s">
        <v>270</v>
      </c>
      <c r="L158" s="64">
        <v>6.8000000000000005E-2</v>
      </c>
      <c r="M158" s="363" t="s">
        <v>57</v>
      </c>
      <c r="N158" s="65">
        <v>49</v>
      </c>
      <c r="O158" s="363" t="s">
        <v>59</v>
      </c>
      <c r="P158" s="65">
        <v>49</v>
      </c>
      <c r="Q158" s="363" t="s">
        <v>60</v>
      </c>
      <c r="R158" s="65">
        <v>98</v>
      </c>
      <c r="S158" s="363" t="s">
        <v>61</v>
      </c>
      <c r="T158" s="65">
        <v>29</v>
      </c>
      <c r="U158" s="363" t="s">
        <v>54</v>
      </c>
      <c r="V158" s="66" t="s">
        <v>398</v>
      </c>
      <c r="W158" s="463" t="s">
        <v>392</v>
      </c>
      <c r="X158" s="465">
        <v>0.96</v>
      </c>
      <c r="Y158" s="463" t="s">
        <v>391</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313</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319</v>
      </c>
      <c r="B163" s="359">
        <f>ROW(A163)</f>
        <v>163</v>
      </c>
      <c r="C163" s="363" t="s">
        <v>115</v>
      </c>
      <c r="D163" s="353">
        <f>SUM(B166:Y166)</f>
        <v>59.702267000000006</v>
      </c>
      <c r="E163" s="363" t="s">
        <v>114</v>
      </c>
      <c r="F163" s="354">
        <f>D163/g/J163</f>
        <v>190.77924771281306</v>
      </c>
      <c r="G163" s="363" t="s">
        <v>56</v>
      </c>
      <c r="H163" s="64">
        <v>9.3899999999999997E-2</v>
      </c>
      <c r="I163" s="363" t="s">
        <v>269</v>
      </c>
      <c r="J163" s="355">
        <f>H163-L163</f>
        <v>3.1899999999999998E-2</v>
      </c>
      <c r="K163" s="363" t="s">
        <v>270</v>
      </c>
      <c r="L163" s="64">
        <f>0.095-0.033</f>
        <v>6.2E-2</v>
      </c>
      <c r="M163" s="363" t="s">
        <v>57</v>
      </c>
      <c r="N163" s="396">
        <v>66.5</v>
      </c>
      <c r="O163" s="363" t="s">
        <v>59</v>
      </c>
      <c r="P163" s="396">
        <v>66.5</v>
      </c>
      <c r="Q163" s="363" t="s">
        <v>60</v>
      </c>
      <c r="R163" s="65">
        <v>133</v>
      </c>
      <c r="S163" s="363" t="s">
        <v>61</v>
      </c>
      <c r="T163" s="65">
        <v>24</v>
      </c>
      <c r="U163" s="363" t="s">
        <v>54</v>
      </c>
      <c r="V163" s="66" t="s">
        <v>397</v>
      </c>
      <c r="W163" s="463" t="s">
        <v>392</v>
      </c>
      <c r="X163" s="465">
        <v>1.2</v>
      </c>
      <c r="Y163" s="463" t="s">
        <v>391</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320</v>
      </c>
      <c r="B168" s="359">
        <f>ROW(A168)</f>
        <v>168</v>
      </c>
      <c r="C168" s="363" t="s">
        <v>115</v>
      </c>
      <c r="D168" s="353">
        <f>SUM(B171:Y171)</f>
        <v>68.380602999999994</v>
      </c>
      <c r="E168" s="363" t="s">
        <v>114</v>
      </c>
      <c r="F168" s="354">
        <f>D168/g/J168</f>
        <v>134.04807300243078</v>
      </c>
      <c r="G168" s="363" t="s">
        <v>56</v>
      </c>
      <c r="H168" s="64">
        <v>0.1075</v>
      </c>
      <c r="I168" s="363" t="s">
        <v>269</v>
      </c>
      <c r="J168" s="355">
        <f>H168-L168</f>
        <v>5.1999999999999998E-2</v>
      </c>
      <c r="K168" s="363" t="s">
        <v>270</v>
      </c>
      <c r="L168" s="64">
        <v>5.5500000000000001E-2</v>
      </c>
      <c r="M168" s="363" t="s">
        <v>57</v>
      </c>
      <c r="N168" s="396">
        <v>66.5</v>
      </c>
      <c r="O168" s="363" t="s">
        <v>59</v>
      </c>
      <c r="P168" s="396">
        <v>66.5</v>
      </c>
      <c r="Q168" s="363" t="s">
        <v>60</v>
      </c>
      <c r="R168" s="65">
        <v>133</v>
      </c>
      <c r="S168" s="363" t="s">
        <v>61</v>
      </c>
      <c r="T168" s="65">
        <v>24</v>
      </c>
      <c r="U168" s="363" t="s">
        <v>54</v>
      </c>
      <c r="V168" s="66" t="s">
        <v>397</v>
      </c>
      <c r="W168" s="463" t="s">
        <v>392</v>
      </c>
      <c r="X168" s="465">
        <v>0.86</v>
      </c>
      <c r="Y168" s="463" t="s">
        <v>391</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321</v>
      </c>
      <c r="B173" s="359">
        <f>ROW(A173)</f>
        <v>173</v>
      </c>
      <c r="C173" s="363" t="s">
        <v>115</v>
      </c>
      <c r="D173" s="353">
        <f>SUM(B176:Y176)</f>
        <v>67.985428500000012</v>
      </c>
      <c r="E173" s="363" t="s">
        <v>114</v>
      </c>
      <c r="F173" s="354">
        <f>D173/g/J173</f>
        <v>181.89545859519862</v>
      </c>
      <c r="G173" s="363" t="s">
        <v>56</v>
      </c>
      <c r="H173" s="64">
        <v>9.1799999999999993E-2</v>
      </c>
      <c r="I173" s="363" t="s">
        <v>269</v>
      </c>
      <c r="J173" s="355">
        <f>H173-L173</f>
        <v>3.8099999999999988E-2</v>
      </c>
      <c r="K173" s="363" t="s">
        <v>270</v>
      </c>
      <c r="L173" s="64">
        <v>5.3700000000000005E-2</v>
      </c>
      <c r="M173" s="363" t="s">
        <v>57</v>
      </c>
      <c r="N173" s="396">
        <v>66.5</v>
      </c>
      <c r="O173" s="363" t="s">
        <v>59</v>
      </c>
      <c r="P173" s="396">
        <v>66.5</v>
      </c>
      <c r="Q173" s="363" t="s">
        <v>60</v>
      </c>
      <c r="R173" s="65">
        <v>133</v>
      </c>
      <c r="S173" s="363" t="s">
        <v>61</v>
      </c>
      <c r="T173" s="65">
        <v>24</v>
      </c>
      <c r="U173" s="363" t="s">
        <v>54</v>
      </c>
      <c r="V173" s="66" t="s">
        <v>397</v>
      </c>
      <c r="W173" s="463" t="s">
        <v>392</v>
      </c>
      <c r="X173" s="465">
        <v>0.33</v>
      </c>
      <c r="Y173" s="463" t="s">
        <v>391</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322</v>
      </c>
      <c r="B178" s="359">
        <f>ROW(A178)</f>
        <v>178</v>
      </c>
      <c r="C178" s="363" t="s">
        <v>115</v>
      </c>
      <c r="D178" s="353">
        <f>SUM(B181:Y181)</f>
        <v>73.557381500000005</v>
      </c>
      <c r="E178" s="363" t="s">
        <v>114</v>
      </c>
      <c r="F178" s="354">
        <f>D178/g/J178</f>
        <v>156.86619302308719</v>
      </c>
      <c r="G178" s="363" t="s">
        <v>56</v>
      </c>
      <c r="H178" s="64">
        <v>0.1022</v>
      </c>
      <c r="I178" s="363" t="s">
        <v>269</v>
      </c>
      <c r="J178" s="355">
        <f>H178-L178</f>
        <v>4.7800000000000002E-2</v>
      </c>
      <c r="K178" s="363" t="s">
        <v>270</v>
      </c>
      <c r="L178" s="64">
        <v>5.4399999999999997E-2</v>
      </c>
      <c r="M178" s="363" t="s">
        <v>57</v>
      </c>
      <c r="N178" s="396">
        <v>66.5</v>
      </c>
      <c r="O178" s="363" t="s">
        <v>59</v>
      </c>
      <c r="P178" s="396">
        <v>66.5</v>
      </c>
      <c r="Q178" s="363" t="s">
        <v>60</v>
      </c>
      <c r="R178" s="65">
        <v>133</v>
      </c>
      <c r="S178" s="363" t="s">
        <v>61</v>
      </c>
      <c r="T178" s="65">
        <v>24</v>
      </c>
      <c r="U178" s="363" t="s">
        <v>54</v>
      </c>
      <c r="V178" s="66" t="s">
        <v>397</v>
      </c>
      <c r="W178" s="463" t="s">
        <v>392</v>
      </c>
      <c r="X178" s="465">
        <v>2.36</v>
      </c>
      <c r="Y178" s="463" t="s">
        <v>391</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323</v>
      </c>
      <c r="B183" s="359">
        <f>ROW(A183)</f>
        <v>183</v>
      </c>
      <c r="C183" s="363" t="s">
        <v>115</v>
      </c>
      <c r="D183" s="353">
        <f>SUM(B186:Y186)</f>
        <v>73.169517999999997</v>
      </c>
      <c r="E183" s="363" t="s">
        <v>114</v>
      </c>
      <c r="F183" s="354">
        <f>D183/g/J183</f>
        <v>177.58729673316827</v>
      </c>
      <c r="G183" s="363" t="s">
        <v>56</v>
      </c>
      <c r="H183" s="64">
        <v>9.6000000000000002E-2</v>
      </c>
      <c r="I183" s="363" t="s">
        <v>269</v>
      </c>
      <c r="J183" s="355">
        <f>H183-L183</f>
        <v>4.2000000000000003E-2</v>
      </c>
      <c r="K183" s="363" t="s">
        <v>270</v>
      </c>
      <c r="L183" s="64">
        <v>5.3999999999999999E-2</v>
      </c>
      <c r="M183" s="363" t="s">
        <v>57</v>
      </c>
      <c r="N183" s="396">
        <v>66.5</v>
      </c>
      <c r="O183" s="363" t="s">
        <v>59</v>
      </c>
      <c r="P183" s="396">
        <v>66.5</v>
      </c>
      <c r="Q183" s="363" t="s">
        <v>60</v>
      </c>
      <c r="R183" s="65">
        <v>133</v>
      </c>
      <c r="S183" s="363" t="s">
        <v>61</v>
      </c>
      <c r="T183" s="65">
        <v>24</v>
      </c>
      <c r="U183" s="363" t="s">
        <v>54</v>
      </c>
      <c r="V183" s="66" t="s">
        <v>398</v>
      </c>
      <c r="W183" s="463" t="s">
        <v>392</v>
      </c>
      <c r="X183" s="465">
        <v>0.87</v>
      </c>
      <c r="Y183" s="463" t="s">
        <v>391</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324</v>
      </c>
      <c r="B188" s="359">
        <f>ROW(A188)</f>
        <v>188</v>
      </c>
      <c r="C188" s="363" t="s">
        <v>115</v>
      </c>
      <c r="D188" s="353">
        <f>SUM(B191:Y191)</f>
        <v>75.254384000000016</v>
      </c>
      <c r="E188" s="363" t="s">
        <v>114</v>
      </c>
      <c r="F188" s="354">
        <f>D188/g/J188</f>
        <v>232.46033422914161</v>
      </c>
      <c r="G188" s="363" t="s">
        <v>56</v>
      </c>
      <c r="H188" s="64">
        <v>9.5000000000000001E-2</v>
      </c>
      <c r="I188" s="363" t="s">
        <v>269</v>
      </c>
      <c r="J188" s="355">
        <f>H188-L188</f>
        <v>3.3000000000000002E-2</v>
      </c>
      <c r="K188" s="363" t="s">
        <v>270</v>
      </c>
      <c r="L188" s="64">
        <f>0.095-0.033</f>
        <v>6.2E-2</v>
      </c>
      <c r="M188" s="363" t="s">
        <v>57</v>
      </c>
      <c r="N188" s="396">
        <v>66.5</v>
      </c>
      <c r="O188" s="363" t="s">
        <v>59</v>
      </c>
      <c r="P188" s="396">
        <v>66.5</v>
      </c>
      <c r="Q188" s="363" t="s">
        <v>60</v>
      </c>
      <c r="R188" s="65">
        <v>133</v>
      </c>
      <c r="S188" s="363" t="s">
        <v>61</v>
      </c>
      <c r="T188" s="65">
        <v>24</v>
      </c>
      <c r="U188" s="363" t="s">
        <v>54</v>
      </c>
      <c r="V188" s="66" t="s">
        <v>398</v>
      </c>
      <c r="W188" s="463" t="s">
        <v>392</v>
      </c>
      <c r="X188" s="465">
        <v>1.5</v>
      </c>
      <c r="Y188" s="463" t="s">
        <v>391</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371</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533</v>
      </c>
      <c r="B193" s="359">
        <f>ROW(A193)</f>
        <v>193</v>
      </c>
      <c r="C193" s="363" t="s">
        <v>115</v>
      </c>
      <c r="D193" s="353">
        <f>SUM(B196:Y196)</f>
        <v>141.04999999999998</v>
      </c>
      <c r="E193" s="363" t="s">
        <v>114</v>
      </c>
      <c r="F193" s="354">
        <f>D193/g/J193</f>
        <v>186.24592648930721</v>
      </c>
      <c r="G193" s="363" t="s">
        <v>56</v>
      </c>
      <c r="H193" s="64">
        <v>0.16189999999999999</v>
      </c>
      <c r="I193" s="363" t="s">
        <v>269</v>
      </c>
      <c r="J193" s="355">
        <f>H193-L193</f>
        <v>7.7199999999999991E-2</v>
      </c>
      <c r="K193" s="363" t="s">
        <v>270</v>
      </c>
      <c r="L193" s="64">
        <v>8.4699999999999998E-2</v>
      </c>
      <c r="M193" s="363" t="s">
        <v>57</v>
      </c>
      <c r="N193" s="65">
        <v>114</v>
      </c>
      <c r="O193" s="363" t="s">
        <v>59</v>
      </c>
      <c r="P193" s="65">
        <v>114</v>
      </c>
      <c r="Q193" s="363" t="s">
        <v>60</v>
      </c>
      <c r="R193" s="65">
        <v>228</v>
      </c>
      <c r="S193" s="363" t="s">
        <v>61</v>
      </c>
      <c r="T193" s="65">
        <v>24</v>
      </c>
      <c r="U193" s="363" t="s">
        <v>54</v>
      </c>
      <c r="V193" s="66" t="s">
        <v>119</v>
      </c>
      <c r="W193" s="463" t="s">
        <v>392</v>
      </c>
      <c r="X193" s="465">
        <v>0.96</v>
      </c>
      <c r="Y193" s="463" t="s">
        <v>391</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542</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546</v>
      </c>
      <c r="B198" s="359">
        <f>ROW(A198)</f>
        <v>198</v>
      </c>
      <c r="C198" s="363" t="s">
        <v>115</v>
      </c>
      <c r="D198" s="353">
        <f>SUM(B201:Y201)</f>
        <v>142.44</v>
      </c>
      <c r="E198" s="363" t="s">
        <v>114</v>
      </c>
      <c r="F198" s="354">
        <f>D198/g/J198</f>
        <v>192.06187401906058</v>
      </c>
      <c r="G198" s="363" t="s">
        <v>56</v>
      </c>
      <c r="H198" s="64">
        <v>0.15989999999999999</v>
      </c>
      <c r="I198" s="363" t="s">
        <v>269</v>
      </c>
      <c r="J198" s="355">
        <f>H198-L198</f>
        <v>7.5599999999999987E-2</v>
      </c>
      <c r="K198" s="363" t="s">
        <v>270</v>
      </c>
      <c r="L198" s="64">
        <v>8.43E-2</v>
      </c>
      <c r="M198" s="363" t="s">
        <v>57</v>
      </c>
      <c r="N198" s="65">
        <v>114</v>
      </c>
      <c r="O198" s="363" t="s">
        <v>59</v>
      </c>
      <c r="P198" s="65">
        <v>114</v>
      </c>
      <c r="Q198" s="363" t="s">
        <v>60</v>
      </c>
      <c r="R198" s="65">
        <v>228</v>
      </c>
      <c r="S198" s="363" t="s">
        <v>61</v>
      </c>
      <c r="T198" s="65">
        <v>24</v>
      </c>
      <c r="U198" s="363" t="s">
        <v>54</v>
      </c>
      <c r="V198" s="66" t="s">
        <v>399</v>
      </c>
      <c r="W198" s="463" t="s">
        <v>392</v>
      </c>
      <c r="X198" s="465">
        <v>0.97</v>
      </c>
      <c r="Y198" s="463" t="s">
        <v>391</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535</v>
      </c>
      <c r="B203" s="359">
        <f>ROW(A203)</f>
        <v>203</v>
      </c>
      <c r="C203" s="363" t="s">
        <v>115</v>
      </c>
      <c r="D203" s="353">
        <f>SUM(B206:Y206)</f>
        <v>143.08845000000002</v>
      </c>
      <c r="E203" s="363" t="s">
        <v>114</v>
      </c>
      <c r="F203" s="354">
        <f>D203/g/J203</f>
        <v>168.23504721190514</v>
      </c>
      <c r="G203" s="363" t="s">
        <v>56</v>
      </c>
      <c r="H203" s="64">
        <v>0.17249999999999999</v>
      </c>
      <c r="I203" s="363" t="s">
        <v>269</v>
      </c>
      <c r="J203" s="355">
        <f>H203-L203</f>
        <v>8.6699999999999985E-2</v>
      </c>
      <c r="K203" s="363" t="s">
        <v>270</v>
      </c>
      <c r="L203" s="64">
        <v>8.5800000000000001E-2</v>
      </c>
      <c r="M203" s="363" t="s">
        <v>57</v>
      </c>
      <c r="N203" s="65">
        <v>114</v>
      </c>
      <c r="O203" s="363" t="s">
        <v>59</v>
      </c>
      <c r="P203" s="65">
        <v>114</v>
      </c>
      <c r="Q203" s="363" t="s">
        <v>60</v>
      </c>
      <c r="R203" s="65">
        <v>228</v>
      </c>
      <c r="S203" s="363" t="s">
        <v>61</v>
      </c>
      <c r="T203" s="65">
        <v>24</v>
      </c>
      <c r="U203" s="363" t="s">
        <v>54</v>
      </c>
      <c r="V203" s="66" t="s">
        <v>119</v>
      </c>
      <c r="W203" s="463" t="s">
        <v>392</v>
      </c>
      <c r="X203" s="465">
        <v>0.97</v>
      </c>
      <c r="Y203" s="463" t="s">
        <v>391</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534</v>
      </c>
      <c r="B208" s="359">
        <f>ROW(A208)</f>
        <v>208</v>
      </c>
      <c r="C208" s="363" t="s">
        <v>115</v>
      </c>
      <c r="D208" s="353">
        <f>SUM(B211:Y211)</f>
        <v>139.423417</v>
      </c>
      <c r="E208" s="363" t="s">
        <v>114</v>
      </c>
      <c r="F208" s="354">
        <f>D208/g/J208</f>
        <v>158.62027745922524</v>
      </c>
      <c r="G208" s="363" t="s">
        <v>56</v>
      </c>
      <c r="H208" s="64">
        <v>0.19450000000000001</v>
      </c>
      <c r="I208" s="363" t="s">
        <v>269</v>
      </c>
      <c r="J208" s="355">
        <f>H208-L208</f>
        <v>8.9600000000000013E-2</v>
      </c>
      <c r="K208" s="363" t="s">
        <v>270</v>
      </c>
      <c r="L208" s="64">
        <v>0.10489999999999999</v>
      </c>
      <c r="M208" s="363" t="s">
        <v>57</v>
      </c>
      <c r="N208" s="65">
        <v>114</v>
      </c>
      <c r="O208" s="363" t="s">
        <v>59</v>
      </c>
      <c r="P208" s="65">
        <v>144</v>
      </c>
      <c r="Q208" s="363" t="s">
        <v>60</v>
      </c>
      <c r="R208" s="65">
        <v>228</v>
      </c>
      <c r="S208" s="363" t="s">
        <v>61</v>
      </c>
      <c r="T208" s="65">
        <v>24</v>
      </c>
      <c r="U208" s="363" t="s">
        <v>54</v>
      </c>
      <c r="V208" s="66" t="s">
        <v>119</v>
      </c>
      <c r="W208" s="463" t="s">
        <v>392</v>
      </c>
      <c r="X208" s="465">
        <v>1.3</v>
      </c>
      <c r="Y208" s="463" t="s">
        <v>391</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314</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373</v>
      </c>
      <c r="B213" s="359">
        <f>ROW(A213)</f>
        <v>213</v>
      </c>
      <c r="C213" s="363" t="s">
        <v>115</v>
      </c>
      <c r="D213" s="353">
        <f>SUM(B216:Y216)</f>
        <v>82.798500000000018</v>
      </c>
      <c r="E213" s="363" t="s">
        <v>114</v>
      </c>
      <c r="F213" s="354">
        <f>D213/g/J213</f>
        <v>131.87834480122325</v>
      </c>
      <c r="G213" s="363" t="s">
        <v>56</v>
      </c>
      <c r="H213" s="64">
        <v>0.152</v>
      </c>
      <c r="I213" s="363" t="s">
        <v>269</v>
      </c>
      <c r="J213" s="355">
        <f>H213-L213</f>
        <v>6.4000000000000001E-2</v>
      </c>
      <c r="K213" s="363" t="s">
        <v>270</v>
      </c>
      <c r="L213" s="64">
        <v>8.7999999999999995E-2</v>
      </c>
      <c r="M213" s="363" t="s">
        <v>57</v>
      </c>
      <c r="N213" s="65">
        <v>71</v>
      </c>
      <c r="O213" s="363" t="s">
        <v>59</v>
      </c>
      <c r="P213" s="65">
        <v>71</v>
      </c>
      <c r="Q213" s="363" t="s">
        <v>60</v>
      </c>
      <c r="R213" s="65">
        <v>142</v>
      </c>
      <c r="S213" s="363" t="s">
        <v>61</v>
      </c>
      <c r="T213" s="65">
        <v>29</v>
      </c>
      <c r="U213" s="363" t="s">
        <v>54</v>
      </c>
      <c r="V213" s="66" t="s">
        <v>119</v>
      </c>
      <c r="W213" s="463" t="s">
        <v>392</v>
      </c>
      <c r="X213" s="465">
        <v>0.96</v>
      </c>
      <c r="Y213" s="463" t="s">
        <v>391</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374</v>
      </c>
      <c r="B218" s="359">
        <f>ROW(A218)</f>
        <v>218</v>
      </c>
      <c r="C218" s="363" t="s">
        <v>115</v>
      </c>
      <c r="D218" s="353">
        <f>SUM(B221:Y221)</f>
        <v>98.257101163036367</v>
      </c>
      <c r="E218" s="363" t="s">
        <v>114</v>
      </c>
      <c r="F218" s="354">
        <f>D218/g/J218</f>
        <v>177.58890761893778</v>
      </c>
      <c r="G218" s="363" t="s">
        <v>56</v>
      </c>
      <c r="H218" s="64">
        <v>0.14319999999999999</v>
      </c>
      <c r="I218" s="363" t="s">
        <v>269</v>
      </c>
      <c r="J218" s="355">
        <f>H218-L218</f>
        <v>5.6399999999999992E-2</v>
      </c>
      <c r="K218" s="363" t="s">
        <v>270</v>
      </c>
      <c r="L218" s="64">
        <v>8.6800000000000002E-2</v>
      </c>
      <c r="M218" s="363" t="s">
        <v>57</v>
      </c>
      <c r="N218" s="65">
        <v>71</v>
      </c>
      <c r="O218" s="363" t="s">
        <v>59</v>
      </c>
      <c r="P218" s="65">
        <v>71</v>
      </c>
      <c r="Q218" s="363" t="s">
        <v>60</v>
      </c>
      <c r="R218" s="65">
        <v>142</v>
      </c>
      <c r="S218" s="363" t="s">
        <v>61</v>
      </c>
      <c r="T218" s="65">
        <v>29</v>
      </c>
      <c r="U218" s="363" t="s">
        <v>54</v>
      </c>
      <c r="V218" s="66" t="s">
        <v>119</v>
      </c>
      <c r="W218" s="463" t="s">
        <v>392</v>
      </c>
      <c r="X218" s="465">
        <v>1.1499999999999999</v>
      </c>
      <c r="Y218" s="463" t="s">
        <v>391</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375</v>
      </c>
      <c r="B223" s="359">
        <f>ROW(A223)</f>
        <v>223</v>
      </c>
      <c r="C223" s="363" t="s">
        <v>115</v>
      </c>
      <c r="D223" s="353">
        <f>SUM(B226:Y226)</f>
        <v>109.60639850000001</v>
      </c>
      <c r="E223" s="363" t="s">
        <v>114</v>
      </c>
      <c r="F223" s="354">
        <f>D223/g/J223</f>
        <v>194.31174666489383</v>
      </c>
      <c r="G223" s="363" t="s">
        <v>56</v>
      </c>
      <c r="H223" s="64">
        <v>0.14130000000000001</v>
      </c>
      <c r="I223" s="363" t="s">
        <v>269</v>
      </c>
      <c r="J223" s="355">
        <f>H223-L223</f>
        <v>5.7500000000000009E-2</v>
      </c>
      <c r="K223" s="363" t="s">
        <v>270</v>
      </c>
      <c r="L223" s="64">
        <v>8.3799999999999999E-2</v>
      </c>
      <c r="M223" s="363" t="s">
        <v>57</v>
      </c>
      <c r="N223" s="65">
        <v>71</v>
      </c>
      <c r="O223" s="363" t="s">
        <v>59</v>
      </c>
      <c r="P223" s="65">
        <v>71</v>
      </c>
      <c r="Q223" s="363" t="s">
        <v>60</v>
      </c>
      <c r="R223" s="65">
        <v>142</v>
      </c>
      <c r="S223" s="363" t="s">
        <v>61</v>
      </c>
      <c r="T223" s="65">
        <v>29</v>
      </c>
      <c r="U223" s="363" t="s">
        <v>54</v>
      </c>
      <c r="V223" s="66" t="s">
        <v>399</v>
      </c>
      <c r="W223" s="463" t="s">
        <v>392</v>
      </c>
      <c r="X223" s="465">
        <v>0.45</v>
      </c>
      <c r="Y223" s="463" t="s">
        <v>391</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376</v>
      </c>
      <c r="B228" s="359">
        <f>ROW(A228)</f>
        <v>228</v>
      </c>
      <c r="C228" s="363" t="s">
        <v>115</v>
      </c>
      <c r="D228" s="353">
        <f>SUM(B231:Y231)</f>
        <v>115.63</v>
      </c>
      <c r="E228" s="363" t="s">
        <v>114</v>
      </c>
      <c r="F228" s="354">
        <f>D228/g/J228</f>
        <v>199.77884897804037</v>
      </c>
      <c r="G228" s="363" t="s">
        <v>56</v>
      </c>
      <c r="H228" s="64">
        <v>0.14499999999999999</v>
      </c>
      <c r="I228" s="363" t="s">
        <v>269</v>
      </c>
      <c r="J228" s="355">
        <f>H228-L228</f>
        <v>5.8999999999999997E-2</v>
      </c>
      <c r="K228" s="363" t="s">
        <v>270</v>
      </c>
      <c r="L228" s="64">
        <v>8.5999999999999993E-2</v>
      </c>
      <c r="M228" s="363" t="s">
        <v>57</v>
      </c>
      <c r="N228" s="65">
        <v>71</v>
      </c>
      <c r="O228" s="363" t="s">
        <v>59</v>
      </c>
      <c r="P228" s="65">
        <v>71</v>
      </c>
      <c r="Q228" s="363" t="s">
        <v>60</v>
      </c>
      <c r="R228" s="65">
        <v>142</v>
      </c>
      <c r="S228" s="363" t="s">
        <v>61</v>
      </c>
      <c r="T228" s="65">
        <v>29</v>
      </c>
      <c r="U228" s="363" t="s">
        <v>54</v>
      </c>
      <c r="V228" s="66" t="s">
        <v>398</v>
      </c>
      <c r="W228" s="463" t="s">
        <v>392</v>
      </c>
      <c r="X228" s="465">
        <v>0.93</v>
      </c>
      <c r="Y228" s="463" t="s">
        <v>391</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384</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385</v>
      </c>
      <c r="B233" s="359">
        <f>ROW(A233)</f>
        <v>233</v>
      </c>
      <c r="C233" s="363" t="s">
        <v>115</v>
      </c>
      <c r="D233" s="353">
        <f>SUM(B236:Y236)</f>
        <v>115.63</v>
      </c>
      <c r="E233" s="363" t="s">
        <v>114</v>
      </c>
      <c r="F233" s="354">
        <f>D233/g/J233</f>
        <v>125.39310733728064</v>
      </c>
      <c r="G233" s="363" t="s">
        <v>56</v>
      </c>
      <c r="H233" s="64">
        <v>0.2</v>
      </c>
      <c r="I233" s="363" t="s">
        <v>269</v>
      </c>
      <c r="J233" s="355">
        <f>H233-L233</f>
        <v>9.4000000000000014E-2</v>
      </c>
      <c r="K233" s="363" t="s">
        <v>270</v>
      </c>
      <c r="L233" s="64">
        <v>0.106</v>
      </c>
      <c r="M233" s="363" t="s">
        <v>57</v>
      </c>
      <c r="N233" s="65">
        <v>93</v>
      </c>
      <c r="O233" s="363" t="s">
        <v>59</v>
      </c>
      <c r="P233" s="65">
        <v>93</v>
      </c>
      <c r="Q233" s="363" t="s">
        <v>60</v>
      </c>
      <c r="R233" s="65">
        <v>187</v>
      </c>
      <c r="S233" s="363" t="s">
        <v>61</v>
      </c>
      <c r="T233" s="65">
        <v>29</v>
      </c>
      <c r="U233" s="363" t="s">
        <v>54</v>
      </c>
      <c r="V233" s="66" t="s">
        <v>119</v>
      </c>
      <c r="W233" s="463" t="s">
        <v>392</v>
      </c>
      <c r="X233" s="465">
        <v>0.96</v>
      </c>
      <c r="Y233" s="463" t="s">
        <v>391</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390</v>
      </c>
      <c r="B238" s="359">
        <f>ROW(A238)</f>
        <v>238</v>
      </c>
      <c r="C238" s="363" t="s">
        <v>115</v>
      </c>
      <c r="D238" s="353">
        <f>SUM(B241:Y241)</f>
        <v>158.04815100000002</v>
      </c>
      <c r="E238" s="363" t="s">
        <v>114</v>
      </c>
      <c r="F238" s="354">
        <v>198</v>
      </c>
      <c r="G238" s="363" t="s">
        <v>56</v>
      </c>
      <c r="H238" s="64">
        <v>0.19450000000000001</v>
      </c>
      <c r="I238" s="363" t="s">
        <v>269</v>
      </c>
      <c r="J238" s="355">
        <f>H238-L238</f>
        <v>8.9600000000000013E-2</v>
      </c>
      <c r="K238" s="363" t="s">
        <v>270</v>
      </c>
      <c r="L238" s="64">
        <v>0.10489999999999999</v>
      </c>
      <c r="M238" s="363" t="s">
        <v>57</v>
      </c>
      <c r="N238" s="65">
        <v>93</v>
      </c>
      <c r="O238" s="363" t="s">
        <v>59</v>
      </c>
      <c r="P238" s="65">
        <v>93</v>
      </c>
      <c r="Q238" s="363" t="s">
        <v>60</v>
      </c>
      <c r="R238" s="65">
        <v>187</v>
      </c>
      <c r="S238" s="363" t="s">
        <v>61</v>
      </c>
      <c r="T238" s="65">
        <v>29</v>
      </c>
      <c r="U238" s="363" t="s">
        <v>54</v>
      </c>
      <c r="V238" s="66" t="s">
        <v>119</v>
      </c>
      <c r="W238" s="463" t="s">
        <v>392</v>
      </c>
      <c r="X238" s="465">
        <v>1.27</v>
      </c>
      <c r="Y238" s="463" t="s">
        <v>391</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372</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377</v>
      </c>
      <c r="B243" s="359">
        <f>ROW(A243)</f>
        <v>243</v>
      </c>
      <c r="C243" s="363" t="s">
        <v>115</v>
      </c>
      <c r="D243" s="353">
        <f>SUM(B246:Y246)</f>
        <v>136.75235000000001</v>
      </c>
      <c r="E243" s="363" t="s">
        <v>114</v>
      </c>
      <c r="F243" s="354">
        <f>D243/g/J243</f>
        <v>152.35078513616639</v>
      </c>
      <c r="G243" s="363" t="s">
        <v>56</v>
      </c>
      <c r="H243" s="64">
        <v>0.21249999999999999</v>
      </c>
      <c r="I243" s="363" t="s">
        <v>269</v>
      </c>
      <c r="J243" s="355">
        <f>H243-L243</f>
        <v>9.1499999999999998E-2</v>
      </c>
      <c r="K243" s="363" t="s">
        <v>270</v>
      </c>
      <c r="L243" s="64">
        <v>0.121</v>
      </c>
      <c r="M243" s="363" t="s">
        <v>57</v>
      </c>
      <c r="N243" s="65">
        <v>63</v>
      </c>
      <c r="O243" s="363" t="s">
        <v>59</v>
      </c>
      <c r="P243" s="65">
        <v>114</v>
      </c>
      <c r="Q243" s="363" t="s">
        <v>60</v>
      </c>
      <c r="R243" s="65">
        <v>127</v>
      </c>
      <c r="S243" s="363" t="s">
        <v>61</v>
      </c>
      <c r="T243" s="65">
        <v>38</v>
      </c>
      <c r="U243" s="363" t="s">
        <v>54</v>
      </c>
      <c r="V243" s="66" t="s">
        <v>119</v>
      </c>
      <c r="W243" s="463" t="s">
        <v>392</v>
      </c>
      <c r="X243" s="465">
        <v>2.36</v>
      </c>
      <c r="Y243" s="463" t="s">
        <v>391</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378</v>
      </c>
      <c r="B248" s="359">
        <f>ROW(A248)</f>
        <v>248</v>
      </c>
      <c r="C248" s="363" t="s">
        <v>115</v>
      </c>
      <c r="D248" s="353">
        <f>SUM(B251:Y251)</f>
        <v>127.06944999999999</v>
      </c>
      <c r="E248" s="363" t="s">
        <v>114</v>
      </c>
      <c r="F248" s="354">
        <f>D248/g/J248</f>
        <v>180.65624835614466</v>
      </c>
      <c r="G248" s="363" t="s">
        <v>56</v>
      </c>
      <c r="H248" s="64">
        <v>0.18840000000000001</v>
      </c>
      <c r="I248" s="363" t="s">
        <v>269</v>
      </c>
      <c r="J248" s="355">
        <f>H248-L248</f>
        <v>7.1700000000000014E-2</v>
      </c>
      <c r="K248" s="363" t="s">
        <v>270</v>
      </c>
      <c r="L248" s="64">
        <v>0.1167</v>
      </c>
      <c r="M248" s="363" t="s">
        <v>57</v>
      </c>
      <c r="N248" s="65">
        <v>63</v>
      </c>
      <c r="O248" s="363" t="s">
        <v>59</v>
      </c>
      <c r="P248" s="65">
        <v>114</v>
      </c>
      <c r="Q248" s="363" t="s">
        <v>60</v>
      </c>
      <c r="R248" s="65">
        <v>127</v>
      </c>
      <c r="S248" s="363" t="s">
        <v>61</v>
      </c>
      <c r="T248" s="65">
        <v>38</v>
      </c>
      <c r="U248" s="363" t="s">
        <v>54</v>
      </c>
      <c r="V248" s="66" t="s">
        <v>119</v>
      </c>
      <c r="W248" s="463" t="s">
        <v>392</v>
      </c>
      <c r="X248" s="465">
        <v>0.69</v>
      </c>
      <c r="Y248" s="463" t="s">
        <v>391</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386</v>
      </c>
      <c r="B253" s="359">
        <f>ROW(A253)</f>
        <v>253</v>
      </c>
      <c r="C253" s="363" t="s">
        <v>115</v>
      </c>
      <c r="D253" s="353">
        <f>SUM(B256:Y256)</f>
        <v>142.7236025</v>
      </c>
      <c r="E253" s="363" t="s">
        <v>114</v>
      </c>
      <c r="F253" s="354">
        <v>208</v>
      </c>
      <c r="G253" s="363" t="s">
        <v>56</v>
      </c>
      <c r="H253" s="64">
        <v>0.19700000000000001</v>
      </c>
      <c r="I253" s="363" t="s">
        <v>269</v>
      </c>
      <c r="J253" s="355">
        <f>H253-L253</f>
        <v>7.0000000000000007E-2</v>
      </c>
      <c r="K253" s="363" t="s">
        <v>270</v>
      </c>
      <c r="L253" s="64">
        <v>0.127</v>
      </c>
      <c r="M253" s="363" t="s">
        <v>57</v>
      </c>
      <c r="N253" s="65">
        <v>63</v>
      </c>
      <c r="O253" s="363" t="s">
        <v>59</v>
      </c>
      <c r="P253" s="65">
        <v>114</v>
      </c>
      <c r="Q253" s="363" t="s">
        <v>60</v>
      </c>
      <c r="R253" s="65">
        <v>127</v>
      </c>
      <c r="S253" s="363" t="s">
        <v>61</v>
      </c>
      <c r="T253" s="65">
        <v>38</v>
      </c>
      <c r="U253" s="363" t="s">
        <v>54</v>
      </c>
      <c r="V253" s="66" t="s">
        <v>119</v>
      </c>
      <c r="W253" s="463" t="s">
        <v>392</v>
      </c>
      <c r="X253" s="465">
        <v>1.8</v>
      </c>
      <c r="Y253" s="463" t="s">
        <v>391</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272</v>
      </c>
      <c r="B258" s="360">
        <f>ROW(A258)</f>
        <v>258</v>
      </c>
      <c r="C258" s="363" t="s">
        <v>115</v>
      </c>
      <c r="D258" s="353">
        <f>SUM(B261:Y261)</f>
        <v>33.500000000000007</v>
      </c>
      <c r="E258" s="363" t="s">
        <v>114</v>
      </c>
      <c r="F258" s="354">
        <f>D258/g/J258</f>
        <v>68.297655453618759</v>
      </c>
      <c r="G258" s="363" t="s">
        <v>56</v>
      </c>
      <c r="H258" s="64">
        <v>8.5000000000000006E-2</v>
      </c>
      <c r="I258" s="363" t="s">
        <v>269</v>
      </c>
      <c r="J258" s="355">
        <f>H258-L258</f>
        <v>0.05</v>
      </c>
      <c r="K258" s="363" t="s">
        <v>270</v>
      </c>
      <c r="L258" s="64">
        <v>3.5000000000000003E-2</v>
      </c>
      <c r="M258" s="363" t="s">
        <v>57</v>
      </c>
      <c r="N258" s="65">
        <v>20</v>
      </c>
      <c r="O258" s="363" t="s">
        <v>59</v>
      </c>
      <c r="P258" s="65">
        <v>20</v>
      </c>
      <c r="Q258" s="363" t="s">
        <v>60</v>
      </c>
      <c r="R258" s="65">
        <v>39</v>
      </c>
      <c r="S258" s="363" t="s">
        <v>61</v>
      </c>
      <c r="T258" s="65">
        <v>39</v>
      </c>
      <c r="U258" s="363" t="s">
        <v>54</v>
      </c>
      <c r="V258" s="66" t="s">
        <v>399</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273</v>
      </c>
      <c r="B263" s="359">
        <f>ROW(A263)</f>
        <v>263</v>
      </c>
      <c r="C263" s="363" t="s">
        <v>115</v>
      </c>
      <c r="D263" s="353">
        <f>SUM(B266:Y266)</f>
        <v>145.46</v>
      </c>
      <c r="E263" s="363" t="s">
        <v>114</v>
      </c>
      <c r="F263" s="354">
        <f>D263/g/J263</f>
        <v>211.82466870540264</v>
      </c>
      <c r="G263" s="363" t="s">
        <v>56</v>
      </c>
      <c r="H263" s="64">
        <v>0.22</v>
      </c>
      <c r="I263" s="363" t="s">
        <v>269</v>
      </c>
      <c r="J263" s="355">
        <f>H263-L263</f>
        <v>7.0000000000000007E-2</v>
      </c>
      <c r="K263" s="363" t="s">
        <v>270</v>
      </c>
      <c r="L263" s="64">
        <v>0.15</v>
      </c>
      <c r="M263" s="363" t="s">
        <v>57</v>
      </c>
      <c r="N263" s="65">
        <v>50</v>
      </c>
      <c r="O263" s="363" t="s">
        <v>59</v>
      </c>
      <c r="P263" s="65">
        <v>55</v>
      </c>
      <c r="Q263" s="363" t="s">
        <v>60</v>
      </c>
      <c r="R263" s="65">
        <v>76</v>
      </c>
      <c r="S263" s="363" t="s">
        <v>61</v>
      </c>
      <c r="T263" s="65">
        <v>40</v>
      </c>
      <c r="U263" s="363" t="s">
        <v>54</v>
      </c>
      <c r="V263" s="66" t="s">
        <v>399</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311</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269</v>
      </c>
      <c r="J269" s="355">
        <f>H269-L269</f>
        <v>0.66999999999999993</v>
      </c>
      <c r="K269" s="363" t="s">
        <v>270</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269</v>
      </c>
      <c r="J274" s="355">
        <f>H274-L274</f>
        <v>1.23</v>
      </c>
      <c r="K274" s="363" t="s">
        <v>270</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547</v>
      </c>
      <c r="B279" s="359">
        <f>ROW(A279)</f>
        <v>279</v>
      </c>
      <c r="C279" s="363" t="s">
        <v>115</v>
      </c>
      <c r="D279" s="353">
        <f>SUM(B282:Y282)</f>
        <v>2058.37</v>
      </c>
      <c r="E279" s="363" t="s">
        <v>114</v>
      </c>
      <c r="F279" s="354">
        <f>D279/g/J279</f>
        <v>203.12066731598335</v>
      </c>
      <c r="G279" s="363" t="s">
        <v>56</v>
      </c>
      <c r="H279" s="64">
        <v>1.6850000000000001</v>
      </c>
      <c r="I279" s="363" t="s">
        <v>269</v>
      </c>
      <c r="J279" s="355">
        <f>H279-L279</f>
        <v>1.0329999999999999</v>
      </c>
      <c r="K279" s="363" t="s">
        <v>270</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550</v>
      </c>
      <c r="B284" s="359">
        <f>ROW(A284)</f>
        <v>284</v>
      </c>
      <c r="C284" s="363" t="s">
        <v>115</v>
      </c>
      <c r="D284" s="353">
        <f>SUM(B287:Y287)</f>
        <v>1998.2428999999995</v>
      </c>
      <c r="E284" s="363" t="s">
        <v>114</v>
      </c>
      <c r="F284" s="354">
        <f>D284/g/J284</f>
        <v>207.42819268753979</v>
      </c>
      <c r="G284" s="363" t="s">
        <v>56</v>
      </c>
      <c r="H284" s="64">
        <v>1.6319999999999999</v>
      </c>
      <c r="I284" s="363" t="s">
        <v>269</v>
      </c>
      <c r="J284" s="355">
        <f>H284-L284</f>
        <v>0.98199999999999987</v>
      </c>
      <c r="K284" s="363" t="s">
        <v>270</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548</v>
      </c>
      <c r="B289" s="359">
        <f>ROW(A289)</f>
        <v>289</v>
      </c>
      <c r="C289" s="363" t="s">
        <v>115</v>
      </c>
      <c r="D289" s="353">
        <f>SUM(B292:Y292)</f>
        <v>3739.0284999999994</v>
      </c>
      <c r="E289" s="363" t="s">
        <v>114</v>
      </c>
      <c r="F289" s="354">
        <f>D289/g/J289</f>
        <v>203.4941790441234</v>
      </c>
      <c r="G289" s="363" t="s">
        <v>56</v>
      </c>
      <c r="H289" s="64">
        <v>3.5110000000000001</v>
      </c>
      <c r="I289" s="363" t="s">
        <v>269</v>
      </c>
      <c r="J289" s="355">
        <f>H289-L289</f>
        <v>1.8730000000000002</v>
      </c>
      <c r="K289" s="363" t="s">
        <v>270</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554</v>
      </c>
      <c r="B294" s="359">
        <f>ROW(A294)</f>
        <v>294</v>
      </c>
      <c r="C294" s="363" t="s">
        <v>115</v>
      </c>
      <c r="D294" s="353">
        <f>SUM(B297:Y297)</f>
        <v>14273.976008499998</v>
      </c>
      <c r="E294" s="363" t="s">
        <v>114</v>
      </c>
      <c r="F294" s="354">
        <f>D294/g/J294</f>
        <v>169.50645688990159</v>
      </c>
      <c r="G294" s="363" t="s">
        <v>56</v>
      </c>
      <c r="H294" s="64">
        <v>13.247999999999999</v>
      </c>
      <c r="I294" s="363" t="s">
        <v>269</v>
      </c>
      <c r="J294" s="355">
        <f>H294-L294</f>
        <v>8.5839999999999996</v>
      </c>
      <c r="K294" s="363" t="s">
        <v>270</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316</v>
      </c>
      <c r="B299" s="359">
        <f>ROW(A299)</f>
        <v>299</v>
      </c>
      <c r="C299" s="363" t="s">
        <v>115</v>
      </c>
      <c r="D299" s="353">
        <f>SUM(B302:Y302)</f>
        <v>7412.4371409999985</v>
      </c>
      <c r="E299" s="363" t="s">
        <v>114</v>
      </c>
      <c r="F299" s="354">
        <f>D299/g/J299</f>
        <v>223.28608637999045</v>
      </c>
      <c r="G299" s="363" t="s">
        <v>56</v>
      </c>
      <c r="H299" s="64">
        <v>6.25</v>
      </c>
      <c r="I299" s="363" t="s">
        <v>269</v>
      </c>
      <c r="J299" s="355">
        <f>H299-L299</f>
        <v>3.3839999999999999</v>
      </c>
      <c r="K299" s="363" t="s">
        <v>270</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549</v>
      </c>
      <c r="B304" s="359">
        <f>ROW(A304)</f>
        <v>304</v>
      </c>
      <c r="C304" s="363" t="s">
        <v>115</v>
      </c>
      <c r="D304" s="353">
        <f>SUM(B307:Y307)</f>
        <v>17734.977350500001</v>
      </c>
      <c r="E304" s="363" t="s">
        <v>114</v>
      </c>
      <c r="F304" s="354">
        <f>D304/g/J304</f>
        <v>192.73420306179892</v>
      </c>
      <c r="G304" s="363" t="s">
        <v>56</v>
      </c>
      <c r="H304" s="64">
        <v>14.747999999999999</v>
      </c>
      <c r="I304" s="363" t="s">
        <v>269</v>
      </c>
      <c r="J304" s="355">
        <f>H304-L304</f>
        <v>9.379999999999999</v>
      </c>
      <c r="K304" s="363" t="s">
        <v>270</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269</v>
      </c>
      <c r="J309" s="355">
        <f>H309-L309</f>
        <v>1E-4</v>
      </c>
      <c r="K309" s="363" t="s">
        <v>270</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274</v>
      </c>
      <c r="D316" s="652"/>
      <c r="F316" s="651" t="s">
        <v>181</v>
      </c>
      <c r="G316" s="652"/>
      <c r="H316" s="12"/>
      <c r="I316" s="651" t="s">
        <v>395</v>
      </c>
      <c r="J316" s="652"/>
      <c r="K316" s="12"/>
      <c r="L316" s="651" t="s">
        <v>182</v>
      </c>
      <c r="M316" s="652"/>
      <c r="O316" s="651" t="s">
        <v>394</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966" activePane="bottomRight" state="frozen"/>
      <selection pane="topRight" activeCell="D1" sqref="D1"/>
      <selection pane="bottomLeft" activeCell="A8" sqref="A8"/>
      <selection pane="bottomRight" activeCell="J4" sqref="J4:J100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1.3089969389957472</v>
      </c>
      <c r="N4" s="349">
        <f>Beta_rampe</f>
        <v>75</v>
      </c>
      <c r="P4" s="292" t="s">
        <v>14</v>
      </c>
      <c r="Q4" s="294" t="s">
        <v>14</v>
      </c>
      <c r="R4" s="292" t="s">
        <v>14</v>
      </c>
      <c r="S4" s="351">
        <f ca="1">m_tot</f>
        <v>20</v>
      </c>
      <c r="T4" s="327">
        <f t="shared" ref="T4:T67" ca="1" si="1">m*g</f>
        <v>196.20000000000002</v>
      </c>
      <c r="U4" s="328">
        <f t="shared" ref="U4:U67" ca="1" si="2">IF(pos_xz&lt;L_rampe,Poids*COS(Beta),0)</f>
        <v>50.780296649114575</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1.3089969389957472</v>
      </c>
      <c r="N5" s="304">
        <f t="shared" ref="N5:N68" ca="1" si="17">DEGREES(Beta)</f>
        <v>75</v>
      </c>
      <c r="P5" s="310">
        <f t="shared" ref="P5:P68" ca="1" si="18">MATCH(t-pas/2-T_ini,CdP_t)</f>
        <v>1</v>
      </c>
      <c r="Q5" s="304">
        <f t="shared" ref="Q5:Q68" ca="1" si="19">(INDEX(CdP,2,i_P+1)-INDEX(CdP,2,i_P+0))/(INDEX(CdP,1,i_P+1)-INDEX(CdP,1,i_P+0))*(t-pas/2-T_ini-INDEX(CdP,1,i_P+0))+INDEX(CdP,2,i_P+0)</f>
        <v>172.8075</v>
      </c>
      <c r="R5" s="306">
        <f t="shared" ref="R5:R68" ca="1" si="20">Poussee/(g*ISP)</f>
        <v>0.103921961135192</v>
      </c>
      <c r="S5" s="307">
        <f t="shared" ref="S5:S68" ca="1" si="21">S4-Débit*pas</f>
        <v>19.998960780388646</v>
      </c>
      <c r="T5" s="304">
        <f t="shared" ca="1" si="1"/>
        <v>196.18980525561264</v>
      </c>
      <c r="U5" s="311">
        <f t="shared" ca="1" si="2"/>
        <v>50.777658055107167</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9.4757323558957598</v>
      </c>
    </row>
    <row r="6" spans="1:248" x14ac:dyDescent="0.2">
      <c r="A6" s="347">
        <f t="shared" ca="1" si="6"/>
        <v>0.01</v>
      </c>
      <c r="B6" s="304">
        <f t="shared" ca="1" si="7"/>
        <v>0.02</v>
      </c>
      <c r="D6" s="306">
        <f t="shared" ca="1" si="8"/>
        <v>4.2573931280743071</v>
      </c>
      <c r="E6" s="307">
        <f t="shared" ca="1" si="9"/>
        <v>15.890336991329436</v>
      </c>
      <c r="F6" s="304">
        <f t="shared" ca="1" si="10"/>
        <v>16.450781317158981</v>
      </c>
      <c r="G6" s="306">
        <f t="shared" ca="1" si="11"/>
        <v>4.257393128074307E-2</v>
      </c>
      <c r="H6" s="307">
        <f t="shared" ca="1" si="12"/>
        <v>0.15890336991329437</v>
      </c>
      <c r="I6" s="304">
        <f t="shared" ca="1" si="13"/>
        <v>0.16450781317158983</v>
      </c>
      <c r="J6" s="306">
        <f t="shared" ca="1" si="14"/>
        <v>2.1286965640371534E-4</v>
      </c>
      <c r="K6" s="307">
        <f t="shared" ca="1" si="15"/>
        <v>7.9451684956647185E-4</v>
      </c>
      <c r="L6" s="304">
        <f t="shared" ca="1" si="0"/>
        <v>8.2253906585794904E-4</v>
      </c>
      <c r="M6" s="306">
        <f t="shared" ca="1" si="16"/>
        <v>1.3089969389957472</v>
      </c>
      <c r="N6" s="304">
        <f t="shared" ca="1" si="17"/>
        <v>75</v>
      </c>
      <c r="P6" s="310">
        <f t="shared" ca="1" si="18"/>
        <v>1</v>
      </c>
      <c r="Q6" s="304">
        <f t="shared" ca="1" si="19"/>
        <v>518.42250000000001</v>
      </c>
      <c r="R6" s="306">
        <f t="shared" ca="1" si="20"/>
        <v>0.31176588340557604</v>
      </c>
      <c r="S6" s="307">
        <f t="shared" ca="1" si="21"/>
        <v>19.995843121554589</v>
      </c>
      <c r="T6" s="304">
        <f t="shared" ca="1" si="1"/>
        <v>196.15922102245054</v>
      </c>
      <c r="U6" s="311">
        <f t="shared" ca="1" si="2"/>
        <v>50.769742273084958</v>
      </c>
      <c r="V6" s="306">
        <f t="shared" ca="1" si="3"/>
        <v>1.2249999026716896</v>
      </c>
      <c r="W6" s="304">
        <f t="shared" ca="1" si="4"/>
        <v>1.8768771102791465E-4</v>
      </c>
      <c r="Y6" s="314" t="str">
        <f t="shared" ca="1" si="22"/>
        <v/>
      </c>
      <c r="Z6" s="315" t="str">
        <f t="shared" ca="1" si="23"/>
        <v/>
      </c>
      <c r="AA6" s="316" t="str">
        <f t="shared" ca="1" si="24"/>
        <v/>
      </c>
      <c r="AC6" s="310" t="e">
        <f t="shared" ca="1" si="25"/>
        <v>#N/A</v>
      </c>
      <c r="AD6" s="323" t="e">
        <f t="shared" ca="1" si="26"/>
        <v>#N/A</v>
      </c>
      <c r="AE6" s="324">
        <f t="shared" ca="1" si="5"/>
        <v>7.9451684956647185E-4</v>
      </c>
      <c r="AG6" s="306">
        <f t="shared" ca="1" si="27"/>
        <v>16.450781312395858</v>
      </c>
      <c r="AH6" s="304">
        <f t="shared" ca="1" si="28"/>
        <v>25.926513668291619</v>
      </c>
    </row>
    <row r="7" spans="1:248" x14ac:dyDescent="0.2">
      <c r="A7" s="347">
        <f t="shared" ca="1" si="6"/>
        <v>0.01</v>
      </c>
      <c r="B7" s="304">
        <f t="shared" ca="1" si="7"/>
        <v>0.03</v>
      </c>
      <c r="D7" s="306">
        <f t="shared" ca="1" si="8"/>
        <v>8.7335595813773725</v>
      </c>
      <c r="E7" s="307">
        <f t="shared" ca="1" si="9"/>
        <v>32.596637967174871</v>
      </c>
      <c r="F7" s="304">
        <f t="shared" ca="1" si="10"/>
        <v>33.746346020340262</v>
      </c>
      <c r="G7" s="306">
        <f t="shared" ca="1" si="11"/>
        <v>0.12990952709451681</v>
      </c>
      <c r="H7" s="307">
        <f t="shared" ca="1" si="12"/>
        <v>0.48486974958504314</v>
      </c>
      <c r="I7" s="304">
        <f t="shared" ca="1" si="13"/>
        <v>0.50197127337386893</v>
      </c>
      <c r="J7" s="306">
        <f t="shared" ca="1" si="14"/>
        <v>1.0752869482800148E-3</v>
      </c>
      <c r="K7" s="307">
        <f t="shared" ca="1" si="15"/>
        <v>4.0133824470581598E-3</v>
      </c>
      <c r="L7" s="304">
        <f t="shared" ca="1" si="0"/>
        <v>4.1549344985806801E-3</v>
      </c>
      <c r="M7" s="306">
        <f t="shared" ca="1" si="16"/>
        <v>1.3089969389957472</v>
      </c>
      <c r="N7" s="304">
        <f t="shared" ca="1" si="17"/>
        <v>75</v>
      </c>
      <c r="P7" s="310">
        <f t="shared" ca="1" si="18"/>
        <v>1</v>
      </c>
      <c r="Q7" s="304">
        <f t="shared" ca="1" si="19"/>
        <v>864.03749999999991</v>
      </c>
      <c r="R7" s="306">
        <f t="shared" ca="1" si="20"/>
        <v>0.51960980567595993</v>
      </c>
      <c r="S7" s="307">
        <f t="shared" ca="1" si="21"/>
        <v>19.990647023497829</v>
      </c>
      <c r="T7" s="304">
        <f t="shared" ca="1" si="1"/>
        <v>196.10824730051371</v>
      </c>
      <c r="U7" s="311">
        <f t="shared" ca="1" si="2"/>
        <v>50.756549303047947</v>
      </c>
      <c r="V7" s="306">
        <f t="shared" ca="1" si="3"/>
        <v>1.224999508360749</v>
      </c>
      <c r="W7" s="304">
        <f t="shared" ca="1" si="4"/>
        <v>1.7475128098905456E-3</v>
      </c>
      <c r="Y7" s="314" t="str">
        <f t="shared" ca="1" si="22"/>
        <v/>
      </c>
      <c r="Z7" s="315" t="str">
        <f t="shared" ca="1" si="23"/>
        <v/>
      </c>
      <c r="AA7" s="316" t="str">
        <f t="shared" ca="1" si="24"/>
        <v/>
      </c>
      <c r="AC7" s="310" t="e">
        <f t="shared" ca="1" si="25"/>
        <v>#N/A</v>
      </c>
      <c r="AD7" s="323" t="e">
        <f t="shared" ca="1" si="26"/>
        <v>#N/A</v>
      </c>
      <c r="AE7" s="324">
        <f t="shared" ca="1" si="5"/>
        <v>4.0133824470581598E-3</v>
      </c>
      <c r="AG7" s="306">
        <f t="shared" ca="1" si="27"/>
        <v>33.74634601388707</v>
      </c>
      <c r="AH7" s="304">
        <f t="shared" ca="1" si="28"/>
        <v>43.222078369782828</v>
      </c>
    </row>
    <row r="8" spans="1:248" x14ac:dyDescent="0.2">
      <c r="A8" s="347">
        <f t="shared" ca="1" si="6"/>
        <v>0.01</v>
      </c>
      <c r="B8" s="304">
        <f t="shared" ca="1" si="7"/>
        <v>0.04</v>
      </c>
      <c r="D8" s="306">
        <f t="shared" ca="1" si="8"/>
        <v>13.213665061953769</v>
      </c>
      <c r="E8" s="307">
        <f t="shared" ca="1" si="9"/>
        <v>49.317640494895045</v>
      </c>
      <c r="F8" s="304">
        <f t="shared" ca="1" si="10"/>
        <v>51.05713082766411</v>
      </c>
      <c r="G8" s="306">
        <f t="shared" ca="1" si="11"/>
        <v>0.26204617771405447</v>
      </c>
      <c r="H8" s="307">
        <f t="shared" ca="1" si="12"/>
        <v>0.97804615453399357</v>
      </c>
      <c r="I8" s="304">
        <f t="shared" ca="1" si="13"/>
        <v>1.0125425816494229</v>
      </c>
      <c r="J8" s="306">
        <f t="shared" ca="1" si="14"/>
        <v>3.0350654723228713E-3</v>
      </c>
      <c r="K8" s="307">
        <f t="shared" ca="1" si="15"/>
        <v>1.1327961967653344E-2</v>
      </c>
      <c r="L8" s="304">
        <f t="shared" ca="1" si="0"/>
        <v>1.1727503773688886E-2</v>
      </c>
      <c r="M8" s="306">
        <f t="shared" ca="1" si="16"/>
        <v>1.3089969389957472</v>
      </c>
      <c r="N8" s="304">
        <f t="shared" ca="1" si="17"/>
        <v>75</v>
      </c>
      <c r="P8" s="310">
        <f t="shared" ca="1" si="18"/>
        <v>1</v>
      </c>
      <c r="Q8" s="304">
        <f t="shared" ca="1" si="19"/>
        <v>1209.6525000000001</v>
      </c>
      <c r="R8" s="306">
        <f t="shared" ca="1" si="20"/>
        <v>0.72745372794634411</v>
      </c>
      <c r="S8" s="307">
        <f t="shared" ca="1" si="21"/>
        <v>19.983372486218364</v>
      </c>
      <c r="T8" s="304">
        <f t="shared" ca="1" si="1"/>
        <v>196.03688408980216</v>
      </c>
      <c r="U8" s="311">
        <f t="shared" ca="1" si="2"/>
        <v>50.738079144996135</v>
      </c>
      <c r="V8" s="306">
        <f t="shared" ca="1" si="3"/>
        <v>1.2249986123254448</v>
      </c>
      <c r="W8" s="304">
        <f t="shared" ca="1" si="4"/>
        <v>7.1103161953368537E-3</v>
      </c>
      <c r="Y8" s="314" t="str">
        <f t="shared" ca="1" si="22"/>
        <v/>
      </c>
      <c r="Z8" s="315" t="str">
        <f t="shared" ca="1" si="23"/>
        <v/>
      </c>
      <c r="AA8" s="316" t="str">
        <f t="shared" ca="1" si="24"/>
        <v/>
      </c>
      <c r="AC8" s="310" t="e">
        <f t="shared" ca="1" si="25"/>
        <v>#N/A</v>
      </c>
      <c r="AD8" s="323" t="e">
        <f t="shared" ca="1" si="26"/>
        <v>#N/A</v>
      </c>
      <c r="AE8" s="324">
        <f t="shared" ca="1" si="5"/>
        <v>1.1327961967653344E-2</v>
      </c>
      <c r="AG8" s="306">
        <f t="shared" ca="1" si="27"/>
        <v>51.057130819298123</v>
      </c>
      <c r="AH8" s="304">
        <f t="shared" ca="1" si="28"/>
        <v>60.532863175193881</v>
      </c>
    </row>
    <row r="9" spans="1:248" x14ac:dyDescent="0.2">
      <c r="A9" s="347">
        <f t="shared" ca="1" si="6"/>
        <v>0.01</v>
      </c>
      <c r="B9" s="304">
        <f t="shared" ca="1" si="7"/>
        <v>0.05</v>
      </c>
      <c r="D9" s="306">
        <f t="shared" ca="1" si="8"/>
        <v>15.972183151017354</v>
      </c>
      <c r="E9" s="307">
        <f t="shared" ca="1" si="9"/>
        <v>59.613198980792404</v>
      </c>
      <c r="F9" s="304">
        <f t="shared" ca="1" si="10"/>
        <v>61.715833684178577</v>
      </c>
      <c r="G9" s="306">
        <f t="shared" ca="1" si="11"/>
        <v>0.42176800922422802</v>
      </c>
      <c r="H9" s="307">
        <f t="shared" ca="1" si="12"/>
        <v>1.5741781443419176</v>
      </c>
      <c r="I9" s="304">
        <f t="shared" ca="1" si="13"/>
        <v>1.6297009184904854</v>
      </c>
      <c r="J9" s="306">
        <f t="shared" ca="1" si="14"/>
        <v>6.4541364070142843E-3</v>
      </c>
      <c r="K9" s="307">
        <f t="shared" ca="1" si="15"/>
        <v>2.4089083462032902E-2</v>
      </c>
      <c r="L9" s="304">
        <f t="shared" ca="1" si="0"/>
        <v>2.4938721274378413E-2</v>
      </c>
      <c r="M9" s="306">
        <f t="shared" ca="1" si="16"/>
        <v>1.3089969389957472</v>
      </c>
      <c r="N9" s="304">
        <f t="shared" ca="1" si="17"/>
        <v>75</v>
      </c>
      <c r="P9" s="310">
        <f t="shared" ca="1" si="18"/>
        <v>2</v>
      </c>
      <c r="Q9" s="304">
        <f t="shared" ca="1" si="19"/>
        <v>1422.045875</v>
      </c>
      <c r="R9" s="306">
        <f t="shared" ca="1" si="20"/>
        <v>0.8551816104868718</v>
      </c>
      <c r="S9" s="307">
        <f t="shared" ca="1" si="21"/>
        <v>19.974820670113495</v>
      </c>
      <c r="T9" s="304">
        <f t="shared" ca="1" si="1"/>
        <v>195.95299077381338</v>
      </c>
      <c r="U9" s="311">
        <f t="shared" ca="1" si="2"/>
        <v>50.716365957061434</v>
      </c>
      <c r="V9" s="306">
        <f t="shared" ca="1" si="3"/>
        <v>1.2249970490908304</v>
      </c>
      <c r="W9" s="304">
        <f t="shared" ca="1" si="4"/>
        <v>1.8419489450087614E-2</v>
      </c>
      <c r="Y9" s="314" t="str">
        <f t="shared" ca="1" si="22"/>
        <v/>
      </c>
      <c r="Z9" s="315" t="str">
        <f t="shared" ca="1" si="23"/>
        <v/>
      </c>
      <c r="AA9" s="316" t="str">
        <f t="shared" ca="1" si="24"/>
        <v/>
      </c>
      <c r="AC9" s="310" t="e">
        <f t="shared" ca="1" si="25"/>
        <v>#N/A</v>
      </c>
      <c r="AD9" s="323" t="e">
        <f t="shared" ca="1" si="26"/>
        <v>#N/A</v>
      </c>
      <c r="AE9" s="324">
        <f t="shared" ca="1" si="5"/>
        <v>2.4089083462032902E-2</v>
      </c>
      <c r="AG9" s="306">
        <f t="shared" ca="1" si="27"/>
        <v>61.71583367460542</v>
      </c>
      <c r="AH9" s="304">
        <f t="shared" ca="1" si="28"/>
        <v>71.191566030501178</v>
      </c>
    </row>
    <row r="10" spans="1:248" x14ac:dyDescent="0.2">
      <c r="A10" s="347">
        <f t="shared" ca="1" si="6"/>
        <v>0.01</v>
      </c>
      <c r="B10" s="304">
        <f t="shared" ca="1" si="7"/>
        <v>6.0000000000000005E-2</v>
      </c>
      <c r="D10" s="306">
        <f t="shared" ca="1" si="8"/>
        <v>17.006622360671184</v>
      </c>
      <c r="E10" s="307">
        <f t="shared" ca="1" si="9"/>
        <v>63.474014503860104</v>
      </c>
      <c r="F10" s="304">
        <f t="shared" ca="1" si="10"/>
        <v>65.712827677362384</v>
      </c>
      <c r="G10" s="306">
        <f t="shared" ca="1" si="11"/>
        <v>0.59183423283093983</v>
      </c>
      <c r="H10" s="307">
        <f t="shared" ca="1" si="12"/>
        <v>2.2089182893805188</v>
      </c>
      <c r="I10" s="304">
        <f t="shared" ca="1" si="13"/>
        <v>2.286829195263683</v>
      </c>
      <c r="J10" s="306">
        <f t="shared" ca="1" si="14"/>
        <v>1.1522147617290123E-2</v>
      </c>
      <c r="K10" s="307">
        <f t="shared" ca="1" si="15"/>
        <v>4.3004565630645086E-2</v>
      </c>
      <c r="L10" s="304">
        <f t="shared" ca="1" si="0"/>
        <v>4.4521371843139389E-2</v>
      </c>
      <c r="M10" s="306">
        <f t="shared" ca="1" si="16"/>
        <v>1.3089969389957472</v>
      </c>
      <c r="N10" s="304">
        <f t="shared" ca="1" si="17"/>
        <v>75</v>
      </c>
      <c r="P10" s="310">
        <f t="shared" ca="1" si="18"/>
        <v>2</v>
      </c>
      <c r="Q10" s="304">
        <f t="shared" ca="1" si="19"/>
        <v>1501.217625</v>
      </c>
      <c r="R10" s="306">
        <f t="shared" ca="1" si="20"/>
        <v>0.90279345329754346</v>
      </c>
      <c r="S10" s="307">
        <f t="shared" ca="1" si="21"/>
        <v>19.965792735580518</v>
      </c>
      <c r="T10" s="304">
        <f t="shared" ca="1" si="1"/>
        <v>195.86442673604489</v>
      </c>
      <c r="U10" s="311">
        <f t="shared" ca="1" si="2"/>
        <v>50.693443897375772</v>
      </c>
      <c r="V10" s="306">
        <f t="shared" ca="1" si="3"/>
        <v>1.2249947319520378</v>
      </c>
      <c r="W10" s="304">
        <f t="shared" ca="1" si="4"/>
        <v>3.6268400457186954E-2</v>
      </c>
      <c r="Y10" s="314" t="str">
        <f t="shared" ca="1" si="22"/>
        <v/>
      </c>
      <c r="Z10" s="315" t="str">
        <f t="shared" ca="1" si="23"/>
        <v/>
      </c>
      <c r="AA10" s="316" t="str">
        <f t="shared" ca="1" si="24"/>
        <v/>
      </c>
      <c r="AC10" s="310" t="e">
        <f t="shared" ca="1" si="25"/>
        <v>#N/A</v>
      </c>
      <c r="AD10" s="323" t="e">
        <f t="shared" ca="1" si="26"/>
        <v>#N/A</v>
      </c>
      <c r="AE10" s="324">
        <f t="shared" ca="1" si="5"/>
        <v>4.3004565630645086E-2</v>
      </c>
      <c r="AG10" s="306">
        <f t="shared" ca="1" si="27"/>
        <v>65.712827667333471</v>
      </c>
      <c r="AH10" s="304">
        <f t="shared" ca="1" si="28"/>
        <v>75.188560023229229</v>
      </c>
    </row>
    <row r="11" spans="1:248" x14ac:dyDescent="0.2">
      <c r="A11" s="347">
        <f t="shared" ca="1" si="6"/>
        <v>0.01</v>
      </c>
      <c r="B11" s="304">
        <f t="shared" ca="1" si="7"/>
        <v>7.0000000000000007E-2</v>
      </c>
      <c r="D11" s="306">
        <f t="shared" ca="1" si="8"/>
        <v>18.042401621723968</v>
      </c>
      <c r="E11" s="307">
        <f t="shared" ca="1" si="9"/>
        <v>67.339831491666288</v>
      </c>
      <c r="F11" s="304">
        <f t="shared" ca="1" si="10"/>
        <v>69.714999545331693</v>
      </c>
      <c r="G11" s="306">
        <f t="shared" ca="1" si="11"/>
        <v>0.77225824904817952</v>
      </c>
      <c r="H11" s="307">
        <f t="shared" ca="1" si="12"/>
        <v>2.8823166042971815</v>
      </c>
      <c r="I11" s="304">
        <f t="shared" ca="1" si="13"/>
        <v>2.9839791907166839</v>
      </c>
      <c r="J11" s="306">
        <f t="shared" ca="1" si="14"/>
        <v>1.8342610026685718E-2</v>
      </c>
      <c r="K11" s="307">
        <f t="shared" ca="1" si="15"/>
        <v>6.8460740099033593E-2</v>
      </c>
      <c r="L11" s="304">
        <f t="shared" ca="1" si="0"/>
        <v>7.0875413773032025E-2</v>
      </c>
      <c r="M11" s="306">
        <f t="shared" ca="1" si="16"/>
        <v>1.3089969389957472</v>
      </c>
      <c r="N11" s="304">
        <f t="shared" ca="1" si="17"/>
        <v>75</v>
      </c>
      <c r="P11" s="310">
        <f t="shared" ca="1" si="18"/>
        <v>2</v>
      </c>
      <c r="Q11" s="304">
        <f t="shared" ca="1" si="19"/>
        <v>1580.389375</v>
      </c>
      <c r="R11" s="306">
        <f t="shared" ca="1" si="20"/>
        <v>0.95040529610821511</v>
      </c>
      <c r="S11" s="307">
        <f t="shared" ca="1" si="21"/>
        <v>19.956288682619437</v>
      </c>
      <c r="T11" s="304">
        <f t="shared" ca="1" si="1"/>
        <v>195.77119197649668</v>
      </c>
      <c r="U11" s="311">
        <f t="shared" ca="1" si="2"/>
        <v>50.669312965939142</v>
      </c>
      <c r="V11" s="306">
        <f t="shared" ca="1" si="3"/>
        <v>1.2249916135880452</v>
      </c>
      <c r="W11" s="304">
        <f t="shared" ca="1" si="4"/>
        <v>6.175205589076832E-2</v>
      </c>
      <c r="Y11" s="314" t="str">
        <f t="shared" ca="1" si="22"/>
        <v/>
      </c>
      <c r="Z11" s="315" t="str">
        <f t="shared" ca="1" si="23"/>
        <v/>
      </c>
      <c r="AA11" s="316" t="str">
        <f t="shared" ca="1" si="24"/>
        <v/>
      </c>
      <c r="AC11" s="310" t="e">
        <f t="shared" ca="1" si="25"/>
        <v>#N/A</v>
      </c>
      <c r="AD11" s="323" t="e">
        <f t="shared" ca="1" si="26"/>
        <v>#N/A</v>
      </c>
      <c r="AE11" s="324">
        <f t="shared" ca="1" si="5"/>
        <v>6.8460740099033593E-2</v>
      </c>
      <c r="AG11" s="306">
        <f t="shared" ca="1" si="27"/>
        <v>69.714999534845148</v>
      </c>
      <c r="AH11" s="304">
        <f t="shared" ca="1" si="28"/>
        <v>79.190731890740906</v>
      </c>
    </row>
    <row r="12" spans="1:248" x14ac:dyDescent="0.2">
      <c r="A12" s="347">
        <f t="shared" ca="1" si="6"/>
        <v>0.01</v>
      </c>
      <c r="B12" s="304">
        <f t="shared" ca="1" si="7"/>
        <v>0.08</v>
      </c>
      <c r="D12" s="306">
        <f t="shared" ca="1" si="8"/>
        <v>19.079582813292678</v>
      </c>
      <c r="E12" s="307">
        <f t="shared" ca="1" si="9"/>
        <v>71.210880897595146</v>
      </c>
      <c r="F12" s="304">
        <f t="shared" ca="1" si="10"/>
        <v>73.722588387418782</v>
      </c>
      <c r="G12" s="306">
        <f t="shared" ca="1" si="11"/>
        <v>0.96305407718110625</v>
      </c>
      <c r="H12" s="307">
        <f t="shared" ca="1" si="12"/>
        <v>3.5944254132731333</v>
      </c>
      <c r="I12" s="304">
        <f t="shared" ca="1" si="13"/>
        <v>3.7212050745906069</v>
      </c>
      <c r="J12" s="306">
        <f t="shared" ca="1" si="14"/>
        <v>2.7019171657832148E-2</v>
      </c>
      <c r="K12" s="307">
        <f t="shared" ca="1" si="15"/>
        <v>0.10084445018688518</v>
      </c>
      <c r="L12" s="304">
        <f t="shared" ca="1" si="0"/>
        <v>0.10440133509955975</v>
      </c>
      <c r="M12" s="306">
        <f t="shared" ca="1" si="16"/>
        <v>1.3089969389957472</v>
      </c>
      <c r="N12" s="304">
        <f t="shared" ca="1" si="17"/>
        <v>75</v>
      </c>
      <c r="P12" s="310">
        <f t="shared" ca="1" si="18"/>
        <v>2</v>
      </c>
      <c r="Q12" s="304">
        <f t="shared" ca="1" si="19"/>
        <v>1659.5611249999999</v>
      </c>
      <c r="R12" s="306">
        <f t="shared" ca="1" si="20"/>
        <v>0.99801713891888666</v>
      </c>
      <c r="S12" s="307">
        <f t="shared" ca="1" si="21"/>
        <v>19.946308511230249</v>
      </c>
      <c r="T12" s="304">
        <f t="shared" ca="1" si="1"/>
        <v>195.67328649516875</v>
      </c>
      <c r="U12" s="311">
        <f t="shared" ca="1" si="2"/>
        <v>50.643973162751543</v>
      </c>
      <c r="V12" s="306">
        <f t="shared" ca="1" si="3"/>
        <v>1.2249876466171408</v>
      </c>
      <c r="W12" s="304">
        <f t="shared" ca="1" si="4"/>
        <v>9.6034138169209263E-2</v>
      </c>
      <c r="Y12" s="314" t="str">
        <f t="shared" ca="1" si="22"/>
        <v/>
      </c>
      <c r="Z12" s="315" t="str">
        <f t="shared" ca="1" si="23"/>
        <v/>
      </c>
      <c r="AA12" s="316" t="str">
        <f t="shared" ca="1" si="24"/>
        <v/>
      </c>
      <c r="AC12" s="310" t="e">
        <f t="shared" ca="1" si="25"/>
        <v>#N/A</v>
      </c>
      <c r="AD12" s="323" t="e">
        <f t="shared" ca="1" si="26"/>
        <v>#N/A</v>
      </c>
      <c r="AE12" s="324">
        <f t="shared" ca="1" si="5"/>
        <v>0.10084445018688518</v>
      </c>
      <c r="AG12" s="306">
        <f t="shared" ca="1" si="27"/>
        <v>73.722588376472899</v>
      </c>
      <c r="AH12" s="304">
        <f t="shared" ca="1" si="28"/>
        <v>83.198320732368657</v>
      </c>
    </row>
    <row r="13" spans="1:248" x14ac:dyDescent="0.2">
      <c r="A13" s="347">
        <f t="shared" ca="1" si="6"/>
        <v>0.01</v>
      </c>
      <c r="B13" s="304">
        <f t="shared" ca="1" si="7"/>
        <v>0.09</v>
      </c>
      <c r="D13" s="306">
        <f t="shared" ca="1" si="8"/>
        <v>19.648192490553502</v>
      </c>
      <c r="E13" s="307">
        <f t="shared" ca="1" si="9"/>
        <v>73.333090819729449</v>
      </c>
      <c r="F13" s="304">
        <f t="shared" ca="1" si="10"/>
        <v>75.919652773972373</v>
      </c>
      <c r="G13" s="306">
        <f t="shared" ca="1" si="11"/>
        <v>1.1595360020866412</v>
      </c>
      <c r="H13" s="307">
        <f t="shared" ca="1" si="12"/>
        <v>4.327756321470428</v>
      </c>
      <c r="I13" s="304">
        <f t="shared" ca="1" si="13"/>
        <v>4.4804016023301214</v>
      </c>
      <c r="J13" s="306">
        <f t="shared" ca="1" si="14"/>
        <v>3.7632122054170887E-2</v>
      </c>
      <c r="K13" s="307">
        <f t="shared" ca="1" si="15"/>
        <v>0.14045535886060298</v>
      </c>
      <c r="L13" s="304">
        <f t="shared" ca="1" si="0"/>
        <v>0.14540936848415503</v>
      </c>
      <c r="M13" s="306">
        <f t="shared" ca="1" si="16"/>
        <v>1.3089969389957472</v>
      </c>
      <c r="N13" s="304">
        <f t="shared" ca="1" si="17"/>
        <v>75</v>
      </c>
      <c r="P13" s="310">
        <f t="shared" ca="1" si="18"/>
        <v>3</v>
      </c>
      <c r="Q13" s="304">
        <f t="shared" ca="1" si="19"/>
        <v>1702.5443966942148</v>
      </c>
      <c r="R13" s="306">
        <f t="shared" ca="1" si="20"/>
        <v>1.0238661668283791</v>
      </c>
      <c r="S13" s="307">
        <f t="shared" ca="1" si="21"/>
        <v>19.936069849561967</v>
      </c>
      <c r="T13" s="304">
        <f t="shared" ca="1" si="1"/>
        <v>195.57284522420292</v>
      </c>
      <c r="U13" s="311">
        <f t="shared" ca="1" si="2"/>
        <v>50.617977048911285</v>
      </c>
      <c r="V13" s="306">
        <f t="shared" ca="1" si="3"/>
        <v>1.2249827943393707</v>
      </c>
      <c r="W13" s="304">
        <f t="shared" ca="1" si="4"/>
        <v>0.13921646493004136</v>
      </c>
      <c r="Y13" s="314" t="str">
        <f t="shared" ca="1" si="22"/>
        <v/>
      </c>
      <c r="Z13" s="315" t="str">
        <f t="shared" ca="1" si="23"/>
        <v/>
      </c>
      <c r="AA13" s="316" t="str">
        <f t="shared" ca="1" si="24"/>
        <v/>
      </c>
      <c r="AC13" s="310" t="e">
        <f t="shared" ca="1" si="25"/>
        <v>#N/A</v>
      </c>
      <c r="AD13" s="323" t="e">
        <f t="shared" ca="1" si="26"/>
        <v>#N/A</v>
      </c>
      <c r="AE13" s="324">
        <f t="shared" ca="1" si="5"/>
        <v>0.14045535886060298</v>
      </c>
      <c r="AG13" s="306">
        <f t="shared" ca="1" si="27"/>
        <v>75.919652762774035</v>
      </c>
      <c r="AH13" s="304">
        <f t="shared" ca="1" si="28"/>
        <v>85.395385118669793</v>
      </c>
    </row>
    <row r="14" spans="1:248" x14ac:dyDescent="0.2">
      <c r="A14" s="347">
        <f t="shared" ca="1" si="6"/>
        <v>0.01</v>
      </c>
      <c r="B14" s="304">
        <f t="shared" ca="1" si="7"/>
        <v>9.9999999999999992E-2</v>
      </c>
      <c r="D14" s="306">
        <f t="shared" ca="1" si="8"/>
        <v>19.747286673300913</v>
      </c>
      <c r="E14" s="307">
        <f t="shared" ca="1" si="9"/>
        <v>73.702938061140344</v>
      </c>
      <c r="F14" s="304">
        <f t="shared" ca="1" si="10"/>
        <v>76.302545238031328</v>
      </c>
      <c r="G14" s="306">
        <f t="shared" ca="1" si="11"/>
        <v>1.3570088688196504</v>
      </c>
      <c r="H14" s="307">
        <f t="shared" ca="1" si="12"/>
        <v>5.0647857020818314</v>
      </c>
      <c r="I14" s="304">
        <f t="shared" ca="1" si="13"/>
        <v>5.2434270547102813</v>
      </c>
      <c r="J14" s="306">
        <f t="shared" ca="1" si="14"/>
        <v>5.0214846408702343E-2</v>
      </c>
      <c r="K14" s="307">
        <f t="shared" ca="1" si="15"/>
        <v>0.18741806897836427</v>
      </c>
      <c r="L14" s="304">
        <f t="shared" ca="1" si="0"/>
        <v>0.19402851176934918</v>
      </c>
      <c r="M14" s="306">
        <f t="shared" ca="1" si="16"/>
        <v>1.3089969389957472</v>
      </c>
      <c r="N14" s="304">
        <f t="shared" ca="1" si="17"/>
        <v>75</v>
      </c>
      <c r="P14" s="310">
        <f t="shared" ca="1" si="18"/>
        <v>3</v>
      </c>
      <c r="Q14" s="304">
        <f t="shared" ca="1" si="19"/>
        <v>1709.3391900826446</v>
      </c>
      <c r="R14" s="306">
        <f t="shared" ca="1" si="20"/>
        <v>1.0279523798366921</v>
      </c>
      <c r="S14" s="307">
        <f t="shared" ca="1" si="21"/>
        <v>19.9257903257636</v>
      </c>
      <c r="T14" s="304">
        <f t="shared" ca="1" si="1"/>
        <v>195.47200309574092</v>
      </c>
      <c r="U14" s="311">
        <f t="shared" ca="1" si="2"/>
        <v>50.591877185516644</v>
      </c>
      <c r="V14" s="306">
        <f t="shared" ca="1" si="3"/>
        <v>1.2249770415016923</v>
      </c>
      <c r="W14" s="304">
        <f t="shared" ca="1" si="4"/>
        <v>0.19067121567581299</v>
      </c>
      <c r="Y14" s="314" t="str">
        <f t="shared" ca="1" si="22"/>
        <v/>
      </c>
      <c r="Z14" s="315" t="str">
        <f t="shared" ca="1" si="23"/>
        <v/>
      </c>
      <c r="AA14" s="316" t="str">
        <f t="shared" ca="1" si="24"/>
        <v/>
      </c>
      <c r="AC14" s="310" t="e">
        <f t="shared" ca="1" si="25"/>
        <v>#N/A</v>
      </c>
      <c r="AD14" s="323" t="e">
        <f t="shared" ca="1" si="26"/>
        <v>#N/A</v>
      </c>
      <c r="AE14" s="324">
        <f t="shared" ca="1" si="5"/>
        <v>0.18741806897836427</v>
      </c>
      <c r="AG14" s="306">
        <f t="shared" ca="1" si="27"/>
        <v>76.302545226788496</v>
      </c>
      <c r="AH14" s="304">
        <f t="shared" ca="1" si="28"/>
        <v>85.778277582684254</v>
      </c>
    </row>
    <row r="15" spans="1:248" x14ac:dyDescent="0.2">
      <c r="A15" s="347">
        <f t="shared" ca="1" si="6"/>
        <v>0.01</v>
      </c>
      <c r="B15" s="304">
        <f t="shared" ca="1" si="7"/>
        <v>0.10999999999999999</v>
      </c>
      <c r="D15" s="306">
        <f t="shared" ca="1" si="8"/>
        <v>19.846421397442317</v>
      </c>
      <c r="E15" s="307">
        <f t="shared" ca="1" si="9"/>
        <v>74.072936638974639</v>
      </c>
      <c r="F15" s="304">
        <f t="shared" ca="1" si="10"/>
        <v>76.685594374735132</v>
      </c>
      <c r="G15" s="306">
        <f t="shared" ca="1" si="11"/>
        <v>1.5554730827940737</v>
      </c>
      <c r="H15" s="307">
        <f t="shared" ca="1" si="12"/>
        <v>5.8055150684715775</v>
      </c>
      <c r="I15" s="304">
        <f t="shared" ca="1" si="13"/>
        <v>6.0102829984575141</v>
      </c>
      <c r="J15" s="306">
        <f t="shared" ca="1" si="14"/>
        <v>6.4777256166770963E-2</v>
      </c>
      <c r="K15" s="307">
        <f t="shared" ca="1" si="15"/>
        <v>0.24176957283113132</v>
      </c>
      <c r="L15" s="304">
        <f t="shared" ca="1" si="0"/>
        <v>0.25029706203518087</v>
      </c>
      <c r="M15" s="306">
        <f t="shared" ca="1" si="16"/>
        <v>1.3089969389957472</v>
      </c>
      <c r="N15" s="304">
        <f t="shared" ca="1" si="17"/>
        <v>75</v>
      </c>
      <c r="P15" s="310">
        <f t="shared" ca="1" si="18"/>
        <v>3</v>
      </c>
      <c r="Q15" s="304">
        <f t="shared" ca="1" si="19"/>
        <v>1716.1339834710743</v>
      </c>
      <c r="R15" s="306">
        <f t="shared" ca="1" si="20"/>
        <v>1.0320385928450051</v>
      </c>
      <c r="S15" s="307">
        <f t="shared" ca="1" si="21"/>
        <v>19.915469939835152</v>
      </c>
      <c r="T15" s="304">
        <f t="shared" ca="1" si="1"/>
        <v>195.37076010978285</v>
      </c>
      <c r="U15" s="311">
        <f t="shared" ca="1" si="2"/>
        <v>50.565673572567647</v>
      </c>
      <c r="V15" s="306">
        <f t="shared" ca="1" si="3"/>
        <v>1.2249703835853454</v>
      </c>
      <c r="W15" s="304">
        <f t="shared" ca="1" si="4"/>
        <v>0.250519858088944</v>
      </c>
      <c r="Y15" s="314" t="str">
        <f t="shared" ca="1" si="22"/>
        <v/>
      </c>
      <c r="Z15" s="315" t="str">
        <f t="shared" ca="1" si="23"/>
        <v/>
      </c>
      <c r="AA15" s="316" t="str">
        <f t="shared" ca="1" si="24"/>
        <v/>
      </c>
      <c r="AC15" s="310" t="e">
        <f t="shared" ca="1" si="25"/>
        <v>#N/A</v>
      </c>
      <c r="AD15" s="323" t="e">
        <f t="shared" ca="1" si="26"/>
        <v>#N/A</v>
      </c>
      <c r="AE15" s="324">
        <f t="shared" ca="1" si="5"/>
        <v>0.24176957283113132</v>
      </c>
      <c r="AG15" s="306">
        <f t="shared" ca="1" si="27"/>
        <v>76.685594363447635</v>
      </c>
      <c r="AH15" s="304">
        <f t="shared" ca="1" si="28"/>
        <v>86.161326719343393</v>
      </c>
    </row>
    <row r="16" spans="1:248" x14ac:dyDescent="0.2">
      <c r="A16" s="347">
        <f t="shared" ca="1" si="6"/>
        <v>0.01</v>
      </c>
      <c r="B16" s="304">
        <f t="shared" ca="1" si="7"/>
        <v>0.11999999999999998</v>
      </c>
      <c r="D16" s="306">
        <f t="shared" ca="1" si="8"/>
        <v>19.945595757161357</v>
      </c>
      <c r="E16" s="307">
        <f t="shared" ca="1" si="9"/>
        <v>74.443083172872448</v>
      </c>
      <c r="F16" s="304">
        <f t="shared" ca="1" si="10"/>
        <v>77.068796684464317</v>
      </c>
      <c r="G16" s="306">
        <f t="shared" ca="1" si="11"/>
        <v>1.7549290403656872</v>
      </c>
      <c r="H16" s="307">
        <f t="shared" ca="1" si="12"/>
        <v>6.549945900200302</v>
      </c>
      <c r="I16" s="304">
        <f t="shared" ca="1" si="13"/>
        <v>6.7809709653020622</v>
      </c>
      <c r="J16" s="306">
        <f t="shared" ca="1" si="14"/>
        <v>8.132926678256977E-2</v>
      </c>
      <c r="K16" s="307">
        <f t="shared" ca="1" si="15"/>
        <v>0.30354687767449073</v>
      </c>
      <c r="L16" s="304">
        <f t="shared" ca="1" si="0"/>
        <v>0.31425333185397197</v>
      </c>
      <c r="M16" s="306">
        <f t="shared" ca="1" si="16"/>
        <v>1.3089969389957472</v>
      </c>
      <c r="N16" s="304">
        <f t="shared" ca="1" si="17"/>
        <v>75</v>
      </c>
      <c r="P16" s="310">
        <f t="shared" ca="1" si="18"/>
        <v>3</v>
      </c>
      <c r="Q16" s="304">
        <f t="shared" ca="1" si="19"/>
        <v>1722.9287768595041</v>
      </c>
      <c r="R16" s="306">
        <f t="shared" ca="1" si="20"/>
        <v>1.0361248058533181</v>
      </c>
      <c r="S16" s="307">
        <f t="shared" ca="1" si="21"/>
        <v>19.905108691776618</v>
      </c>
      <c r="T16" s="304">
        <f t="shared" ca="1" si="1"/>
        <v>195.26911626632864</v>
      </c>
      <c r="U16" s="311">
        <f t="shared" ca="1" si="2"/>
        <v>50.53936621006428</v>
      </c>
      <c r="V16" s="306">
        <f t="shared" ca="1" si="3"/>
        <v>1.224962816071838</v>
      </c>
      <c r="W16" s="304">
        <f t="shared" ca="1" si="4"/>
        <v>0.31888449308279199</v>
      </c>
      <c r="Y16" s="314" t="str">
        <f t="shared" ca="1" si="22"/>
        <v/>
      </c>
      <c r="Z16" s="315" t="str">
        <f t="shared" ca="1" si="23"/>
        <v/>
      </c>
      <c r="AA16" s="316" t="str">
        <f t="shared" ca="1" si="24"/>
        <v/>
      </c>
      <c r="AC16" s="310" t="e">
        <f t="shared" ca="1" si="25"/>
        <v>#N/A</v>
      </c>
      <c r="AD16" s="323" t="e">
        <f t="shared" ca="1" si="26"/>
        <v>#N/A</v>
      </c>
      <c r="AE16" s="324">
        <f t="shared" ca="1" si="5"/>
        <v>0.30354687767449073</v>
      </c>
      <c r="AG16" s="306">
        <f t="shared" ca="1" si="27"/>
        <v>77.068796673132042</v>
      </c>
      <c r="AH16" s="304">
        <f t="shared" ca="1" si="28"/>
        <v>86.5445290290278</v>
      </c>
    </row>
    <row r="17" spans="1:34" x14ac:dyDescent="0.2">
      <c r="A17" s="347">
        <f t="shared" ca="1" si="6"/>
        <v>0.01</v>
      </c>
      <c r="B17" s="304">
        <f t="shared" ca="1" si="7"/>
        <v>0.12999999999999998</v>
      </c>
      <c r="D17" s="306">
        <f t="shared" ca="1" si="8"/>
        <v>20.044808837008851</v>
      </c>
      <c r="E17" s="307">
        <f t="shared" ca="1" si="9"/>
        <v>74.813374246524546</v>
      </c>
      <c r="F17" s="304">
        <f t="shared" ca="1" si="10"/>
        <v>77.452148630381913</v>
      </c>
      <c r="G17" s="306">
        <f t="shared" ca="1" si="11"/>
        <v>1.9553771287357757</v>
      </c>
      <c r="H17" s="307">
        <f t="shared" ca="1" si="12"/>
        <v>7.298079642665547</v>
      </c>
      <c r="I17" s="304">
        <f t="shared" ca="1" si="13"/>
        <v>7.5554924516058017</v>
      </c>
      <c r="J17" s="306">
        <f t="shared" ca="1" si="14"/>
        <v>9.9880797628077084E-2</v>
      </c>
      <c r="K17" s="307">
        <f t="shared" ca="1" si="15"/>
        <v>0.37278700538881998</v>
      </c>
      <c r="L17" s="304">
        <f t="shared" ca="1" si="0"/>
        <v>0.38593564893850507</v>
      </c>
      <c r="M17" s="306">
        <f t="shared" ca="1" si="16"/>
        <v>1.3089969389957472</v>
      </c>
      <c r="N17" s="304">
        <f t="shared" ca="1" si="17"/>
        <v>75</v>
      </c>
      <c r="P17" s="310">
        <f t="shared" ca="1" si="18"/>
        <v>3</v>
      </c>
      <c r="Q17" s="304">
        <f t="shared" ca="1" si="19"/>
        <v>1729.7235702479338</v>
      </c>
      <c r="R17" s="306">
        <f t="shared" ca="1" si="20"/>
        <v>1.0402110188616311</v>
      </c>
      <c r="S17" s="307">
        <f t="shared" ca="1" si="21"/>
        <v>19.894706581588004</v>
      </c>
      <c r="T17" s="304">
        <f t="shared" ca="1" si="1"/>
        <v>195.16707156537834</v>
      </c>
      <c r="U17" s="311">
        <f t="shared" ca="1" si="2"/>
        <v>50.51295509800655</v>
      </c>
      <c r="V17" s="306">
        <f t="shared" ca="1" si="3"/>
        <v>1.2249543344430165</v>
      </c>
      <c r="W17" s="304">
        <f t="shared" ca="1" si="4"/>
        <v>0.39588785247890124</v>
      </c>
      <c r="Y17" s="314" t="str">
        <f t="shared" ca="1" si="22"/>
        <v/>
      </c>
      <c r="Z17" s="315" t="str">
        <f t="shared" ca="1" si="23"/>
        <v/>
      </c>
      <c r="AA17" s="316" t="str">
        <f t="shared" ca="1" si="24"/>
        <v/>
      </c>
      <c r="AC17" s="310" t="e">
        <f t="shared" ca="1" si="25"/>
        <v>#N/A</v>
      </c>
      <c r="AD17" s="323" t="e">
        <f t="shared" ca="1" si="26"/>
        <v>#N/A</v>
      </c>
      <c r="AE17" s="324">
        <f t="shared" ca="1" si="5"/>
        <v>0.37278700538881998</v>
      </c>
      <c r="AG17" s="306">
        <f t="shared" ca="1" si="27"/>
        <v>77.452148619004717</v>
      </c>
      <c r="AH17" s="304">
        <f t="shared" ca="1" si="28"/>
        <v>86.927880974900475</v>
      </c>
    </row>
    <row r="18" spans="1:34" x14ac:dyDescent="0.2">
      <c r="A18" s="347">
        <f t="shared" ca="1" si="6"/>
        <v>0.01</v>
      </c>
      <c r="B18" s="304">
        <f t="shared" ca="1" si="7"/>
        <v>0.13999999999999999</v>
      </c>
      <c r="D18" s="306">
        <f t="shared" ca="1" si="8"/>
        <v>20.144059711889117</v>
      </c>
      <c r="E18" s="307">
        <f t="shared" ca="1" si="9"/>
        <v>75.183806407621304</v>
      </c>
      <c r="F18" s="304">
        <f t="shared" ca="1" si="10"/>
        <v>77.835646638380496</v>
      </c>
      <c r="G18" s="306">
        <f t="shared" ca="1" si="11"/>
        <v>2.1568177258546668</v>
      </c>
      <c r="H18" s="307">
        <f t="shared" ca="1" si="12"/>
        <v>8.0499177067417591</v>
      </c>
      <c r="I18" s="304">
        <f t="shared" ca="1" si="13"/>
        <v>8.3338489179895383</v>
      </c>
      <c r="J18" s="306">
        <f t="shared" ca="1" si="14"/>
        <v>0.1204417719010293</v>
      </c>
      <c r="K18" s="307">
        <f t="shared" ca="1" si="15"/>
        <v>0.44952699213585651</v>
      </c>
      <c r="L18" s="304">
        <f t="shared" ca="1" si="0"/>
        <v>0.4653823557864758</v>
      </c>
      <c r="M18" s="306">
        <f t="shared" ca="1" si="16"/>
        <v>1.3089969389957472</v>
      </c>
      <c r="N18" s="304">
        <f t="shared" ca="1" si="17"/>
        <v>75</v>
      </c>
      <c r="P18" s="310">
        <f t="shared" ca="1" si="18"/>
        <v>3</v>
      </c>
      <c r="Q18" s="304">
        <f t="shared" ca="1" si="19"/>
        <v>1736.5183636363636</v>
      </c>
      <c r="R18" s="306">
        <f t="shared" ca="1" si="20"/>
        <v>1.0442972318699442</v>
      </c>
      <c r="S18" s="307">
        <f t="shared" ca="1" si="21"/>
        <v>19.884263609269304</v>
      </c>
      <c r="T18" s="304">
        <f t="shared" ca="1" si="1"/>
        <v>195.06462600693189</v>
      </c>
      <c r="U18" s="311">
        <f t="shared" ca="1" si="2"/>
        <v>50.486440236394444</v>
      </c>
      <c r="V18" s="306">
        <f t="shared" ca="1" si="3"/>
        <v>1.224944934181142</v>
      </c>
      <c r="W18" s="304">
        <f t="shared" ca="1" si="4"/>
        <v>0.48165329661605311</v>
      </c>
      <c r="Y18" s="314" t="str">
        <f t="shared" ca="1" si="22"/>
        <v/>
      </c>
      <c r="Z18" s="315" t="str">
        <f t="shared" ca="1" si="23"/>
        <v/>
      </c>
      <c r="AA18" s="316" t="str">
        <f t="shared" ca="1" si="24"/>
        <v/>
      </c>
      <c r="AC18" s="310" t="e">
        <f t="shared" ca="1" si="25"/>
        <v>#N/A</v>
      </c>
      <c r="AD18" s="323" t="e">
        <f t="shared" ca="1" si="26"/>
        <v>#N/A</v>
      </c>
      <c r="AE18" s="324">
        <f t="shared" ca="1" si="5"/>
        <v>0.44952699213585651</v>
      </c>
      <c r="AG18" s="306">
        <f t="shared" ca="1" si="27"/>
        <v>77.835646626958251</v>
      </c>
      <c r="AH18" s="304">
        <f t="shared" ca="1" si="28"/>
        <v>87.311378982854009</v>
      </c>
    </row>
    <row r="19" spans="1:34" x14ac:dyDescent="0.2">
      <c r="A19" s="347">
        <f t="shared" ca="1" si="6"/>
        <v>0.01</v>
      </c>
      <c r="B19" s="304">
        <f t="shared" ca="1" si="7"/>
        <v>0.15</v>
      </c>
      <c r="D19" s="306">
        <f t="shared" ca="1" si="8"/>
        <v>20.243347447046844</v>
      </c>
      <c r="E19" s="307">
        <f t="shared" ca="1" si="9"/>
        <v>75.554376167803696</v>
      </c>
      <c r="F19" s="304">
        <f t="shared" ca="1" si="10"/>
        <v>78.219287097031511</v>
      </c>
      <c r="G19" s="306">
        <f t="shared" ca="1" si="11"/>
        <v>2.3592512003251351</v>
      </c>
      <c r="H19" s="307">
        <f t="shared" ca="1" si="12"/>
        <v>8.8054614684197965</v>
      </c>
      <c r="I19" s="304">
        <f t="shared" ca="1" si="13"/>
        <v>9.1160417889597962</v>
      </c>
      <c r="J19" s="306">
        <f t="shared" ca="1" si="14"/>
        <v>0.14302211653192831</v>
      </c>
      <c r="K19" s="307">
        <f t="shared" ca="1" si="15"/>
        <v>0.53380388801166423</v>
      </c>
      <c r="L19" s="304">
        <f t="shared" ca="1" si="0"/>
        <v>0.55263180932121692</v>
      </c>
      <c r="M19" s="306">
        <f t="shared" ca="1" si="16"/>
        <v>1.3089969389957472</v>
      </c>
      <c r="N19" s="304">
        <f t="shared" ca="1" si="17"/>
        <v>75</v>
      </c>
      <c r="P19" s="310">
        <f t="shared" ca="1" si="18"/>
        <v>3</v>
      </c>
      <c r="Q19" s="304">
        <f t="shared" ca="1" si="19"/>
        <v>1743.3131570247933</v>
      </c>
      <c r="R19" s="306">
        <f t="shared" ca="1" si="20"/>
        <v>1.0483834448782572</v>
      </c>
      <c r="S19" s="307">
        <f t="shared" ca="1" si="21"/>
        <v>19.873779774820523</v>
      </c>
      <c r="T19" s="304">
        <f t="shared" ca="1" si="1"/>
        <v>194.96177959098935</v>
      </c>
      <c r="U19" s="311">
        <f t="shared" ca="1" si="2"/>
        <v>50.459821625227981</v>
      </c>
      <c r="V19" s="306">
        <f t="shared" ca="1" si="3"/>
        <v>1.22493461076897</v>
      </c>
      <c r="W19" s="304">
        <f t="shared" ca="1" si="4"/>
        <v>0.57630481189058802</v>
      </c>
      <c r="Y19" s="314" t="str">
        <f t="shared" ca="1" si="22"/>
        <v/>
      </c>
      <c r="Z19" s="315" t="str">
        <f t="shared" ca="1" si="23"/>
        <v/>
      </c>
      <c r="AA19" s="316" t="str">
        <f t="shared" ca="1" si="24"/>
        <v/>
      </c>
      <c r="AC19" s="310" t="e">
        <f t="shared" ca="1" si="25"/>
        <v>#N/A</v>
      </c>
      <c r="AD19" s="323" t="e">
        <f t="shared" ca="1" si="26"/>
        <v>#N/A</v>
      </c>
      <c r="AE19" s="324">
        <f t="shared" ca="1" si="5"/>
        <v>0.53380388801166423</v>
      </c>
      <c r="AG19" s="306">
        <f t="shared" ca="1" si="27"/>
        <v>78.21928708556409</v>
      </c>
      <c r="AH19" s="304">
        <f t="shared" ca="1" si="28"/>
        <v>87.695019441459849</v>
      </c>
    </row>
    <row r="20" spans="1:34" x14ac:dyDescent="0.2">
      <c r="A20" s="347">
        <f t="shared" ca="1" si="6"/>
        <v>0.01</v>
      </c>
      <c r="B20" s="304">
        <f t="shared" ca="1" si="7"/>
        <v>0.16</v>
      </c>
      <c r="D20" s="306">
        <f t="shared" ca="1" si="8"/>
        <v>20.34267109805452</v>
      </c>
      <c r="E20" s="307">
        <f t="shared" ca="1" si="9"/>
        <v>75.925080002616426</v>
      </c>
      <c r="F20" s="304">
        <f t="shared" ca="1" si="10"/>
        <v>78.603066357536761</v>
      </c>
      <c r="G20" s="306">
        <f t="shared" ca="1" si="11"/>
        <v>2.5626779113056806</v>
      </c>
      <c r="H20" s="307">
        <f t="shared" ca="1" si="12"/>
        <v>9.5647122684459607</v>
      </c>
      <c r="I20" s="304">
        <f t="shared" ca="1" si="13"/>
        <v>9.902072452535112</v>
      </c>
      <c r="J20" s="306">
        <f t="shared" ca="1" si="14"/>
        <v>0.1676317620900824</v>
      </c>
      <c r="K20" s="307">
        <f t="shared" ca="1" si="15"/>
        <v>0.62565475669599302</v>
      </c>
      <c r="L20" s="304">
        <f t="shared" ca="1" si="0"/>
        <v>0.64772238052868625</v>
      </c>
      <c r="M20" s="306">
        <f t="shared" ca="1" si="16"/>
        <v>1.3089969389957472</v>
      </c>
      <c r="N20" s="304">
        <f t="shared" ca="1" si="17"/>
        <v>75</v>
      </c>
      <c r="P20" s="310">
        <f t="shared" ca="1" si="18"/>
        <v>3</v>
      </c>
      <c r="Q20" s="304">
        <f t="shared" ca="1" si="19"/>
        <v>1750.1079504132231</v>
      </c>
      <c r="R20" s="306">
        <f t="shared" ca="1" si="20"/>
        <v>1.0524696578865702</v>
      </c>
      <c r="S20" s="307">
        <f t="shared" ca="1" si="21"/>
        <v>19.863255078241657</v>
      </c>
      <c r="T20" s="304">
        <f t="shared" ca="1" si="1"/>
        <v>194.85853231755067</v>
      </c>
      <c r="U20" s="311">
        <f t="shared" ca="1" si="2"/>
        <v>50.433099264507142</v>
      </c>
      <c r="V20" s="306">
        <f t="shared" ca="1" si="3"/>
        <v>1.2249233596898237</v>
      </c>
      <c r="W20" s="304">
        <f t="shared" ca="1" si="4"/>
        <v>0.67996700822746281</v>
      </c>
      <c r="Y20" s="314" t="str">
        <f t="shared" ca="1" si="22"/>
        <v/>
      </c>
      <c r="Z20" s="315" t="str">
        <f t="shared" ca="1" si="23"/>
        <v/>
      </c>
      <c r="AA20" s="316" t="str">
        <f t="shared" ca="1" si="24"/>
        <v/>
      </c>
      <c r="AC20" s="310" t="e">
        <f t="shared" ca="1" si="25"/>
        <v>#N/A</v>
      </c>
      <c r="AD20" s="323" t="e">
        <f t="shared" ca="1" si="26"/>
        <v>#N/A</v>
      </c>
      <c r="AE20" s="324">
        <f t="shared" ca="1" si="5"/>
        <v>0.62565475669599302</v>
      </c>
      <c r="AG20" s="306">
        <f t="shared" ca="1" si="27"/>
        <v>78.603066346024008</v>
      </c>
      <c r="AH20" s="304">
        <f t="shared" ca="1" si="28"/>
        <v>88.078798701919766</v>
      </c>
    </row>
    <row r="21" spans="1:34" x14ac:dyDescent="0.2">
      <c r="A21" s="347">
        <f t="shared" ca="1" si="6"/>
        <v>0.01</v>
      </c>
      <c r="B21" s="304">
        <f t="shared" ca="1" si="7"/>
        <v>0.17</v>
      </c>
      <c r="D21" s="306">
        <f t="shared" ca="1" si="8"/>
        <v>20.442029710800437</v>
      </c>
      <c r="E21" s="307">
        <f t="shared" ca="1" si="9"/>
        <v>76.295914351463054</v>
      </c>
      <c r="F21" s="304">
        <f t="shared" ca="1" si="10"/>
        <v>78.986980733681889</v>
      </c>
      <c r="G21" s="306">
        <f t="shared" ca="1" si="11"/>
        <v>2.7670982084136848</v>
      </c>
      <c r="H21" s="307">
        <f t="shared" ca="1" si="12"/>
        <v>10.327671411960591</v>
      </c>
      <c r="I21" s="304">
        <f t="shared" ca="1" si="13"/>
        <v>10.691942259871883</v>
      </c>
      <c r="J21" s="306">
        <f t="shared" ca="1" si="14"/>
        <v>0.19428064268867923</v>
      </c>
      <c r="K21" s="307">
        <f t="shared" ca="1" si="15"/>
        <v>0.7251166750980258</v>
      </c>
      <c r="L21" s="304">
        <f t="shared" ca="1" si="0"/>
        <v>0.75069245409071628</v>
      </c>
      <c r="M21" s="306">
        <f t="shared" ca="1" si="16"/>
        <v>1.3089969389957472</v>
      </c>
      <c r="N21" s="304">
        <f t="shared" ca="1" si="17"/>
        <v>75</v>
      </c>
      <c r="P21" s="310">
        <f t="shared" ca="1" si="18"/>
        <v>3</v>
      </c>
      <c r="Q21" s="304">
        <f t="shared" ca="1" si="19"/>
        <v>1756.9027438016528</v>
      </c>
      <c r="R21" s="306">
        <f t="shared" ca="1" si="20"/>
        <v>1.0565558708948835</v>
      </c>
      <c r="S21" s="307">
        <f t="shared" ca="1" si="21"/>
        <v>19.85268951953271</v>
      </c>
      <c r="T21" s="304">
        <f t="shared" ca="1" si="1"/>
        <v>194.7548841866159</v>
      </c>
      <c r="U21" s="311">
        <f t="shared" ca="1" si="2"/>
        <v>50.40627315423194</v>
      </c>
      <c r="V21" s="306">
        <f t="shared" ca="1" si="3"/>
        <v>1.2249111764276734</v>
      </c>
      <c r="W21" s="304">
        <f t="shared" ca="1" si="4"/>
        <v>0.79276511648152548</v>
      </c>
      <c r="Y21" s="314" t="str">
        <f t="shared" ca="1" si="22"/>
        <v/>
      </c>
      <c r="Z21" s="315" t="str">
        <f t="shared" ca="1" si="23"/>
        <v/>
      </c>
      <c r="AA21" s="316" t="str">
        <f t="shared" ca="1" si="24"/>
        <v/>
      </c>
      <c r="AC21" s="310" t="e">
        <f t="shared" ca="1" si="25"/>
        <v>#N/A</v>
      </c>
      <c r="AD21" s="323" t="e">
        <f t="shared" ca="1" si="26"/>
        <v>#N/A</v>
      </c>
      <c r="AE21" s="324">
        <f t="shared" ca="1" si="5"/>
        <v>0.7251166750980258</v>
      </c>
      <c r="AG21" s="306">
        <f t="shared" ca="1" si="27"/>
        <v>78.986980722123661</v>
      </c>
      <c r="AH21" s="304">
        <f t="shared" ca="1" si="28"/>
        <v>88.462713078019419</v>
      </c>
    </row>
    <row r="22" spans="1:34" x14ac:dyDescent="0.2">
      <c r="A22" s="347">
        <f t="shared" ca="1" si="6"/>
        <v>0.01</v>
      </c>
      <c r="B22" s="304">
        <f t="shared" ca="1" si="7"/>
        <v>0.18000000000000002</v>
      </c>
      <c r="D22" s="306">
        <f t="shared" ca="1" si="8"/>
        <v>20.541422321477228</v>
      </c>
      <c r="E22" s="307">
        <f t="shared" ca="1" si="9"/>
        <v>76.666875617563363</v>
      </c>
      <c r="F22" s="304">
        <f t="shared" ca="1" si="10"/>
        <v>79.371026501792301</v>
      </c>
      <c r="G22" s="306">
        <f t="shared" ca="1" si="11"/>
        <v>2.972512431628457</v>
      </c>
      <c r="H22" s="307">
        <f t="shared" ca="1" si="12"/>
        <v>11.094340168136224</v>
      </c>
      <c r="I22" s="304">
        <f t="shared" ca="1" si="13"/>
        <v>11.485652524889764</v>
      </c>
      <c r="J22" s="306">
        <f t="shared" ca="1" si="14"/>
        <v>0.22297869588888994</v>
      </c>
      <c r="K22" s="307">
        <f t="shared" ca="1" si="15"/>
        <v>0.83222673299850991</v>
      </c>
      <c r="L22" s="304">
        <f t="shared" ca="1" si="0"/>
        <v>0.86158042801451984</v>
      </c>
      <c r="M22" s="306">
        <f t="shared" ca="1" si="16"/>
        <v>1.3089969389957472</v>
      </c>
      <c r="N22" s="304">
        <f t="shared" ca="1" si="17"/>
        <v>75</v>
      </c>
      <c r="P22" s="310">
        <f t="shared" ca="1" si="18"/>
        <v>3</v>
      </c>
      <c r="Q22" s="304">
        <f t="shared" ca="1" si="19"/>
        <v>1763.6975371900826</v>
      </c>
      <c r="R22" s="306">
        <f t="shared" ca="1" si="20"/>
        <v>1.0606420839031965</v>
      </c>
      <c r="S22" s="307">
        <f t="shared" ca="1" si="21"/>
        <v>19.842083098693678</v>
      </c>
      <c r="T22" s="304">
        <f t="shared" ca="1" si="1"/>
        <v>194.65083519818498</v>
      </c>
      <c r="U22" s="311">
        <f t="shared" ca="1" si="2"/>
        <v>50.379343294402368</v>
      </c>
      <c r="V22" s="306">
        <f t="shared" ca="1" si="3"/>
        <v>1.2248980564672147</v>
      </c>
      <c r="W22" s="304">
        <f t="shared" ca="1" si="4"/>
        <v>0.91482498576847937</v>
      </c>
      <c r="Y22" s="314" t="str">
        <f t="shared" ca="1" si="22"/>
        <v/>
      </c>
      <c r="Z22" s="315" t="str">
        <f t="shared" ca="1" si="23"/>
        <v/>
      </c>
      <c r="AA22" s="316" t="str">
        <f t="shared" ca="1" si="24"/>
        <v/>
      </c>
      <c r="AC22" s="310" t="e">
        <f t="shared" ca="1" si="25"/>
        <v>#N/A</v>
      </c>
      <c r="AD22" s="323" t="e">
        <f t="shared" ca="1" si="26"/>
        <v>#N/A</v>
      </c>
      <c r="AE22" s="324">
        <f t="shared" ca="1" si="5"/>
        <v>0.83222673299850991</v>
      </c>
      <c r="AG22" s="306">
        <f t="shared" ca="1" si="27"/>
        <v>79.37102649018847</v>
      </c>
      <c r="AH22" s="304">
        <f t="shared" ca="1" si="28"/>
        <v>88.846758846084228</v>
      </c>
    </row>
    <row r="23" spans="1:34" x14ac:dyDescent="0.2">
      <c r="A23" s="347">
        <f t="shared" ca="1" si="6"/>
        <v>0.01</v>
      </c>
      <c r="B23" s="304">
        <f t="shared" ca="1" si="7"/>
        <v>0.19000000000000003</v>
      </c>
      <c r="D23" s="306">
        <f t="shared" ca="1" si="8"/>
        <v>20.640847956571051</v>
      </c>
      <c r="E23" s="307">
        <f t="shared" ca="1" si="9"/>
        <v>77.037960167912928</v>
      </c>
      <c r="F23" s="304">
        <f t="shared" ca="1" si="10"/>
        <v>79.755199900691252</v>
      </c>
      <c r="G23" s="306">
        <f t="shared" ca="1" si="11"/>
        <v>3.1789209111941674</v>
      </c>
      <c r="H23" s="307">
        <f t="shared" ca="1" si="12"/>
        <v>11.864719769815354</v>
      </c>
      <c r="I23" s="304">
        <f t="shared" ca="1" si="13"/>
        <v>12.283204523896638</v>
      </c>
      <c r="J23" s="306">
        <f t="shared" ca="1" si="14"/>
        <v>0.25373586260300307</v>
      </c>
      <c r="K23" s="307">
        <f t="shared" ca="1" si="15"/>
        <v>0.94702203268826779</v>
      </c>
      <c r="L23" s="304">
        <f t="shared" ca="1" si="0"/>
        <v>0.98042471325844727</v>
      </c>
      <c r="M23" s="306">
        <f t="shared" ca="1" si="16"/>
        <v>1.3089969389957472</v>
      </c>
      <c r="N23" s="304">
        <f t="shared" ca="1" si="17"/>
        <v>75</v>
      </c>
      <c r="P23" s="310">
        <f t="shared" ca="1" si="18"/>
        <v>3</v>
      </c>
      <c r="Q23" s="304">
        <f t="shared" ca="1" si="19"/>
        <v>1770.4923305785123</v>
      </c>
      <c r="R23" s="306">
        <f t="shared" ca="1" si="20"/>
        <v>1.0647282969115095</v>
      </c>
      <c r="S23" s="307">
        <f t="shared" ca="1" si="21"/>
        <v>19.831435815724564</v>
      </c>
      <c r="T23" s="304">
        <f t="shared" ca="1" si="1"/>
        <v>194.54638535225797</v>
      </c>
      <c r="U23" s="311">
        <f t="shared" ca="1" si="2"/>
        <v>50.352309685018433</v>
      </c>
      <c r="V23" s="306">
        <f t="shared" ca="1" si="3"/>
        <v>1.2248839952939465</v>
      </c>
      <c r="W23" s="304">
        <f t="shared" ca="1" si="4"/>
        <v>1.0462730807250171</v>
      </c>
      <c r="Y23" s="314" t="str">
        <f t="shared" ca="1" si="22"/>
        <v/>
      </c>
      <c r="Z23" s="315" t="str">
        <f t="shared" ca="1" si="23"/>
        <v/>
      </c>
      <c r="AA23" s="316" t="str">
        <f t="shared" ca="1" si="24"/>
        <v/>
      </c>
      <c r="AC23" s="310" t="e">
        <f t="shared" ca="1" si="25"/>
        <v>#N/A</v>
      </c>
      <c r="AD23" s="323" t="e">
        <f t="shared" ca="1" si="26"/>
        <v>#N/A</v>
      </c>
      <c r="AE23" s="324">
        <f t="shared" ca="1" si="5"/>
        <v>0.94702203268826779</v>
      </c>
      <c r="AG23" s="306">
        <f t="shared" ca="1" si="27"/>
        <v>79.755199889041663</v>
      </c>
      <c r="AH23" s="304">
        <f t="shared" ca="1" si="28"/>
        <v>89.230932244937421</v>
      </c>
    </row>
    <row r="24" spans="1:34" x14ac:dyDescent="0.2">
      <c r="A24" s="347">
        <f t="shared" ca="1" si="6"/>
        <v>0.01</v>
      </c>
      <c r="B24" s="304">
        <f t="shared" ca="1" si="7"/>
        <v>0.20000000000000004</v>
      </c>
      <c r="D24" s="306">
        <f t="shared" ca="1" si="8"/>
        <v>20.740305632851282</v>
      </c>
      <c r="E24" s="307">
        <f t="shared" ca="1" si="9"/>
        <v>77.409164333244647</v>
      </c>
      <c r="F24" s="304">
        <f t="shared" ca="1" si="10"/>
        <v>80.139497131660107</v>
      </c>
      <c r="G24" s="306">
        <f t="shared" ca="1" si="11"/>
        <v>3.3863239675226802</v>
      </c>
      <c r="H24" s="307">
        <f t="shared" ca="1" si="12"/>
        <v>12.638811413147801</v>
      </c>
      <c r="I24" s="304">
        <f t="shared" ca="1" si="13"/>
        <v>13.084599495213206</v>
      </c>
      <c r="J24" s="306">
        <f t="shared" ca="1" si="14"/>
        <v>0.28656208699658731</v>
      </c>
      <c r="K24" s="307">
        <f t="shared" ca="1" si="15"/>
        <v>1.0695396886030837</v>
      </c>
      <c r="L24" s="304">
        <f t="shared" ca="1" si="0"/>
        <v>1.1072637333539923</v>
      </c>
      <c r="M24" s="306">
        <f t="shared" ca="1" si="16"/>
        <v>1.3089969389957472</v>
      </c>
      <c r="N24" s="304">
        <f t="shared" ca="1" si="17"/>
        <v>75</v>
      </c>
      <c r="P24" s="310">
        <f t="shared" ca="1" si="18"/>
        <v>3</v>
      </c>
      <c r="Q24" s="304">
        <f t="shared" ca="1" si="19"/>
        <v>1777.2871239669421</v>
      </c>
      <c r="R24" s="306">
        <f t="shared" ca="1" si="20"/>
        <v>1.0688145099198225</v>
      </c>
      <c r="S24" s="307">
        <f t="shared" ca="1" si="21"/>
        <v>19.820747670625366</v>
      </c>
      <c r="T24" s="304">
        <f t="shared" ca="1" si="1"/>
        <v>194.44153464883485</v>
      </c>
      <c r="U24" s="311">
        <f t="shared" ca="1" si="2"/>
        <v>50.325172326080136</v>
      </c>
      <c r="V24" s="306">
        <f t="shared" ca="1" si="3"/>
        <v>1.2248689883942516</v>
      </c>
      <c r="W24" s="304">
        <f t="shared" ca="1" si="4"/>
        <v>1.1872364786976142</v>
      </c>
      <c r="Y24" s="314" t="str">
        <f t="shared" ca="1" si="22"/>
        <v/>
      </c>
      <c r="Z24" s="315" t="str">
        <f t="shared" ca="1" si="23"/>
        <v/>
      </c>
      <c r="AA24" s="316" t="str">
        <f t="shared" ca="1" si="24"/>
        <v/>
      </c>
      <c r="AC24" s="310" t="e">
        <f t="shared" ca="1" si="25"/>
        <v>#N/A</v>
      </c>
      <c r="AD24" s="323" t="e">
        <f t="shared" ca="1" si="26"/>
        <v>#N/A</v>
      </c>
      <c r="AE24" s="324">
        <f t="shared" ca="1" si="5"/>
        <v>1.0695396886030837</v>
      </c>
      <c r="AG24" s="306">
        <f t="shared" ca="1" si="27"/>
        <v>80.139497119964616</v>
      </c>
      <c r="AH24" s="304">
        <f t="shared" ca="1" si="28"/>
        <v>89.615229475860374</v>
      </c>
    </row>
    <row r="25" spans="1:34" x14ac:dyDescent="0.2">
      <c r="A25" s="347">
        <f t="shared" ca="1" si="6"/>
        <v>0.01</v>
      </c>
      <c r="B25" s="304">
        <f t="shared" ca="1" si="7"/>
        <v>0.21000000000000005</v>
      </c>
      <c r="D25" s="306">
        <f t="shared" ca="1" si="8"/>
        <v>20.806856211610071</v>
      </c>
      <c r="E25" s="307">
        <f t="shared" ca="1" si="9"/>
        <v>77.657550066244411</v>
      </c>
      <c r="F25" s="304">
        <f t="shared" ca="1" si="10"/>
        <v>80.396643883323108</v>
      </c>
      <c r="G25" s="306">
        <f t="shared" ca="1" si="11"/>
        <v>3.5943925296387809</v>
      </c>
      <c r="H25" s="307">
        <f t="shared" ca="1" si="12"/>
        <v>13.415386913810245</v>
      </c>
      <c r="I25" s="304">
        <f t="shared" ca="1" si="13"/>
        <v>13.888565934046404</v>
      </c>
      <c r="J25" s="306">
        <f t="shared" ca="1" si="14"/>
        <v>0.32146566948239463</v>
      </c>
      <c r="K25" s="307">
        <f t="shared" ca="1" si="15"/>
        <v>1.1998106802378739</v>
      </c>
      <c r="L25" s="304">
        <f t="shared" ca="1" si="0"/>
        <v>1.242129560500286</v>
      </c>
      <c r="M25" s="306">
        <f t="shared" ca="1" si="16"/>
        <v>1.3089969389957472</v>
      </c>
      <c r="N25" s="304">
        <f t="shared" ca="1" si="17"/>
        <v>75</v>
      </c>
      <c r="P25" s="310">
        <f t="shared" ca="1" si="18"/>
        <v>4</v>
      </c>
      <c r="Q25" s="304">
        <f t="shared" ca="1" si="19"/>
        <v>1781.5620487804879</v>
      </c>
      <c r="R25" s="306">
        <f t="shared" ca="1" si="20"/>
        <v>1.0713853391392092</v>
      </c>
      <c r="S25" s="307">
        <f t="shared" ca="1" si="21"/>
        <v>19.810033817233975</v>
      </c>
      <c r="T25" s="304">
        <f t="shared" ca="1" si="1"/>
        <v>194.33643174706532</v>
      </c>
      <c r="U25" s="311">
        <f t="shared" ca="1" si="2"/>
        <v>50.297969693406642</v>
      </c>
      <c r="V25" s="306">
        <f t="shared" ca="1" si="3"/>
        <v>1.2248530320083593</v>
      </c>
      <c r="W25" s="304">
        <f t="shared" ca="1" si="4"/>
        <v>1.3375977099069907</v>
      </c>
      <c r="Y25" s="314" t="str">
        <f t="shared" ca="1" si="22"/>
        <v/>
      </c>
      <c r="Z25" s="315" t="str">
        <f t="shared" ca="1" si="23"/>
        <v/>
      </c>
      <c r="AA25" s="316" t="str">
        <f t="shared" ca="1" si="24"/>
        <v/>
      </c>
      <c r="AC25" s="310" t="e">
        <f t="shared" ca="1" si="25"/>
        <v>#N/A</v>
      </c>
      <c r="AD25" s="323" t="e">
        <f t="shared" ca="1" si="26"/>
        <v>#N/A</v>
      </c>
      <c r="AE25" s="324">
        <f t="shared" ca="1" si="5"/>
        <v>1.1998106802378739</v>
      </c>
      <c r="AG25" s="306">
        <f t="shared" ca="1" si="27"/>
        <v>80.396643871596197</v>
      </c>
      <c r="AH25" s="304">
        <f t="shared" ca="1" si="28"/>
        <v>89.872376227491955</v>
      </c>
    </row>
    <row r="26" spans="1:34" x14ac:dyDescent="0.2">
      <c r="A26" s="347">
        <f t="shared" ca="1" si="6"/>
        <v>0.01</v>
      </c>
      <c r="B26" s="304">
        <f t="shared" ca="1" si="7"/>
        <v>0.22000000000000006</v>
      </c>
      <c r="D26" s="306">
        <f t="shared" ca="1" si="8"/>
        <v>20.823952252153056</v>
      </c>
      <c r="E26" s="307">
        <f t="shared" ca="1" si="9"/>
        <v>77.721357705187003</v>
      </c>
      <c r="F26" s="304">
        <f t="shared" ca="1" si="10"/>
        <v>80.462702110590229</v>
      </c>
      <c r="G26" s="306">
        <f t="shared" ca="1" si="11"/>
        <v>3.8026320521603116</v>
      </c>
      <c r="H26" s="307">
        <f t="shared" ca="1" si="12"/>
        <v>14.192600490862116</v>
      </c>
      <c r="I26" s="304">
        <f t="shared" ca="1" si="13"/>
        <v>14.693192955152277</v>
      </c>
      <c r="J26" s="306">
        <f t="shared" ca="1" si="14"/>
        <v>0.35845079239139011</v>
      </c>
      <c r="K26" s="307">
        <f t="shared" ca="1" si="15"/>
        <v>1.3378506172612357</v>
      </c>
      <c r="L26" s="304">
        <f t="shared" ca="1" si="0"/>
        <v>1.3850383549462755</v>
      </c>
      <c r="M26" s="306">
        <f t="shared" ca="1" si="16"/>
        <v>1.3089969389957472</v>
      </c>
      <c r="N26" s="304">
        <f t="shared" ca="1" si="17"/>
        <v>75</v>
      </c>
      <c r="P26" s="310">
        <f t="shared" ca="1" si="18"/>
        <v>4</v>
      </c>
      <c r="Q26" s="304">
        <f t="shared" ca="1" si="19"/>
        <v>1782.0571707317074</v>
      </c>
      <c r="R26" s="306">
        <f t="shared" ca="1" si="20"/>
        <v>1.0716830926752063</v>
      </c>
      <c r="S26" s="307">
        <f t="shared" ca="1" si="21"/>
        <v>19.799316986307222</v>
      </c>
      <c r="T26" s="304">
        <f t="shared" ca="1" si="1"/>
        <v>194.23129963567385</v>
      </c>
      <c r="U26" s="311">
        <f t="shared" ca="1" si="2"/>
        <v>50.27075950072669</v>
      </c>
      <c r="V26" s="306">
        <f t="shared" ca="1" si="3"/>
        <v>1.2248361242614483</v>
      </c>
      <c r="W26" s="304">
        <f t="shared" ca="1" si="4"/>
        <v>1.4970526540900702</v>
      </c>
      <c r="Y26" s="314" t="str">
        <f t="shared" ca="1" si="22"/>
        <v/>
      </c>
      <c r="Z26" s="315" t="str">
        <f t="shared" ca="1" si="23"/>
        <v/>
      </c>
      <c r="AA26" s="316" t="str">
        <f t="shared" ca="1" si="24"/>
        <v/>
      </c>
      <c r="AC26" s="310" t="e">
        <f t="shared" ca="1" si="25"/>
        <v>#N/A</v>
      </c>
      <c r="AD26" s="323" t="e">
        <f t="shared" ca="1" si="26"/>
        <v>#N/A</v>
      </c>
      <c r="AE26" s="324">
        <f t="shared" ca="1" si="5"/>
        <v>1.3378506172612357</v>
      </c>
      <c r="AG26" s="306">
        <f t="shared" ca="1" si="27"/>
        <v>80.46270209885374</v>
      </c>
      <c r="AH26" s="304">
        <f t="shared" ca="1" si="28"/>
        <v>89.938434454749498</v>
      </c>
    </row>
    <row r="27" spans="1:34" x14ac:dyDescent="0.2">
      <c r="A27" s="347">
        <f t="shared" ca="1" si="6"/>
        <v>0.01</v>
      </c>
      <c r="B27" s="304">
        <f t="shared" ca="1" si="7"/>
        <v>0.23000000000000007</v>
      </c>
      <c r="D27" s="306">
        <f t="shared" ca="1" si="8"/>
        <v>20.840951376377248</v>
      </c>
      <c r="E27" s="307">
        <f t="shared" ca="1" si="9"/>
        <v>77.784803653011792</v>
      </c>
      <c r="F27" s="304">
        <f t="shared" ca="1" si="10"/>
        <v>80.528385887276528</v>
      </c>
      <c r="G27" s="306">
        <f t="shared" ca="1" si="11"/>
        <v>4.0110415659240841</v>
      </c>
      <c r="H27" s="307">
        <f t="shared" ca="1" si="12"/>
        <v>14.970448527392234</v>
      </c>
      <c r="I27" s="304">
        <f t="shared" ca="1" si="13"/>
        <v>15.498476814025016</v>
      </c>
      <c r="J27" s="306">
        <f t="shared" ca="1" si="14"/>
        <v>0.39751916048181207</v>
      </c>
      <c r="K27" s="307">
        <f t="shared" ca="1" si="15"/>
        <v>1.4836658623525074</v>
      </c>
      <c r="L27" s="304">
        <f t="shared" ca="1" si="0"/>
        <v>1.535996703792158</v>
      </c>
      <c r="M27" s="306">
        <f t="shared" ca="1" si="16"/>
        <v>1.3089969389957472</v>
      </c>
      <c r="N27" s="304">
        <f t="shared" ca="1" si="17"/>
        <v>75</v>
      </c>
      <c r="P27" s="310">
        <f t="shared" ca="1" si="18"/>
        <v>4</v>
      </c>
      <c r="Q27" s="304">
        <f t="shared" ca="1" si="19"/>
        <v>1782.5522926829269</v>
      </c>
      <c r="R27" s="306">
        <f t="shared" ca="1" si="20"/>
        <v>1.0719808462112035</v>
      </c>
      <c r="S27" s="307">
        <f t="shared" ca="1" si="21"/>
        <v>19.788597177845109</v>
      </c>
      <c r="T27" s="304">
        <f t="shared" ca="1" si="1"/>
        <v>194.12613831466052</v>
      </c>
      <c r="U27" s="311">
        <f t="shared" ca="1" si="2"/>
        <v>50.2435417480403</v>
      </c>
      <c r="V27" s="306">
        <f t="shared" ca="1" si="3"/>
        <v>1.2248182644136061</v>
      </c>
      <c r="W27" s="304">
        <f t="shared" ca="1" si="4"/>
        <v>1.665621871189952</v>
      </c>
      <c r="Y27" s="314" t="str">
        <f t="shared" ca="1" si="22"/>
        <v/>
      </c>
      <c r="Z27" s="315" t="str">
        <f t="shared" ca="1" si="23"/>
        <v/>
      </c>
      <c r="AA27" s="316" t="str">
        <f t="shared" ca="1" si="24"/>
        <v/>
      </c>
      <c r="AC27" s="310" t="e">
        <f t="shared" ca="1" si="25"/>
        <v>#N/A</v>
      </c>
      <c r="AD27" s="323" t="e">
        <f t="shared" ca="1" si="26"/>
        <v>#N/A</v>
      </c>
      <c r="AE27" s="324">
        <f t="shared" ca="1" si="5"/>
        <v>1.4836658623525074</v>
      </c>
      <c r="AG27" s="306">
        <f t="shared" ca="1" si="27"/>
        <v>80.528385875530375</v>
      </c>
      <c r="AH27" s="304">
        <f t="shared" ca="1" si="28"/>
        <v>90.004118231426133</v>
      </c>
    </row>
    <row r="28" spans="1:34" x14ac:dyDescent="0.2">
      <c r="A28" s="347">
        <f t="shared" ca="1" si="6"/>
        <v>0.01</v>
      </c>
      <c r="B28" s="304">
        <f t="shared" ca="1" si="7"/>
        <v>0.24000000000000007</v>
      </c>
      <c r="D28" s="306">
        <f t="shared" ca="1" si="8"/>
        <v>20.857853165317938</v>
      </c>
      <c r="E28" s="307">
        <f t="shared" ca="1" si="9"/>
        <v>77.847886346132128</v>
      </c>
      <c r="F28" s="304">
        <f t="shared" ca="1" si="10"/>
        <v>80.593693594637216</v>
      </c>
      <c r="G28" s="306">
        <f t="shared" ca="1" si="11"/>
        <v>4.2196200975772635</v>
      </c>
      <c r="H28" s="307">
        <f t="shared" ca="1" si="12"/>
        <v>15.748927390853556</v>
      </c>
      <c r="I28" s="304">
        <f t="shared" ca="1" si="13"/>
        <v>16.304413749971367</v>
      </c>
      <c r="J28" s="306">
        <f t="shared" ca="1" si="14"/>
        <v>0.43867246879931882</v>
      </c>
      <c r="K28" s="307">
        <f t="shared" ca="1" si="15"/>
        <v>1.6372627419437364</v>
      </c>
      <c r="L28" s="304">
        <f t="shared" ca="1" si="0"/>
        <v>1.6950111566121362</v>
      </c>
      <c r="M28" s="306">
        <f t="shared" ca="1" si="16"/>
        <v>1.3089969389957472</v>
      </c>
      <c r="N28" s="304">
        <f t="shared" ca="1" si="17"/>
        <v>75</v>
      </c>
      <c r="P28" s="310">
        <f t="shared" ca="1" si="18"/>
        <v>4</v>
      </c>
      <c r="Q28" s="304">
        <f t="shared" ca="1" si="19"/>
        <v>1783.0474146341464</v>
      </c>
      <c r="R28" s="306">
        <f t="shared" ca="1" si="20"/>
        <v>1.0722785997472004</v>
      </c>
      <c r="S28" s="307">
        <f t="shared" ca="1" si="21"/>
        <v>19.777874391847636</v>
      </c>
      <c r="T28" s="304">
        <f t="shared" ca="1" si="1"/>
        <v>194.02094778402531</v>
      </c>
      <c r="U28" s="311">
        <f t="shared" ca="1" si="2"/>
        <v>50.216316435347466</v>
      </c>
      <c r="V28" s="306">
        <f t="shared" ca="1" si="3"/>
        <v>1.2247994517316223</v>
      </c>
      <c r="W28" s="304">
        <f t="shared" ca="1" si="4"/>
        <v>1.8433257241030001</v>
      </c>
      <c r="Y28" s="314" t="str">
        <f t="shared" ca="1" si="22"/>
        <v/>
      </c>
      <c r="Z28" s="315" t="str">
        <f t="shared" ca="1" si="23"/>
        <v/>
      </c>
      <c r="AA28" s="316" t="str">
        <f t="shared" ca="1" si="24"/>
        <v/>
      </c>
      <c r="AC28" s="310" t="e">
        <f t="shared" ca="1" si="25"/>
        <v>#N/A</v>
      </c>
      <c r="AD28" s="323" t="e">
        <f t="shared" ca="1" si="26"/>
        <v>#N/A</v>
      </c>
      <c r="AE28" s="324">
        <f t="shared" ca="1" si="5"/>
        <v>1.6372627419437364</v>
      </c>
      <c r="AG28" s="306">
        <f t="shared" ca="1" si="27"/>
        <v>80.593693582881329</v>
      </c>
      <c r="AH28" s="304">
        <f t="shared" ca="1" si="28"/>
        <v>90.069425938777087</v>
      </c>
    </row>
    <row r="29" spans="1:34" x14ac:dyDescent="0.2">
      <c r="A29" s="347">
        <f t="shared" ca="1" si="6"/>
        <v>0.01</v>
      </c>
      <c r="B29" s="304">
        <f t="shared" ca="1" si="7"/>
        <v>0.25000000000000006</v>
      </c>
      <c r="D29" s="306">
        <f t="shared" ca="1" si="8"/>
        <v>20.874657201593493</v>
      </c>
      <c r="E29" s="307">
        <f t="shared" ca="1" si="9"/>
        <v>77.910604226869481</v>
      </c>
      <c r="F29" s="304">
        <f t="shared" ca="1" si="10"/>
        <v>80.658623620044082</v>
      </c>
      <c r="G29" s="306">
        <f t="shared" ca="1" si="11"/>
        <v>4.4283666695931982</v>
      </c>
      <c r="H29" s="307">
        <f t="shared" ca="1" si="12"/>
        <v>16.52803343312225</v>
      </c>
      <c r="I29" s="304">
        <f t="shared" ca="1" si="13"/>
        <v>17.110999986171787</v>
      </c>
      <c r="J29" s="306">
        <f t="shared" ca="1" si="14"/>
        <v>0.4819124026351711</v>
      </c>
      <c r="K29" s="307">
        <f t="shared" ca="1" si="15"/>
        <v>1.7986475460636155</v>
      </c>
      <c r="L29" s="304">
        <f t="shared" ca="1" si="0"/>
        <v>1.8620882252928483</v>
      </c>
      <c r="M29" s="306">
        <f t="shared" ca="1" si="16"/>
        <v>1.3089969389957472</v>
      </c>
      <c r="N29" s="304">
        <f t="shared" ca="1" si="17"/>
        <v>75</v>
      </c>
      <c r="P29" s="310">
        <f t="shared" ca="1" si="18"/>
        <v>4</v>
      </c>
      <c r="Q29" s="304">
        <f t="shared" ca="1" si="19"/>
        <v>1783.542536585366</v>
      </c>
      <c r="R29" s="306">
        <f t="shared" ca="1" si="20"/>
        <v>1.0725763532831976</v>
      </c>
      <c r="S29" s="307">
        <f t="shared" ca="1" si="21"/>
        <v>19.767148628314803</v>
      </c>
      <c r="T29" s="304">
        <f t="shared" ca="1" si="1"/>
        <v>193.91572804376824</v>
      </c>
      <c r="U29" s="311">
        <f t="shared" ca="1" si="2"/>
        <v>50.1890835626482</v>
      </c>
      <c r="V29" s="306">
        <f t="shared" ca="1" si="3"/>
        <v>1.2247796854890149</v>
      </c>
      <c r="W29" s="304">
        <f t="shared" ca="1" si="4"/>
        <v>2.0301843772445172</v>
      </c>
      <c r="Y29" s="314" t="str">
        <f t="shared" ca="1" si="22"/>
        <v/>
      </c>
      <c r="Z29" s="315" t="str">
        <f t="shared" ca="1" si="23"/>
        <v/>
      </c>
      <c r="AA29" s="316" t="str">
        <f t="shared" ca="1" si="24"/>
        <v/>
      </c>
      <c r="AC29" s="310" t="e">
        <f t="shared" ca="1" si="25"/>
        <v>#N/A</v>
      </c>
      <c r="AD29" s="323" t="e">
        <f t="shared" ca="1" si="26"/>
        <v>#N/A</v>
      </c>
      <c r="AE29" s="324">
        <f t="shared" ca="1" si="5"/>
        <v>1.7986475460636155</v>
      </c>
      <c r="AG29" s="306">
        <f t="shared" ca="1" si="27"/>
        <v>80.658623608278376</v>
      </c>
      <c r="AH29" s="304">
        <f t="shared" ca="1" si="28"/>
        <v>90.134355964174134</v>
      </c>
    </row>
    <row r="30" spans="1:34" x14ac:dyDescent="0.2">
      <c r="A30" s="347">
        <f t="shared" ca="1" si="6"/>
        <v>0.01</v>
      </c>
      <c r="B30" s="304">
        <f t="shared" ca="1" si="7"/>
        <v>0.26000000000000006</v>
      </c>
      <c r="D30" s="306">
        <f t="shared" ca="1" si="8"/>
        <v>20.891363069427832</v>
      </c>
      <c r="E30" s="307">
        <f t="shared" ca="1" si="9"/>
        <v>77.972955743537426</v>
      </c>
      <c r="F30" s="304">
        <f t="shared" ca="1" si="10"/>
        <v>80.723174357072324</v>
      </c>
      <c r="G30" s="306">
        <f t="shared" ca="1" si="11"/>
        <v>4.6372803002874763</v>
      </c>
      <c r="H30" s="307">
        <f t="shared" ca="1" si="12"/>
        <v>17.307762990557624</v>
      </c>
      <c r="I30" s="304">
        <f t="shared" ca="1" si="13"/>
        <v>17.918231729742487</v>
      </c>
      <c r="J30" s="306">
        <f t="shared" ca="1" si="14"/>
        <v>0.5272406374845745</v>
      </c>
      <c r="K30" s="307">
        <f t="shared" ca="1" si="15"/>
        <v>1.9678265281820149</v>
      </c>
      <c r="L30" s="304">
        <f t="shared" ca="1" si="0"/>
        <v>2.0372343838724158</v>
      </c>
      <c r="M30" s="306">
        <f t="shared" ca="1" si="16"/>
        <v>1.3089969389957472</v>
      </c>
      <c r="N30" s="304">
        <f t="shared" ca="1" si="17"/>
        <v>75</v>
      </c>
      <c r="P30" s="310">
        <f t="shared" ca="1" si="18"/>
        <v>4</v>
      </c>
      <c r="Q30" s="304">
        <f t="shared" ca="1" si="19"/>
        <v>1784.0376585365855</v>
      </c>
      <c r="R30" s="306">
        <f t="shared" ca="1" si="20"/>
        <v>1.0728741068191947</v>
      </c>
      <c r="S30" s="307">
        <f t="shared" ca="1" si="21"/>
        <v>19.756419887246611</v>
      </c>
      <c r="T30" s="304">
        <f t="shared" ca="1" si="1"/>
        <v>193.81047909388926</v>
      </c>
      <c r="U30" s="311">
        <f t="shared" ca="1" si="2"/>
        <v>50.161843129942476</v>
      </c>
      <c r="V30" s="306">
        <f t="shared" ca="1" si="3"/>
        <v>1.2247589649660544</v>
      </c>
      <c r="W30" s="304">
        <f t="shared" ca="1" si="4"/>
        <v>2.2262177951209536</v>
      </c>
      <c r="Y30" s="314" t="str">
        <f t="shared" ca="1" si="22"/>
        <v/>
      </c>
      <c r="Z30" s="315" t="str">
        <f t="shared" ca="1" si="23"/>
        <v/>
      </c>
      <c r="AA30" s="316" t="str">
        <f t="shared" ca="1" si="24"/>
        <v/>
      </c>
      <c r="AC30" s="310" t="e">
        <f t="shared" ca="1" si="25"/>
        <v>#N/A</v>
      </c>
      <c r="AD30" s="323" t="e">
        <f t="shared" ca="1" si="26"/>
        <v>#N/A</v>
      </c>
      <c r="AE30" s="324">
        <f t="shared" ca="1" si="5"/>
        <v>1.9678265281820149</v>
      </c>
      <c r="AG30" s="306">
        <f t="shared" ca="1" si="27"/>
        <v>80.723174345296727</v>
      </c>
      <c r="AH30" s="304">
        <f t="shared" ca="1" si="28"/>
        <v>90.198906701192485</v>
      </c>
    </row>
    <row r="31" spans="1:34" x14ac:dyDescent="0.2">
      <c r="A31" s="347">
        <f t="shared" ca="1" si="6"/>
        <v>0.01</v>
      </c>
      <c r="B31" s="304">
        <f t="shared" ca="1" si="7"/>
        <v>0.27000000000000007</v>
      </c>
      <c r="D31" s="306">
        <f t="shared" ca="1" si="8"/>
        <v>20.907970354672884</v>
      </c>
      <c r="E31" s="307">
        <f t="shared" ca="1" si="9"/>
        <v>78.034939350525292</v>
      </c>
      <c r="F31" s="304">
        <f t="shared" ca="1" si="10"/>
        <v>80.787344205587303</v>
      </c>
      <c r="G31" s="306">
        <f t="shared" ca="1" si="11"/>
        <v>4.8463600038342047</v>
      </c>
      <c r="H31" s="307">
        <f t="shared" ca="1" si="12"/>
        <v>18.088112384062878</v>
      </c>
      <c r="I31" s="304">
        <f t="shared" ca="1" si="13"/>
        <v>18.726105171798345</v>
      </c>
      <c r="J31" s="306">
        <f t="shared" ca="1" si="14"/>
        <v>0.57465883900518289</v>
      </c>
      <c r="K31" s="307">
        <f t="shared" ca="1" si="15"/>
        <v>2.1448059050551174</v>
      </c>
      <c r="L31" s="304">
        <f t="shared" ca="1" si="0"/>
        <v>2.2204560683801167</v>
      </c>
      <c r="M31" s="306">
        <f t="shared" ca="1" si="16"/>
        <v>1.3089969389957472</v>
      </c>
      <c r="N31" s="304">
        <f t="shared" ca="1" si="17"/>
        <v>75</v>
      </c>
      <c r="P31" s="310">
        <f t="shared" ca="1" si="18"/>
        <v>4</v>
      </c>
      <c r="Q31" s="304">
        <f t="shared" ca="1" si="19"/>
        <v>1784.532780487805</v>
      </c>
      <c r="R31" s="306">
        <f t="shared" ca="1" si="20"/>
        <v>1.0731718603551916</v>
      </c>
      <c r="S31" s="307">
        <f t="shared" ca="1" si="21"/>
        <v>19.74568816864306</v>
      </c>
      <c r="T31" s="304">
        <f t="shared" ca="1" si="1"/>
        <v>193.70520093438842</v>
      </c>
      <c r="U31" s="311">
        <f t="shared" ca="1" si="2"/>
        <v>50.13459513723032</v>
      </c>
      <c r="V31" s="306">
        <f t="shared" ca="1" si="3"/>
        <v>1.2247372894497877</v>
      </c>
      <c r="W31" s="304">
        <f t="shared" ca="1" si="4"/>
        <v>2.4314457409087815</v>
      </c>
      <c r="Y31" s="314" t="str">
        <f t="shared" ca="1" si="22"/>
        <v/>
      </c>
      <c r="Z31" s="315" t="str">
        <f t="shared" ca="1" si="23"/>
        <v/>
      </c>
      <c r="AA31" s="316" t="str">
        <f t="shared" ca="1" si="24"/>
        <v/>
      </c>
      <c r="AC31" s="310" t="e">
        <f t="shared" ca="1" si="25"/>
        <v>#N/A</v>
      </c>
      <c r="AD31" s="323" t="e">
        <f t="shared" ca="1" si="26"/>
        <v>#N/A</v>
      </c>
      <c r="AE31" s="324">
        <f t="shared" ca="1" si="5"/>
        <v>2.1448059050551174</v>
      </c>
      <c r="AG31" s="306">
        <f t="shared" ca="1" si="27"/>
        <v>80.787344193801715</v>
      </c>
      <c r="AH31" s="304">
        <f t="shared" ca="1" si="28"/>
        <v>90.263076549697473</v>
      </c>
    </row>
    <row r="32" spans="1:34" x14ac:dyDescent="0.2">
      <c r="A32" s="347">
        <f t="shared" ca="1" si="6"/>
        <v>0.01</v>
      </c>
      <c r="B32" s="304">
        <f t="shared" ca="1" si="7"/>
        <v>0.28000000000000008</v>
      </c>
      <c r="D32" s="306">
        <f t="shared" ca="1" si="8"/>
        <v>20.924478644830984</v>
      </c>
      <c r="E32" s="307">
        <f t="shared" ca="1" si="9"/>
        <v>78.096553508381845</v>
      </c>
      <c r="F32" s="304">
        <f t="shared" ca="1" si="10"/>
        <v>80.851131571831061</v>
      </c>
      <c r="G32" s="306">
        <f t="shared" ca="1" si="11"/>
        <v>5.0556047902825147</v>
      </c>
      <c r="H32" s="307">
        <f t="shared" ca="1" si="12"/>
        <v>18.869077919146697</v>
      </c>
      <c r="I32" s="304">
        <f t="shared" ca="1" si="13"/>
        <v>19.53461648751664</v>
      </c>
      <c r="J32" s="306">
        <f t="shared" ca="1" si="14"/>
        <v>0.62416866297576645</v>
      </c>
      <c r="K32" s="307">
        <f t="shared" ca="1" si="15"/>
        <v>2.3295918565711653</v>
      </c>
      <c r="L32" s="304">
        <f t="shared" ca="1" si="0"/>
        <v>2.4117596766766884</v>
      </c>
      <c r="M32" s="306">
        <f t="shared" ca="1" si="16"/>
        <v>1.3089969389957472</v>
      </c>
      <c r="N32" s="304">
        <f t="shared" ca="1" si="17"/>
        <v>75</v>
      </c>
      <c r="P32" s="310">
        <f t="shared" ca="1" si="18"/>
        <v>4</v>
      </c>
      <c r="Q32" s="304">
        <f t="shared" ca="1" si="19"/>
        <v>1785.0279024390245</v>
      </c>
      <c r="R32" s="306">
        <f t="shared" ca="1" si="20"/>
        <v>1.0734696138911888</v>
      </c>
      <c r="S32" s="307">
        <f t="shared" ca="1" si="21"/>
        <v>19.734953472504149</v>
      </c>
      <c r="T32" s="304">
        <f t="shared" ca="1" si="1"/>
        <v>193.59989356526572</v>
      </c>
      <c r="U32" s="311">
        <f t="shared" ca="1" si="2"/>
        <v>50.10733958451172</v>
      </c>
      <c r="V32" s="306">
        <f t="shared" ca="1" si="3"/>
        <v>1.2247146582340629</v>
      </c>
      <c r="W32" s="304">
        <f t="shared" ca="1" si="4"/>
        <v>2.645887775040165</v>
      </c>
      <c r="Y32" s="314" t="str">
        <f t="shared" ca="1" si="22"/>
        <v/>
      </c>
      <c r="Z32" s="315" t="str">
        <f t="shared" ca="1" si="23"/>
        <v/>
      </c>
      <c r="AA32" s="316" t="str">
        <f t="shared" ca="1" si="24"/>
        <v/>
      </c>
      <c r="AC32" s="310" t="e">
        <f t="shared" ca="1" si="25"/>
        <v>#N/A</v>
      </c>
      <c r="AD32" s="323" t="e">
        <f t="shared" ca="1" si="26"/>
        <v>#N/A</v>
      </c>
      <c r="AE32" s="324">
        <f t="shared" ca="1" si="5"/>
        <v>2.3295918565711653</v>
      </c>
      <c r="AG32" s="306">
        <f t="shared" ca="1" si="27"/>
        <v>80.851131560035412</v>
      </c>
      <c r="AH32" s="304">
        <f t="shared" ca="1" si="28"/>
        <v>90.32686391593117</v>
      </c>
    </row>
    <row r="33" spans="1:34" x14ac:dyDescent="0.2">
      <c r="A33" s="347">
        <f t="shared" ca="1" si="6"/>
        <v>0.01</v>
      </c>
      <c r="B33" s="304">
        <f t="shared" ca="1" si="7"/>
        <v>0.29000000000000009</v>
      </c>
      <c r="D33" s="306">
        <f t="shared" ca="1" si="8"/>
        <v>20.940887529077351</v>
      </c>
      <c r="E33" s="307">
        <f t="shared" ca="1" si="9"/>
        <v>78.15779668389925</v>
      </c>
      <c r="F33" s="304">
        <f t="shared" ca="1" si="10"/>
        <v>80.91453486850925</v>
      </c>
      <c r="G33" s="306">
        <f t="shared" ca="1" si="11"/>
        <v>5.2650136655732886</v>
      </c>
      <c r="H33" s="307">
        <f t="shared" ca="1" si="12"/>
        <v>19.650655885985689</v>
      </c>
      <c r="I33" s="304">
        <f t="shared" ca="1" si="13"/>
        <v>20.343761836201718</v>
      </c>
      <c r="J33" s="306">
        <f t="shared" ca="1" si="14"/>
        <v>0.67577175525504551</v>
      </c>
      <c r="K33" s="307">
        <f t="shared" ca="1" si="15"/>
        <v>2.5221905255968271</v>
      </c>
      <c r="L33" s="304">
        <f t="shared" ca="1" si="0"/>
        <v>2.6111515682952766</v>
      </c>
      <c r="M33" s="306">
        <f t="shared" ca="1" si="16"/>
        <v>1.3089969389957472</v>
      </c>
      <c r="N33" s="304">
        <f t="shared" ca="1" si="17"/>
        <v>75</v>
      </c>
      <c r="P33" s="310">
        <f t="shared" ca="1" si="18"/>
        <v>4</v>
      </c>
      <c r="Q33" s="304">
        <f t="shared" ca="1" si="19"/>
        <v>1785.523024390244</v>
      </c>
      <c r="R33" s="306">
        <f t="shared" ca="1" si="20"/>
        <v>1.0737673674271859</v>
      </c>
      <c r="S33" s="307">
        <f t="shared" ca="1" si="21"/>
        <v>19.724215798829878</v>
      </c>
      <c r="T33" s="304">
        <f t="shared" ca="1" si="1"/>
        <v>193.4945569865211</v>
      </c>
      <c r="U33" s="311">
        <f t="shared" ca="1" si="2"/>
        <v>50.080076471786676</v>
      </c>
      <c r="V33" s="306">
        <f t="shared" ca="1" si="3"/>
        <v>1.2246910706195524</v>
      </c>
      <c r="W33" s="304">
        <f t="shared" ca="1" si="4"/>
        <v>2.8695632537955862</v>
      </c>
      <c r="Y33" s="314" t="str">
        <f t="shared" ca="1" si="22"/>
        <v/>
      </c>
      <c r="Z33" s="315" t="str">
        <f t="shared" ca="1" si="23"/>
        <v/>
      </c>
      <c r="AA33" s="316" t="str">
        <f t="shared" ca="1" si="24"/>
        <v/>
      </c>
      <c r="AC33" s="310" t="e">
        <f t="shared" ca="1" si="25"/>
        <v>#N/A</v>
      </c>
      <c r="AD33" s="323" t="e">
        <f t="shared" ca="1" si="26"/>
        <v>#N/A</v>
      </c>
      <c r="AE33" s="324">
        <f t="shared" ca="1" si="5"/>
        <v>2.5221905255968271</v>
      </c>
      <c r="AG33" s="306">
        <f t="shared" ca="1" si="27"/>
        <v>80.914534856703469</v>
      </c>
      <c r="AH33" s="304">
        <f t="shared" ca="1" si="28"/>
        <v>90.390267212599227</v>
      </c>
    </row>
    <row r="34" spans="1:34" x14ac:dyDescent="0.2">
      <c r="A34" s="347">
        <f t="shared" ca="1" si="6"/>
        <v>0.01</v>
      </c>
      <c r="B34" s="304">
        <f t="shared" ca="1" si="7"/>
        <v>0.3000000000000001</v>
      </c>
      <c r="D34" s="306">
        <f t="shared" ca="1" si="8"/>
        <v>20.957196598282458</v>
      </c>
      <c r="E34" s="307">
        <f t="shared" ca="1" si="9"/>
        <v>78.21866735019637</v>
      </c>
      <c r="F34" s="304">
        <f t="shared" ca="1" si="10"/>
        <v>80.977552514877459</v>
      </c>
      <c r="G34" s="306">
        <f t="shared" ca="1" si="11"/>
        <v>5.4745856315561134</v>
      </c>
      <c r="H34" s="307">
        <f t="shared" ca="1" si="12"/>
        <v>20.432842559487653</v>
      </c>
      <c r="I34" s="304">
        <f t="shared" ca="1" si="13"/>
        <v>21.15353736135048</v>
      </c>
      <c r="J34" s="306">
        <f t="shared" ca="1" si="14"/>
        <v>0.72946975174069251</v>
      </c>
      <c r="K34" s="307">
        <f t="shared" ca="1" si="15"/>
        <v>2.7226080178241938</v>
      </c>
      <c r="L34" s="304">
        <f t="shared" ca="1" si="0"/>
        <v>2.8186380642830349</v>
      </c>
      <c r="M34" s="306">
        <f t="shared" ca="1" si="16"/>
        <v>1.3089969389957472</v>
      </c>
      <c r="N34" s="304">
        <f t="shared" ca="1" si="17"/>
        <v>75</v>
      </c>
      <c r="P34" s="310">
        <f t="shared" ca="1" si="18"/>
        <v>4</v>
      </c>
      <c r="Q34" s="304">
        <f t="shared" ca="1" si="19"/>
        <v>1786.0181463414635</v>
      </c>
      <c r="R34" s="306">
        <f t="shared" ca="1" si="20"/>
        <v>1.0740651209631829</v>
      </c>
      <c r="S34" s="307">
        <f t="shared" ca="1" si="21"/>
        <v>19.713475147620247</v>
      </c>
      <c r="T34" s="304">
        <f t="shared" ca="1" si="1"/>
        <v>193.38919119815463</v>
      </c>
      <c r="U34" s="311">
        <f t="shared" ca="1" si="2"/>
        <v>50.052805799055193</v>
      </c>
      <c r="V34" s="306">
        <f t="shared" ca="1" si="3"/>
        <v>1.2246665259137779</v>
      </c>
      <c r="W34" s="304">
        <f t="shared" ca="1" si="4"/>
        <v>3.1024913279035551</v>
      </c>
      <c r="Y34" s="314" t="str">
        <f t="shared" ca="1" si="22"/>
        <v/>
      </c>
      <c r="Z34" s="315" t="str">
        <f t="shared" ca="1" si="23"/>
        <v/>
      </c>
      <c r="AA34" s="316" t="str">
        <f t="shared" ca="1" si="24"/>
        <v/>
      </c>
      <c r="AC34" s="310" t="e">
        <f t="shared" ca="1" si="25"/>
        <v>#N/A</v>
      </c>
      <c r="AD34" s="323" t="e">
        <f t="shared" ca="1" si="26"/>
        <v>#N/A</v>
      </c>
      <c r="AE34" s="324">
        <f t="shared" ca="1" si="5"/>
        <v>2.7226080178241938</v>
      </c>
      <c r="AG34" s="306">
        <f t="shared" ca="1" si="27"/>
        <v>80.97755250306146</v>
      </c>
      <c r="AH34" s="304">
        <f t="shared" ca="1" si="28"/>
        <v>90.453284858957218</v>
      </c>
    </row>
    <row r="35" spans="1:34" x14ac:dyDescent="0.2">
      <c r="A35" s="347">
        <f t="shared" ca="1" si="6"/>
        <v>0.01</v>
      </c>
      <c r="B35" s="304">
        <f t="shared" ca="1" si="7"/>
        <v>0.31000000000000011</v>
      </c>
      <c r="D35" s="306">
        <f t="shared" ca="1" si="8"/>
        <v>20.973405445034452</v>
      </c>
      <c r="E35" s="307">
        <f t="shared" ca="1" si="9"/>
        <v>78.279163986802629</v>
      </c>
      <c r="F35" s="304">
        <f t="shared" ca="1" si="10"/>
        <v>81.040182936827946</v>
      </c>
      <c r="G35" s="306">
        <f t="shared" ca="1" si="11"/>
        <v>5.6843196860064582</v>
      </c>
      <c r="H35" s="307">
        <f t="shared" ca="1" si="12"/>
        <v>21.21563419935568</v>
      </c>
      <c r="I35" s="304">
        <f t="shared" ca="1" si="13"/>
        <v>21.963939190718747</v>
      </c>
      <c r="J35" s="306">
        <f t="shared" ca="1" si="14"/>
        <v>0.78526427832850532</v>
      </c>
      <c r="K35" s="307">
        <f t="shared" ca="1" si="15"/>
        <v>2.9308504016184105</v>
      </c>
      <c r="L35" s="304">
        <f t="shared" ca="1" si="0"/>
        <v>3.034225447043378</v>
      </c>
      <c r="M35" s="306">
        <f t="shared" ca="1" si="16"/>
        <v>1.3089969389957472</v>
      </c>
      <c r="N35" s="304">
        <f t="shared" ca="1" si="17"/>
        <v>75</v>
      </c>
      <c r="P35" s="310">
        <f t="shared" ca="1" si="18"/>
        <v>4</v>
      </c>
      <c r="Q35" s="304">
        <f t="shared" ca="1" si="19"/>
        <v>1786.5132682926831</v>
      </c>
      <c r="R35" s="306">
        <f t="shared" ca="1" si="20"/>
        <v>1.07436287449918</v>
      </c>
      <c r="S35" s="307">
        <f t="shared" ca="1" si="21"/>
        <v>19.702731518875254</v>
      </c>
      <c r="T35" s="304">
        <f t="shared" ca="1" si="1"/>
        <v>193.28379620016625</v>
      </c>
      <c r="U35" s="311">
        <f t="shared" ca="1" si="2"/>
        <v>50.025527566317258</v>
      </c>
      <c r="V35" s="306">
        <f t="shared" ca="1" si="3"/>
        <v>1.2246410234311329</v>
      </c>
      <c r="W35" s="304">
        <f t="shared" ca="1" si="4"/>
        <v>3.3446909411475372</v>
      </c>
      <c r="Y35" s="314" t="str">
        <f t="shared" ca="1" si="22"/>
        <v/>
      </c>
      <c r="Z35" s="315" t="str">
        <f t="shared" ca="1" si="23"/>
        <v/>
      </c>
      <c r="AA35" s="316" t="str">
        <f t="shared" ca="1" si="24"/>
        <v/>
      </c>
      <c r="AC35" s="310" t="e">
        <f t="shared" ca="1" si="25"/>
        <v>#N/A</v>
      </c>
      <c r="AD35" s="323" t="e">
        <f t="shared" ca="1" si="26"/>
        <v>#N/A</v>
      </c>
      <c r="AE35" s="324">
        <f t="shared" ca="1" si="5"/>
        <v>2.9308504016184105</v>
      </c>
      <c r="AG35" s="306">
        <f t="shared" ca="1" si="27"/>
        <v>81.040182925001645</v>
      </c>
      <c r="AH35" s="304">
        <f t="shared" ca="1" si="28"/>
        <v>90.515915280897403</v>
      </c>
    </row>
    <row r="36" spans="1:34" x14ac:dyDescent="0.2">
      <c r="A36" s="347">
        <f t="shared" ca="1" si="6"/>
        <v>0.01</v>
      </c>
      <c r="B36" s="304">
        <f t="shared" ca="1" si="7"/>
        <v>0.32000000000000012</v>
      </c>
      <c r="D36" s="306">
        <f t="shared" ca="1" si="8"/>
        <v>20.989513663661519</v>
      </c>
      <c r="E36" s="307">
        <f t="shared" ca="1" si="9"/>
        <v>78.339285079741373</v>
      </c>
      <c r="F36" s="304">
        <f t="shared" ca="1" si="10"/>
        <v>81.102424566975941</v>
      </c>
      <c r="G36" s="306">
        <f t="shared" ca="1" si="11"/>
        <v>5.8942148226430735</v>
      </c>
      <c r="H36" s="307">
        <f t="shared" ca="1" si="12"/>
        <v>21.999027050153092</v>
      </c>
      <c r="I36" s="304">
        <f t="shared" ca="1" si="13"/>
        <v>22.774963436388493</v>
      </c>
      <c r="J36" s="306">
        <f t="shared" ca="1" si="14"/>
        <v>0.84315695087175302</v>
      </c>
      <c r="K36" s="307">
        <f t="shared" ca="1" si="15"/>
        <v>3.1469237078659544</v>
      </c>
      <c r="L36" s="304">
        <f t="shared" ca="1" si="0"/>
        <v>3.2579199601789113</v>
      </c>
      <c r="M36" s="306">
        <f t="shared" ca="1" si="16"/>
        <v>1.3089969389957472</v>
      </c>
      <c r="N36" s="304">
        <f t="shared" ca="1" si="17"/>
        <v>75</v>
      </c>
      <c r="P36" s="310">
        <f t="shared" ca="1" si="18"/>
        <v>4</v>
      </c>
      <c r="Q36" s="304">
        <f t="shared" ca="1" si="19"/>
        <v>1787.0083902439026</v>
      </c>
      <c r="R36" s="306">
        <f t="shared" ca="1" si="20"/>
        <v>1.0746606280351771</v>
      </c>
      <c r="S36" s="307">
        <f t="shared" ca="1" si="21"/>
        <v>19.691984912594901</v>
      </c>
      <c r="T36" s="304">
        <f t="shared" ca="1" si="1"/>
        <v>193.17837199255598</v>
      </c>
      <c r="U36" s="311">
        <f t="shared" ca="1" si="2"/>
        <v>49.998241773572879</v>
      </c>
      <c r="V36" s="306">
        <f t="shared" ca="1" si="3"/>
        <v>1.2246145624929079</v>
      </c>
      <c r="W36" s="304">
        <f t="shared" ca="1" si="4"/>
        <v>3.5961808289802524</v>
      </c>
      <c r="Y36" s="314" t="str">
        <f t="shared" ca="1" si="22"/>
        <v/>
      </c>
      <c r="Z36" s="315" t="str">
        <f t="shared" ca="1" si="23"/>
        <v/>
      </c>
      <c r="AA36" s="316" t="str">
        <f t="shared" ca="1" si="24"/>
        <v/>
      </c>
      <c r="AC36" s="310" t="e">
        <f t="shared" ca="1" si="25"/>
        <v>#N/A</v>
      </c>
      <c r="AD36" s="323" t="e">
        <f t="shared" ca="1" si="26"/>
        <v>#N/A</v>
      </c>
      <c r="AE36" s="324">
        <f t="shared" ca="1" si="5"/>
        <v>3.1469237078659544</v>
      </c>
      <c r="AG36" s="306">
        <f t="shared" ca="1" si="27"/>
        <v>81.102424555139251</v>
      </c>
      <c r="AH36" s="304">
        <f t="shared" ca="1" si="28"/>
        <v>90.578156911035009</v>
      </c>
    </row>
    <row r="37" spans="1:34" x14ac:dyDescent="0.2">
      <c r="A37" s="347">
        <f t="shared" ca="1" si="6"/>
        <v>0.01</v>
      </c>
      <c r="B37" s="304">
        <f t="shared" ca="1" si="7"/>
        <v>0.33000000000000013</v>
      </c>
      <c r="D37" s="306">
        <f t="shared" ca="1" si="8"/>
        <v>21.005520850254253</v>
      </c>
      <c r="E37" s="307">
        <f t="shared" ca="1" si="9"/>
        <v>78.399029121613324</v>
      </c>
      <c r="F37" s="304">
        <f t="shared" ca="1" si="10"/>
        <v>81.164275844746129</v>
      </c>
      <c r="G37" s="306">
        <f t="shared" ca="1" si="11"/>
        <v>6.1042700311456164</v>
      </c>
      <c r="H37" s="307">
        <f t="shared" ca="1" si="12"/>
        <v>22.783017341369227</v>
      </c>
      <c r="I37" s="304">
        <f t="shared" ca="1" si="13"/>
        <v>23.586606194835948</v>
      </c>
      <c r="J37" s="306">
        <f t="shared" ca="1" si="14"/>
        <v>0.90314937514069649</v>
      </c>
      <c r="K37" s="307">
        <f t="shared" ca="1" si="15"/>
        <v>3.3708339298235659</v>
      </c>
      <c r="L37" s="304">
        <f t="shared" ca="1" si="0"/>
        <v>3.4897278083350303</v>
      </c>
      <c r="M37" s="306">
        <f t="shared" ca="1" si="16"/>
        <v>1.3089969389957472</v>
      </c>
      <c r="N37" s="304">
        <f t="shared" ca="1" si="17"/>
        <v>75</v>
      </c>
      <c r="P37" s="310">
        <f t="shared" ca="1" si="18"/>
        <v>4</v>
      </c>
      <c r="Q37" s="304">
        <f t="shared" ca="1" si="19"/>
        <v>1787.5035121951221</v>
      </c>
      <c r="R37" s="306">
        <f t="shared" ca="1" si="20"/>
        <v>1.0749583815711741</v>
      </c>
      <c r="S37" s="307">
        <f t="shared" ca="1" si="21"/>
        <v>19.681235328779188</v>
      </c>
      <c r="T37" s="304">
        <f t="shared" ca="1" si="1"/>
        <v>193.07291857532385</v>
      </c>
      <c r="U37" s="311">
        <f t="shared" ca="1" si="2"/>
        <v>49.970948420822062</v>
      </c>
      <c r="V37" s="306">
        <f t="shared" ca="1" si="3"/>
        <v>1.2245871424273123</v>
      </c>
      <c r="W37" s="304">
        <f t="shared" ca="1" si="4"/>
        <v>3.856979517145473</v>
      </c>
      <c r="Y37" s="314" t="str">
        <f t="shared" ca="1" si="22"/>
        <v/>
      </c>
      <c r="Z37" s="315" t="str">
        <f t="shared" ca="1" si="23"/>
        <v/>
      </c>
      <c r="AA37" s="316" t="str">
        <f t="shared" ca="1" si="24"/>
        <v/>
      </c>
      <c r="AC37" s="310" t="e">
        <f t="shared" ca="1" si="25"/>
        <v>#N/A</v>
      </c>
      <c r="AD37" s="323" t="e">
        <f t="shared" ca="1" si="26"/>
        <v>#N/A</v>
      </c>
      <c r="AE37" s="324">
        <f t="shared" ca="1" si="5"/>
        <v>3.3708339298235659</v>
      </c>
      <c r="AG37" s="306">
        <f t="shared" ca="1" si="27"/>
        <v>81.16427583289898</v>
      </c>
      <c r="AH37" s="304">
        <f t="shared" ca="1" si="28"/>
        <v>90.640008188794738</v>
      </c>
    </row>
    <row r="38" spans="1:34" x14ac:dyDescent="0.2">
      <c r="A38" s="347">
        <f t="shared" ca="1" si="6"/>
        <v>0.01</v>
      </c>
      <c r="B38" s="304">
        <f t="shared" ca="1" si="7"/>
        <v>0.34000000000000014</v>
      </c>
      <c r="D38" s="306">
        <f t="shared" ca="1" si="8"/>
        <v>21.021426602687985</v>
      </c>
      <c r="E38" s="307">
        <f t="shared" ca="1" si="9"/>
        <v>78.458394611680006</v>
      </c>
      <c r="F38" s="304">
        <f t="shared" ca="1" si="10"/>
        <v>81.225735216458929</v>
      </c>
      <c r="G38" s="306">
        <f t="shared" ca="1" si="11"/>
        <v>6.3144842971724966</v>
      </c>
      <c r="H38" s="307">
        <f t="shared" ca="1" si="12"/>
        <v>23.567601287486028</v>
      </c>
      <c r="I38" s="304">
        <f t="shared" ca="1" si="13"/>
        <v>24.398863547000527</v>
      </c>
      <c r="J38" s="306">
        <f t="shared" ca="1" si="14"/>
        <v>0.96524314678228706</v>
      </c>
      <c r="K38" s="307">
        <f t="shared" ca="1" si="15"/>
        <v>3.6025870229678421</v>
      </c>
      <c r="L38" s="304">
        <f t="shared" ca="1" si="0"/>
        <v>3.7296551570442102</v>
      </c>
      <c r="M38" s="306">
        <f t="shared" ca="1" si="16"/>
        <v>1.3089969389957472</v>
      </c>
      <c r="N38" s="304">
        <f t="shared" ca="1" si="17"/>
        <v>75</v>
      </c>
      <c r="P38" s="310">
        <f t="shared" ca="1" si="18"/>
        <v>4</v>
      </c>
      <c r="Q38" s="304">
        <f t="shared" ca="1" si="19"/>
        <v>1787.9986341463416</v>
      </c>
      <c r="R38" s="306">
        <f t="shared" ca="1" si="20"/>
        <v>1.0752561351071712</v>
      </c>
      <c r="S38" s="307">
        <f t="shared" ca="1" si="21"/>
        <v>19.670482767428116</v>
      </c>
      <c r="T38" s="304">
        <f t="shared" ca="1" si="1"/>
        <v>192.96743594846981</v>
      </c>
      <c r="U38" s="311">
        <f t="shared" ca="1" si="2"/>
        <v>49.943647508064792</v>
      </c>
      <c r="V38" s="306">
        <f t="shared" ca="1" si="3"/>
        <v>1.2245587625694987</v>
      </c>
      <c r="W38" s="304">
        <f t="shared" ca="1" si="4"/>
        <v>4.1271053203074608</v>
      </c>
      <c r="Y38" s="314" t="str">
        <f t="shared" ca="1" si="22"/>
        <v/>
      </c>
      <c r="Z38" s="315" t="str">
        <f t="shared" ca="1" si="23"/>
        <v/>
      </c>
      <c r="AA38" s="316" t="str">
        <f t="shared" ca="1" si="24"/>
        <v/>
      </c>
      <c r="AC38" s="310" t="e">
        <f t="shared" ca="1" si="25"/>
        <v>#N/A</v>
      </c>
      <c r="AD38" s="323" t="e">
        <f t="shared" ca="1" si="26"/>
        <v>#N/A</v>
      </c>
      <c r="AE38" s="324">
        <f t="shared" ca="1" si="5"/>
        <v>3.6025870229678421</v>
      </c>
      <c r="AG38" s="306">
        <f t="shared" ca="1" si="27"/>
        <v>81.225735204601222</v>
      </c>
      <c r="AH38" s="304">
        <f t="shared" ca="1" si="28"/>
        <v>90.70146756049698</v>
      </c>
    </row>
    <row r="39" spans="1:34" x14ac:dyDescent="0.2">
      <c r="A39" s="347">
        <f t="shared" ca="1" si="6"/>
        <v>0.01</v>
      </c>
      <c r="B39" s="304">
        <f t="shared" ca="1" si="7"/>
        <v>0.35000000000000014</v>
      </c>
      <c r="D39" s="306">
        <f t="shared" ca="1" si="8"/>
        <v>21.037230520645089</v>
      </c>
      <c r="E39" s="307">
        <f t="shared" ca="1" si="9"/>
        <v>78.517380055946973</v>
      </c>
      <c r="F39" s="304">
        <f t="shared" ca="1" si="10"/>
        <v>81.286801135416695</v>
      </c>
      <c r="G39" s="306">
        <f t="shared" ca="1" si="11"/>
        <v>6.5248566023789474</v>
      </c>
      <c r="H39" s="307">
        <f t="shared" ca="1" si="12"/>
        <v>24.352775088045497</v>
      </c>
      <c r="I39" s="304">
        <f t="shared" ca="1" si="13"/>
        <v>25.211731558354685</v>
      </c>
      <c r="J39" s="306">
        <f t="shared" ca="1" si="14"/>
        <v>1.0294398512800442</v>
      </c>
      <c r="K39" s="307">
        <f t="shared" ca="1" si="15"/>
        <v>3.8421889048454996</v>
      </c>
      <c r="L39" s="304">
        <f t="shared" ca="1" si="0"/>
        <v>3.9777081325709829</v>
      </c>
      <c r="M39" s="306">
        <f t="shared" ca="1" si="16"/>
        <v>1.3089969389957472</v>
      </c>
      <c r="N39" s="304">
        <f t="shared" ca="1" si="17"/>
        <v>75</v>
      </c>
      <c r="P39" s="310">
        <f t="shared" ca="1" si="18"/>
        <v>4</v>
      </c>
      <c r="Q39" s="304">
        <f t="shared" ca="1" si="19"/>
        <v>1788.4937560975611</v>
      </c>
      <c r="R39" s="306">
        <f t="shared" ca="1" si="20"/>
        <v>1.0755538886431684</v>
      </c>
      <c r="S39" s="307">
        <f t="shared" ca="1" si="21"/>
        <v>19.659727228541684</v>
      </c>
      <c r="T39" s="304">
        <f t="shared" ca="1" si="1"/>
        <v>192.86192411199391</v>
      </c>
      <c r="U39" s="311">
        <f t="shared" ca="1" si="2"/>
        <v>49.916339035301085</v>
      </c>
      <c r="V39" s="306">
        <f t="shared" ca="1" si="3"/>
        <v>1.224529422261585</v>
      </c>
      <c r="W39" s="304">
        <f t="shared" ca="1" si="4"/>
        <v>4.4065763406881899</v>
      </c>
      <c r="Y39" s="314" t="str">
        <f t="shared" ca="1" si="22"/>
        <v>Sortie de rampe</v>
      </c>
      <c r="Z39" s="315" t="str">
        <f t="shared" ca="1" si="23"/>
        <v/>
      </c>
      <c r="AA39" s="316" t="str">
        <f t="shared" ca="1" si="24"/>
        <v/>
      </c>
      <c r="AC39" s="310" t="e">
        <f t="shared" ca="1" si="25"/>
        <v>#N/A</v>
      </c>
      <c r="AD39" s="323" t="e">
        <f t="shared" ca="1" si="26"/>
        <v>#N/A</v>
      </c>
      <c r="AE39" s="324">
        <f t="shared" ca="1" si="5"/>
        <v>3.8421889048454996</v>
      </c>
      <c r="AG39" s="306">
        <f t="shared" ca="1" si="27"/>
        <v>81.286801123548358</v>
      </c>
      <c r="AH39" s="304">
        <f t="shared" ca="1" si="28"/>
        <v>90.762533479444116</v>
      </c>
    </row>
    <row r="40" spans="1:34" x14ac:dyDescent="0.2">
      <c r="A40" s="347">
        <f t="shared" ca="1" si="6"/>
        <v>0.01</v>
      </c>
      <c r="B40" s="304">
        <f t="shared" ca="1" si="7"/>
        <v>0.36000000000000015</v>
      </c>
      <c r="D40" s="306">
        <f t="shared" ca="1" si="8"/>
        <v>21.052932205637305</v>
      </c>
      <c r="E40" s="307">
        <f t="shared" ca="1" si="9"/>
        <v>78.575983967247012</v>
      </c>
      <c r="F40" s="304">
        <f t="shared" ca="1" si="10"/>
        <v>81.347472061989862</v>
      </c>
      <c r="G40" s="306">
        <f t="shared" ca="1" si="11"/>
        <v>6.7353859244353202</v>
      </c>
      <c r="H40" s="307">
        <f t="shared" ca="1" si="12"/>
        <v>25.138534927717966</v>
      </c>
      <c r="I40" s="304">
        <f t="shared" ca="1" si="13"/>
        <v>26.025206278974572</v>
      </c>
      <c r="J40" s="306">
        <f t="shared" ca="1" si="14"/>
        <v>1.0957410639141156</v>
      </c>
      <c r="K40" s="307">
        <f t="shared" ca="1" si="15"/>
        <v>4.0896454549243169</v>
      </c>
      <c r="L40" s="304">
        <f t="shared" ca="1" si="0"/>
        <v>4.2338928217576264</v>
      </c>
      <c r="M40" s="306">
        <f t="shared" ca="1" si="16"/>
        <v>1.3089969389957472</v>
      </c>
      <c r="N40" s="304">
        <f t="shared" ca="1" si="17"/>
        <v>75</v>
      </c>
      <c r="P40" s="310">
        <f t="shared" ca="1" si="18"/>
        <v>4</v>
      </c>
      <c r="Q40" s="304">
        <f t="shared" ca="1" si="19"/>
        <v>1788.9888780487806</v>
      </c>
      <c r="R40" s="306">
        <f t="shared" ca="1" si="20"/>
        <v>1.0758516421791653</v>
      </c>
      <c r="S40" s="307">
        <f t="shared" ca="1" si="21"/>
        <v>19.648968712119892</v>
      </c>
      <c r="T40" s="304">
        <f t="shared" ca="1" si="1"/>
        <v>192.75638306589616</v>
      </c>
      <c r="U40" s="311">
        <f t="shared" ca="1" si="2"/>
        <v>0</v>
      </c>
      <c r="V40" s="306">
        <f t="shared" ca="1" si="3"/>
        <v>1.2244991208526781</v>
      </c>
      <c r="W40" s="304">
        <f t="shared" ca="1" si="4"/>
        <v>4.6954104667124845</v>
      </c>
      <c r="Y40" s="314" t="str">
        <f t="shared" ca="1" si="22"/>
        <v/>
      </c>
      <c r="Z40" s="315" t="str">
        <f t="shared" ca="1" si="23"/>
        <v/>
      </c>
      <c r="AA40" s="316" t="str">
        <f t="shared" ca="1" si="24"/>
        <v/>
      </c>
      <c r="AC40" s="310" t="e">
        <f t="shared" ca="1" si="25"/>
        <v>#N/A</v>
      </c>
      <c r="AD40" s="323" t="e">
        <f t="shared" ca="1" si="26"/>
        <v>#N/A</v>
      </c>
      <c r="AE40" s="324">
        <f t="shared" ca="1" si="5"/>
        <v>4.0896454549243169</v>
      </c>
      <c r="AG40" s="306">
        <f t="shared" ca="1" si="27"/>
        <v>81.34747205011081</v>
      </c>
      <c r="AH40" s="304">
        <f t="shared" ca="1" si="28"/>
        <v>90.823204406006568</v>
      </c>
    </row>
    <row r="41" spans="1:34" x14ac:dyDescent="0.2">
      <c r="A41" s="347">
        <f t="shared" ca="1" si="6"/>
        <v>0.01</v>
      </c>
      <c r="B41" s="304">
        <f t="shared" ca="1" si="7"/>
        <v>0.37000000000000016</v>
      </c>
      <c r="D41" s="306">
        <f t="shared" ca="1" si="8"/>
        <v>23.522375200606376</v>
      </c>
      <c r="E41" s="307">
        <f t="shared" ca="1" si="9"/>
        <v>77.976699363361163</v>
      </c>
      <c r="F41" s="304">
        <f t="shared" ca="1" si="10"/>
        <v>81.447331317128558</v>
      </c>
      <c r="G41" s="306">
        <f t="shared" ca="1" si="11"/>
        <v>6.9706096764413843</v>
      </c>
      <c r="H41" s="307">
        <f t="shared" ca="1" si="12"/>
        <v>25.918301921351578</v>
      </c>
      <c r="I41" s="304">
        <f t="shared" ca="1" si="13"/>
        <v>26.839295328820299</v>
      </c>
      <c r="J41" s="306">
        <f t="shared" ca="1" si="14"/>
        <v>1.1642710419184992</v>
      </c>
      <c r="K41" s="307">
        <f t="shared" ca="1" si="15"/>
        <v>4.3449296391696643</v>
      </c>
      <c r="L41" s="304">
        <f t="shared" ca="1" si="0"/>
        <v>4.4982152714587835</v>
      </c>
      <c r="M41" s="306">
        <f t="shared" ca="1" si="16"/>
        <v>1.3080676388492065</v>
      </c>
      <c r="N41" s="304">
        <f t="shared" ca="1" si="17"/>
        <v>74.946755023702337</v>
      </c>
      <c r="P41" s="310">
        <f t="shared" ca="1" si="18"/>
        <v>4</v>
      </c>
      <c r="Q41" s="304">
        <f t="shared" ca="1" si="19"/>
        <v>1789.4840000000002</v>
      </c>
      <c r="R41" s="306">
        <f t="shared" ca="1" si="20"/>
        <v>1.0761493957151624</v>
      </c>
      <c r="S41" s="307">
        <f t="shared" ca="1" si="21"/>
        <v>19.638207218162741</v>
      </c>
      <c r="T41" s="304">
        <f t="shared" ca="1" si="1"/>
        <v>192.65081281017649</v>
      </c>
      <c r="U41" s="311">
        <f t="shared" ca="1" si="2"/>
        <v>0</v>
      </c>
      <c r="V41" s="306">
        <f t="shared" ca="1" si="3"/>
        <v>1.2244678617243701</v>
      </c>
      <c r="W41" s="304">
        <f t="shared" ca="1" si="4"/>
        <v>4.9936296990875038</v>
      </c>
      <c r="Y41" s="314" t="str">
        <f t="shared" ca="1" si="22"/>
        <v/>
      </c>
      <c r="Z41" s="315" t="str">
        <f t="shared" ca="1" si="23"/>
        <v/>
      </c>
      <c r="AA41" s="316" t="str">
        <f t="shared" ca="1" si="24"/>
        <v/>
      </c>
      <c r="AC41" s="310" t="e">
        <f t="shared" ca="1" si="25"/>
        <v>#N/A</v>
      </c>
      <c r="AD41" s="323" t="e">
        <f t="shared" ca="1" si="26"/>
        <v>#N/A</v>
      </c>
      <c r="AE41" s="324">
        <f t="shared" ca="1" si="5"/>
        <v>4.3449296391696643</v>
      </c>
      <c r="AG41" s="306">
        <f t="shared" ca="1" si="27"/>
        <v>81.407746451813054</v>
      </c>
      <c r="AH41" s="304">
        <f t="shared" ca="1" si="28"/>
        <v>90.883478807708812</v>
      </c>
    </row>
    <row r="42" spans="1:34" x14ac:dyDescent="0.2">
      <c r="A42" s="347">
        <f t="shared" ca="1" si="6"/>
        <v>0.01</v>
      </c>
      <c r="B42" s="304">
        <f t="shared" ca="1" si="7"/>
        <v>0.38000000000000017</v>
      </c>
      <c r="D42" s="306">
        <f t="shared" ca="1" si="8"/>
        <v>23.619496047795995</v>
      </c>
      <c r="E42" s="307">
        <f t="shared" ca="1" si="9"/>
        <v>78.012623588568772</v>
      </c>
      <c r="F42" s="304">
        <f t="shared" ca="1" si="10"/>
        <v>81.5098155606033</v>
      </c>
      <c r="G42" s="306">
        <f t="shared" ca="1" si="11"/>
        <v>7.2068046369193439</v>
      </c>
      <c r="H42" s="307">
        <f t="shared" ca="1" si="12"/>
        <v>26.698428157237267</v>
      </c>
      <c r="I42" s="304">
        <f t="shared" ca="1" si="13"/>
        <v>27.654006927421602</v>
      </c>
      <c r="J42" s="306">
        <f t="shared" ca="1" si="14"/>
        <v>1.2351581134853029</v>
      </c>
      <c r="K42" s="307">
        <f t="shared" ca="1" si="15"/>
        <v>4.6080132895626083</v>
      </c>
      <c r="L42" s="304">
        <f t="shared" ca="1" si="0"/>
        <v>4.7706815070903845</v>
      </c>
      <c r="M42" s="306">
        <f t="shared" ca="1" si="16"/>
        <v>1.307146318513444</v>
      </c>
      <c r="N42" s="304">
        <f t="shared" ca="1" si="17"/>
        <v>74.89396725688357</v>
      </c>
      <c r="P42" s="310">
        <f t="shared" ca="1" si="18"/>
        <v>4</v>
      </c>
      <c r="Q42" s="304">
        <f t="shared" ca="1" si="19"/>
        <v>1789.9791219512197</v>
      </c>
      <c r="R42" s="306">
        <f t="shared" ca="1" si="20"/>
        <v>1.0764471492511596</v>
      </c>
      <c r="S42" s="307">
        <f t="shared" ca="1" si="21"/>
        <v>19.62744274667023</v>
      </c>
      <c r="T42" s="304">
        <f t="shared" ca="1" si="1"/>
        <v>192.54521334483496</v>
      </c>
      <c r="U42" s="311">
        <f t="shared" ca="1" si="2"/>
        <v>0</v>
      </c>
      <c r="V42" s="306">
        <f t="shared" ca="1" si="3"/>
        <v>1.2244356483990124</v>
      </c>
      <c r="W42" s="304">
        <f t="shared" ca="1" si="4"/>
        <v>5.3012565853528049</v>
      </c>
      <c r="Y42" s="314" t="str">
        <f t="shared" ca="1" si="22"/>
        <v/>
      </c>
      <c r="Z42" s="315" t="str">
        <f t="shared" ca="1" si="23"/>
        <v/>
      </c>
      <c r="AA42" s="316" t="str">
        <f t="shared" ca="1" si="24"/>
        <v/>
      </c>
      <c r="AC42" s="310" t="e">
        <f t="shared" ca="1" si="25"/>
        <v>#N/A</v>
      </c>
      <c r="AD42" s="323" t="e">
        <f t="shared" ca="1" si="26"/>
        <v>#N/A</v>
      </c>
      <c r="AE42" s="324">
        <f t="shared" ca="1" si="5"/>
        <v>4.6080132895626083</v>
      </c>
      <c r="AG42" s="306">
        <f t="shared" ca="1" si="27"/>
        <v>81.469986181072557</v>
      </c>
      <c r="AH42" s="304">
        <f t="shared" ca="1" si="28"/>
        <v>90.94335493883699</v>
      </c>
    </row>
    <row r="43" spans="1:34" x14ac:dyDescent="0.2">
      <c r="A43" s="347">
        <f t="shared" ca="1" si="6"/>
        <v>0.01</v>
      </c>
      <c r="B43" s="304">
        <f t="shared" ca="1" si="7"/>
        <v>0.39000000000000018</v>
      </c>
      <c r="D43" s="306">
        <f t="shared" ca="1" si="8"/>
        <v>23.715898614640889</v>
      </c>
      <c r="E43" s="307">
        <f t="shared" ca="1" si="9"/>
        <v>78.048246094759321</v>
      </c>
      <c r="F43" s="304">
        <f t="shared" ca="1" si="10"/>
        <v>81.571885877231253</v>
      </c>
      <c r="G43" s="306">
        <f t="shared" ca="1" si="11"/>
        <v>7.4439636230657529</v>
      </c>
      <c r="H43" s="307">
        <f t="shared" ca="1" si="12"/>
        <v>27.478910618184859</v>
      </c>
      <c r="I43" s="304">
        <f t="shared" ca="1" si="13"/>
        <v>28.469336542738731</v>
      </c>
      <c r="J43" s="306">
        <f t="shared" ca="1" si="14"/>
        <v>1.3084119547852284</v>
      </c>
      <c r="K43" s="307">
        <f t="shared" ca="1" si="15"/>
        <v>4.8788999834397186</v>
      </c>
      <c r="L43" s="304">
        <f t="shared" ca="1" si="0"/>
        <v>5.0512975453672286</v>
      </c>
      <c r="M43" s="306">
        <f t="shared" ca="1" si="16"/>
        <v>1.3062483183795843</v>
      </c>
      <c r="N43" s="304">
        <f t="shared" ca="1" si="17"/>
        <v>74.842515639211229</v>
      </c>
      <c r="P43" s="310">
        <f t="shared" ca="1" si="18"/>
        <v>4</v>
      </c>
      <c r="Q43" s="304">
        <f t="shared" ca="1" si="19"/>
        <v>1790.4742439024392</v>
      </c>
      <c r="R43" s="306">
        <f t="shared" ca="1" si="20"/>
        <v>1.0767449027871567</v>
      </c>
      <c r="S43" s="307">
        <f t="shared" ca="1" si="21"/>
        <v>19.61667529764236</v>
      </c>
      <c r="T43" s="304">
        <f t="shared" ca="1" si="1"/>
        <v>192.43958466987155</v>
      </c>
      <c r="U43" s="311">
        <f t="shared" ca="1" si="2"/>
        <v>0</v>
      </c>
      <c r="V43" s="306">
        <f t="shared" ca="1" si="3"/>
        <v>1.2244024805139193</v>
      </c>
      <c r="W43" s="304">
        <f t="shared" ca="1" si="4"/>
        <v>5.6183089665390185</v>
      </c>
      <c r="Y43" s="314" t="str">
        <f t="shared" ca="1" si="22"/>
        <v/>
      </c>
      <c r="Z43" s="315" t="str">
        <f t="shared" ca="1" si="23"/>
        <v/>
      </c>
      <c r="AA43" s="316" t="str">
        <f t="shared" ca="1" si="24"/>
        <v/>
      </c>
      <c r="AC43" s="310" t="e">
        <f t="shared" ca="1" si="25"/>
        <v>#N/A</v>
      </c>
      <c r="AD43" s="323" t="e">
        <f t="shared" ca="1" si="26"/>
        <v>#N/A</v>
      </c>
      <c r="AE43" s="324">
        <f t="shared" ca="1" si="5"/>
        <v>4.8788999834397186</v>
      </c>
      <c r="AG43" s="306">
        <f t="shared" ca="1" si="27"/>
        <v>81.531813642104652</v>
      </c>
      <c r="AH43" s="304">
        <f t="shared" ca="1" si="28"/>
        <v>91.002831021607335</v>
      </c>
    </row>
    <row r="44" spans="1:34" x14ac:dyDescent="0.2">
      <c r="A44" s="347">
        <f t="shared" ca="1" si="6"/>
        <v>0.01</v>
      </c>
      <c r="B44" s="304">
        <f t="shared" ca="1" si="7"/>
        <v>0.40000000000000019</v>
      </c>
      <c r="D44" s="306">
        <f t="shared" ca="1" si="8"/>
        <v>23.810232144883834</v>
      </c>
      <c r="E44" s="307">
        <f t="shared" ca="1" si="9"/>
        <v>78.083933129946388</v>
      </c>
      <c r="F44" s="304">
        <f t="shared" ca="1" si="10"/>
        <v>81.633496604244499</v>
      </c>
      <c r="G44" s="306">
        <f t="shared" ca="1" si="11"/>
        <v>7.6820659445145916</v>
      </c>
      <c r="H44" s="307">
        <f t="shared" ca="1" si="12"/>
        <v>28.259749949484323</v>
      </c>
      <c r="I44" s="304">
        <f t="shared" ca="1" si="13"/>
        <v>29.285279653492299</v>
      </c>
      <c r="J44" s="306">
        <f t="shared" ca="1" si="14"/>
        <v>1.3840421026231302</v>
      </c>
      <c r="K44" s="307">
        <f t="shared" ca="1" si="15"/>
        <v>5.1575932862780647</v>
      </c>
      <c r="L44" s="304">
        <f t="shared" ca="1" si="0"/>
        <v>5.3400693861123214</v>
      </c>
      <c r="M44" s="306">
        <f t="shared" ca="1" si="16"/>
        <v>1.3053724343995523</v>
      </c>
      <c r="N44" s="304">
        <f t="shared" ca="1" si="17"/>
        <v>74.792331183812266</v>
      </c>
      <c r="P44" s="310">
        <f t="shared" ca="1" si="18"/>
        <v>4</v>
      </c>
      <c r="Q44" s="304">
        <f t="shared" ca="1" si="19"/>
        <v>1790.9693658536587</v>
      </c>
      <c r="R44" s="306">
        <f t="shared" ca="1" si="20"/>
        <v>1.0770426563231537</v>
      </c>
      <c r="S44" s="307">
        <f t="shared" ca="1" si="21"/>
        <v>19.605904871079129</v>
      </c>
      <c r="T44" s="304">
        <f t="shared" ca="1" si="1"/>
        <v>192.33392678528628</v>
      </c>
      <c r="U44" s="311">
        <f t="shared" ca="1" si="2"/>
        <v>0</v>
      </c>
      <c r="V44" s="306">
        <f t="shared" ca="1" si="3"/>
        <v>1.2243683577101325</v>
      </c>
      <c r="W44" s="304">
        <f t="shared" ca="1" si="4"/>
        <v>5.9448044525023596</v>
      </c>
      <c r="Y44" s="314" t="str">
        <f t="shared" ca="1" si="22"/>
        <v/>
      </c>
      <c r="Z44" s="315" t="str">
        <f t="shared" ca="1" si="23"/>
        <v/>
      </c>
      <c r="AA44" s="316" t="str">
        <f t="shared" ca="1" si="24"/>
        <v/>
      </c>
      <c r="AC44" s="310" t="e">
        <f t="shared" ca="1" si="25"/>
        <v>#N/A</v>
      </c>
      <c r="AD44" s="323" t="e">
        <f t="shared" ca="1" si="26"/>
        <v>#N/A</v>
      </c>
      <c r="AE44" s="324">
        <f t="shared" ca="1" si="5"/>
        <v>5.1575932862780647</v>
      </c>
      <c r="AG44" s="306">
        <f t="shared" ca="1" si="27"/>
        <v>81.59318773200765</v>
      </c>
      <c r="AH44" s="304">
        <f t="shared" ca="1" si="28"/>
        <v>91.061905514022428</v>
      </c>
    </row>
    <row r="45" spans="1:34" x14ac:dyDescent="0.2">
      <c r="A45" s="347">
        <f t="shared" ca="1" si="6"/>
        <v>0.01</v>
      </c>
      <c r="B45" s="304">
        <f t="shared" ca="1" si="7"/>
        <v>0.4100000000000002</v>
      </c>
      <c r="D45" s="306">
        <f t="shared" ca="1" si="8"/>
        <v>23.902598465616226</v>
      </c>
      <c r="E45" s="307">
        <f t="shared" ca="1" si="9"/>
        <v>78.119661195315885</v>
      </c>
      <c r="F45" s="304">
        <f t="shared" ca="1" si="10"/>
        <v>81.694649021092076</v>
      </c>
      <c r="G45" s="306">
        <f t="shared" ca="1" si="11"/>
        <v>7.9210919291707542</v>
      </c>
      <c r="H45" s="307">
        <f t="shared" ca="1" si="12"/>
        <v>29.040946561437483</v>
      </c>
      <c r="I45" s="304">
        <f t="shared" ca="1" si="13"/>
        <v>30.101831747165182</v>
      </c>
      <c r="J45" s="306">
        <f t="shared" ca="1" si="14"/>
        <v>1.462057891991557</v>
      </c>
      <c r="K45" s="307">
        <f t="shared" ca="1" si="15"/>
        <v>5.444096768832674</v>
      </c>
      <c r="L45" s="304">
        <f t="shared" ca="1" si="0"/>
        <v>5.6370030076228588</v>
      </c>
      <c r="M45" s="306">
        <f t="shared" ca="1" si="16"/>
        <v>1.304517555118369</v>
      </c>
      <c r="N45" s="304">
        <f t="shared" ca="1" si="17"/>
        <v>74.743350209007289</v>
      </c>
      <c r="P45" s="310">
        <f t="shared" ca="1" si="18"/>
        <v>4</v>
      </c>
      <c r="Q45" s="304">
        <f t="shared" ca="1" si="19"/>
        <v>1791.4644878048782</v>
      </c>
      <c r="R45" s="306">
        <f t="shared" ca="1" si="20"/>
        <v>1.0773404098591508</v>
      </c>
      <c r="S45" s="307">
        <f t="shared" ca="1" si="21"/>
        <v>19.595131466980536</v>
      </c>
      <c r="T45" s="304">
        <f t="shared" ca="1" si="1"/>
        <v>192.22823969107907</v>
      </c>
      <c r="U45" s="311">
        <f t="shared" ca="1" si="2"/>
        <v>0</v>
      </c>
      <c r="V45" s="306">
        <f t="shared" ca="1" si="3"/>
        <v>1.2243332796303288</v>
      </c>
      <c r="W45" s="304">
        <f t="shared" ca="1" si="4"/>
        <v>6.2807604211552572</v>
      </c>
      <c r="Y45" s="314" t="str">
        <f t="shared" ca="1" si="22"/>
        <v/>
      </c>
      <c r="Z45" s="315" t="str">
        <f t="shared" ca="1" si="23"/>
        <v/>
      </c>
      <c r="AA45" s="316" t="str">
        <f t="shared" ca="1" si="24"/>
        <v/>
      </c>
      <c r="AC45" s="310" t="e">
        <f t="shared" ca="1" si="25"/>
        <v>#N/A</v>
      </c>
      <c r="AD45" s="323" t="e">
        <f t="shared" ca="1" si="26"/>
        <v>#N/A</v>
      </c>
      <c r="AE45" s="324">
        <f t="shared" ca="1" si="5"/>
        <v>5.444096768832674</v>
      </c>
      <c r="AG45" s="306">
        <f t="shared" ca="1" si="27"/>
        <v>81.654109418450346</v>
      </c>
      <c r="AH45" s="304">
        <f t="shared" ca="1" si="28"/>
        <v>91.120576882126471</v>
      </c>
    </row>
    <row r="46" spans="1:34" x14ac:dyDescent="0.2">
      <c r="A46" s="347">
        <f t="shared" ca="1" si="6"/>
        <v>0.01</v>
      </c>
      <c r="B46" s="304">
        <f t="shared" ca="1" si="7"/>
        <v>0.42000000000000021</v>
      </c>
      <c r="D46" s="306">
        <f t="shared" ca="1" si="8"/>
        <v>23.993091457618977</v>
      </c>
      <c r="E46" s="307">
        <f t="shared" ca="1" si="9"/>
        <v>78.155408443042774</v>
      </c>
      <c r="F46" s="304">
        <f t="shared" ca="1" si="10"/>
        <v>81.755344208146482</v>
      </c>
      <c r="G46" s="306">
        <f t="shared" ca="1" si="11"/>
        <v>8.1610228437469434</v>
      </c>
      <c r="H46" s="307">
        <f t="shared" ca="1" si="12"/>
        <v>29.822500645867912</v>
      </c>
      <c r="I46" s="304">
        <f t="shared" ca="1" si="13"/>
        <v>30.918988318328779</v>
      </c>
      <c r="J46" s="306">
        <f t="shared" ca="1" si="14"/>
        <v>1.5424684658561456</v>
      </c>
      <c r="K46" s="307">
        <f t="shared" ca="1" si="15"/>
        <v>5.7384140048692007</v>
      </c>
      <c r="L46" s="304">
        <f t="shared" ca="1" si="0"/>
        <v>5.942104362886905</v>
      </c>
      <c r="M46" s="306">
        <f t="shared" ca="1" si="16"/>
        <v>1.3036826523285014</v>
      </c>
      <c r="N46" s="304">
        <f t="shared" ca="1" si="17"/>
        <v>74.695513802844175</v>
      </c>
      <c r="P46" s="310">
        <f t="shared" ca="1" si="18"/>
        <v>4</v>
      </c>
      <c r="Q46" s="304">
        <f t="shared" ca="1" si="19"/>
        <v>1791.9596097560977</v>
      </c>
      <c r="R46" s="306">
        <f t="shared" ca="1" si="20"/>
        <v>1.077638163395148</v>
      </c>
      <c r="S46" s="307">
        <f t="shared" ca="1" si="21"/>
        <v>19.584355085346584</v>
      </c>
      <c r="T46" s="304">
        <f t="shared" ca="1" si="1"/>
        <v>192.12252338725</v>
      </c>
      <c r="U46" s="311">
        <f t="shared" ca="1" si="2"/>
        <v>0</v>
      </c>
      <c r="V46" s="306">
        <f t="shared" ca="1" si="3"/>
        <v>1.2242972459190964</v>
      </c>
      <c r="W46" s="304">
        <f t="shared" ca="1" si="4"/>
        <v>6.6261940177162568</v>
      </c>
      <c r="Y46" s="314" t="str">
        <f t="shared" ca="1" si="22"/>
        <v/>
      </c>
      <c r="Z46" s="315" t="str">
        <f t="shared" ca="1" si="23"/>
        <v/>
      </c>
      <c r="AA46" s="316" t="str">
        <f t="shared" ca="1" si="24"/>
        <v/>
      </c>
      <c r="AC46" s="310" t="e">
        <f t="shared" ca="1" si="25"/>
        <v>#N/A</v>
      </c>
      <c r="AD46" s="323" t="e">
        <f t="shared" ca="1" si="26"/>
        <v>#N/A</v>
      </c>
      <c r="AE46" s="324">
        <f t="shared" ca="1" si="5"/>
        <v>5.7384140048692007</v>
      </c>
      <c r="AG46" s="306">
        <f t="shared" ca="1" si="27"/>
        <v>81.714579492796886</v>
      </c>
      <c r="AH46" s="304">
        <f t="shared" ca="1" si="28"/>
        <v>91.178843600064425</v>
      </c>
    </row>
    <row r="47" spans="1:34" x14ac:dyDescent="0.2">
      <c r="A47" s="347">
        <f t="shared" ca="1" si="6"/>
        <v>0.01</v>
      </c>
      <c r="B47" s="304">
        <f t="shared" ca="1" si="7"/>
        <v>0.43000000000000022</v>
      </c>
      <c r="D47" s="306">
        <f t="shared" ca="1" si="8"/>
        <v>24.081797861286599</v>
      </c>
      <c r="E47" s="307">
        <f t="shared" ca="1" si="9"/>
        <v>78.191154514860429</v>
      </c>
      <c r="F47" s="304">
        <f t="shared" ca="1" si="10"/>
        <v>81.81558306703343</v>
      </c>
      <c r="G47" s="306">
        <f t="shared" ca="1" si="11"/>
        <v>8.4018408223598087</v>
      </c>
      <c r="H47" s="307">
        <f t="shared" ca="1" si="12"/>
        <v>30.604412191016515</v>
      </c>
      <c r="I47" s="304">
        <f t="shared" ca="1" si="13"/>
        <v>31.736744867139606</v>
      </c>
      <c r="J47" s="306">
        <f t="shared" ca="1" si="14"/>
        <v>1.6252827841866793</v>
      </c>
      <c r="K47" s="307">
        <f t="shared" ca="1" si="15"/>
        <v>6.0405485690536231</v>
      </c>
      <c r="L47" s="304">
        <f t="shared" ca="1" si="0"/>
        <v>6.2553793764782473</v>
      </c>
      <c r="M47" s="306">
        <f t="shared" ca="1" si="16"/>
        <v>1.3028667728806342</v>
      </c>
      <c r="N47" s="304">
        <f t="shared" ca="1" si="17"/>
        <v>74.648767353889923</v>
      </c>
      <c r="P47" s="310">
        <f t="shared" ca="1" si="18"/>
        <v>4</v>
      </c>
      <c r="Q47" s="304">
        <f t="shared" ca="1" si="19"/>
        <v>1792.4547317073173</v>
      </c>
      <c r="R47" s="306">
        <f t="shared" ca="1" si="20"/>
        <v>1.0779359169311449</v>
      </c>
      <c r="S47" s="307">
        <f t="shared" ca="1" si="21"/>
        <v>19.573575726177271</v>
      </c>
      <c r="T47" s="304">
        <f t="shared" ca="1" si="1"/>
        <v>192.01677787379904</v>
      </c>
      <c r="U47" s="311">
        <f t="shared" ca="1" si="2"/>
        <v>0</v>
      </c>
      <c r="V47" s="306">
        <f t="shared" ca="1" si="3"/>
        <v>1.2242602562232017</v>
      </c>
      <c r="W47" s="304">
        <f t="shared" ca="1" si="4"/>
        <v>6.9811221539277533</v>
      </c>
      <c r="Y47" s="314" t="str">
        <f t="shared" ca="1" si="22"/>
        <v/>
      </c>
      <c r="Z47" s="315" t="str">
        <f t="shared" ca="1" si="23"/>
        <v/>
      </c>
      <c r="AA47" s="316" t="str">
        <f t="shared" ca="1" si="24"/>
        <v/>
      </c>
      <c r="AC47" s="310" t="e">
        <f t="shared" ca="1" si="25"/>
        <v>#N/A</v>
      </c>
      <c r="AD47" s="323" t="e">
        <f t="shared" ca="1" si="26"/>
        <v>#N/A</v>
      </c>
      <c r="AE47" s="324">
        <f t="shared" ca="1" si="5"/>
        <v>6.0405485690536231</v>
      </c>
      <c r="AG47" s="306">
        <f t="shared" ca="1" si="27"/>
        <v>81.774598588214815</v>
      </c>
      <c r="AH47" s="304">
        <f t="shared" ca="1" si="28"/>
        <v>91.236704150140184</v>
      </c>
    </row>
    <row r="48" spans="1:34" x14ac:dyDescent="0.2">
      <c r="A48" s="347">
        <f t="shared" ca="1" si="6"/>
        <v>0.01</v>
      </c>
      <c r="B48" s="304">
        <f t="shared" ca="1" si="7"/>
        <v>0.44000000000000022</v>
      </c>
      <c r="D48" s="306">
        <f t="shared" ca="1" si="8"/>
        <v>24.168797982553329</v>
      </c>
      <c r="E48" s="307">
        <f t="shared" ca="1" si="9"/>
        <v>78.226880400183546</v>
      </c>
      <c r="F48" s="304">
        <f t="shared" ca="1" si="10"/>
        <v>81.875366338515363</v>
      </c>
      <c r="G48" s="306">
        <f t="shared" ca="1" si="11"/>
        <v>8.643528802185342</v>
      </c>
      <c r="H48" s="307">
        <f t="shared" ca="1" si="12"/>
        <v>31.386680995018349</v>
      </c>
      <c r="I48" s="304">
        <f t="shared" ca="1" si="13"/>
        <v>32.555096897985933</v>
      </c>
      <c r="J48" s="306">
        <f t="shared" ca="1" si="14"/>
        <v>1.7105096323094051</v>
      </c>
      <c r="K48" s="307">
        <f t="shared" ca="1" si="15"/>
        <v>6.3505040349837971</v>
      </c>
      <c r="L48" s="304">
        <f t="shared" ca="1" si="0"/>
        <v>6.5768339419943347</v>
      </c>
      <c r="M48" s="306">
        <f t="shared" ca="1" si="16"/>
        <v>1.3020690314827041</v>
      </c>
      <c r="N48" s="304">
        <f t="shared" ca="1" si="17"/>
        <v>74.60306013864566</v>
      </c>
      <c r="P48" s="310">
        <f t="shared" ca="1" si="18"/>
        <v>4</v>
      </c>
      <c r="Q48" s="304">
        <f t="shared" ca="1" si="19"/>
        <v>1792.9498536585368</v>
      </c>
      <c r="R48" s="306">
        <f t="shared" ca="1" si="20"/>
        <v>1.078233670467142</v>
      </c>
      <c r="S48" s="307">
        <f t="shared" ca="1" si="21"/>
        <v>19.562793389472599</v>
      </c>
      <c r="T48" s="304">
        <f t="shared" ca="1" si="1"/>
        <v>191.9110031507262</v>
      </c>
      <c r="U48" s="311">
        <f t="shared" ca="1" si="2"/>
        <v>0</v>
      </c>
      <c r="V48" s="306">
        <f t="shared" ca="1" si="3"/>
        <v>1.2242223101918277</v>
      </c>
      <c r="W48" s="304">
        <f t="shared" ca="1" si="4"/>
        <v>7.345561507245514</v>
      </c>
      <c r="Y48" s="314" t="str">
        <f t="shared" ca="1" si="22"/>
        <v/>
      </c>
      <c r="Z48" s="315" t="str">
        <f t="shared" ca="1" si="23"/>
        <v/>
      </c>
      <c r="AA48" s="316" t="str">
        <f t="shared" ca="1" si="24"/>
        <v/>
      </c>
      <c r="AC48" s="310" t="e">
        <f t="shared" ca="1" si="25"/>
        <v>#N/A</v>
      </c>
      <c r="AD48" s="323" t="e">
        <f t="shared" ca="1" si="26"/>
        <v>#N/A</v>
      </c>
      <c r="AE48" s="324">
        <f t="shared" ca="1" si="5"/>
        <v>6.3505040349837971</v>
      </c>
      <c r="AG48" s="306">
        <f t="shared" ca="1" si="27"/>
        <v>81.834167195604721</v>
      </c>
      <c r="AH48" s="304">
        <f t="shared" ca="1" si="28"/>
        <v>91.29415702287686</v>
      </c>
    </row>
    <row r="49" spans="1:34" x14ac:dyDescent="0.2">
      <c r="A49" s="347">
        <f t="shared" ca="1" si="6"/>
        <v>0.01</v>
      </c>
      <c r="B49" s="304">
        <f t="shared" ca="1" si="7"/>
        <v>0.45000000000000023</v>
      </c>
      <c r="D49" s="306">
        <f t="shared" ca="1" si="8"/>
        <v>24.254166313390147</v>
      </c>
      <c r="E49" s="307">
        <f t="shared" ca="1" si="9"/>
        <v>78.262568310992165</v>
      </c>
      <c r="F49" s="304">
        <f t="shared" ca="1" si="10"/>
        <v>81.934694618276964</v>
      </c>
      <c r="G49" s="306">
        <f t="shared" ca="1" si="11"/>
        <v>8.8860704653192428</v>
      </c>
      <c r="H49" s="307">
        <f t="shared" ca="1" si="12"/>
        <v>32.169306678128272</v>
      </c>
      <c r="I49" s="304">
        <f t="shared" ca="1" si="13"/>
        <v>33.374039918267123</v>
      </c>
      <c r="J49" s="306">
        <f t="shared" ca="1" si="14"/>
        <v>1.7981576286469281</v>
      </c>
      <c r="K49" s="307">
        <f t="shared" ca="1" si="15"/>
        <v>6.6682839733495305</v>
      </c>
      <c r="L49" s="304">
        <f t="shared" ca="1" si="0"/>
        <v>6.9064739199313099</v>
      </c>
      <c r="M49" s="306">
        <f t="shared" ca="1" si="16"/>
        <v>1.3012886043469514</v>
      </c>
      <c r="N49" s="304">
        <f t="shared" ca="1" si="17"/>
        <v>74.558344957549551</v>
      </c>
      <c r="P49" s="310">
        <f t="shared" ca="1" si="18"/>
        <v>4</v>
      </c>
      <c r="Q49" s="304">
        <f t="shared" ca="1" si="19"/>
        <v>1793.4449756097563</v>
      </c>
      <c r="R49" s="306">
        <f t="shared" ca="1" si="20"/>
        <v>1.0785314240031392</v>
      </c>
      <c r="S49" s="307">
        <f t="shared" ca="1" si="21"/>
        <v>19.552008075232568</v>
      </c>
      <c r="T49" s="304">
        <f t="shared" ca="1" si="1"/>
        <v>191.8051992180315</v>
      </c>
      <c r="U49" s="311">
        <f t="shared" ca="1" si="2"/>
        <v>0</v>
      </c>
      <c r="V49" s="306">
        <f t="shared" ca="1" si="3"/>
        <v>1.2241834074768063</v>
      </c>
      <c r="W49" s="304">
        <f t="shared" ca="1" si="4"/>
        <v>7.7195285200037524</v>
      </c>
      <c r="Y49" s="314" t="str">
        <f t="shared" ca="1" si="22"/>
        <v/>
      </c>
      <c r="Z49" s="315" t="str">
        <f t="shared" ca="1" si="23"/>
        <v/>
      </c>
      <c r="AA49" s="316" t="str">
        <f t="shared" ca="1" si="24"/>
        <v/>
      </c>
      <c r="AC49" s="310" t="e">
        <f t="shared" ca="1" si="25"/>
        <v>#N/A</v>
      </c>
      <c r="AD49" s="323" t="e">
        <f t="shared" ca="1" si="26"/>
        <v>#N/A</v>
      </c>
      <c r="AE49" s="324">
        <f t="shared" ca="1" si="5"/>
        <v>6.6682839733495305</v>
      </c>
      <c r="AG49" s="306">
        <f t="shared" ca="1" si="27"/>
        <v>81.893285677661808</v>
      </c>
      <c r="AH49" s="304">
        <f t="shared" ca="1" si="28"/>
        <v>91.351200717078541</v>
      </c>
    </row>
    <row r="50" spans="1:34" x14ac:dyDescent="0.2">
      <c r="A50" s="347">
        <f t="shared" ca="1" si="6"/>
        <v>0.01</v>
      </c>
      <c r="B50" s="304">
        <f t="shared" ca="1" si="7"/>
        <v>0.46000000000000024</v>
      </c>
      <c r="D50" s="306">
        <f t="shared" ca="1" si="8"/>
        <v>24.34551145060556</v>
      </c>
      <c r="E50" s="307">
        <f t="shared" ca="1" si="9"/>
        <v>78.325495565449245</v>
      </c>
      <c r="F50" s="304">
        <f t="shared" ca="1" si="10"/>
        <v>82.021870152812141</v>
      </c>
      <c r="G50" s="306">
        <f t="shared" ca="1" si="11"/>
        <v>9.1295255798252981</v>
      </c>
      <c r="H50" s="307">
        <f t="shared" ca="1" si="12"/>
        <v>32.952561633782764</v>
      </c>
      <c r="I50" s="304">
        <f t="shared" ca="1" si="13"/>
        <v>34.193852598689958</v>
      </c>
      <c r="J50" s="306">
        <f t="shared" ca="1" si="14"/>
        <v>1.8882356088726509</v>
      </c>
      <c r="K50" s="307">
        <f t="shared" ca="1" si="15"/>
        <v>6.9938933149090854</v>
      </c>
      <c r="L50" s="304">
        <f t="shared" ca="1" si="0"/>
        <v>7.244306551695936</v>
      </c>
      <c r="M50" s="306">
        <f t="shared" ca="1" si="16"/>
        <v>1.3005247298932374</v>
      </c>
      <c r="N50" s="304">
        <f t="shared" ca="1" si="17"/>
        <v>74.514578175273869</v>
      </c>
      <c r="P50" s="310">
        <f t="shared" ca="1" si="18"/>
        <v>5</v>
      </c>
      <c r="Q50" s="304">
        <f t="shared" ca="1" si="19"/>
        <v>1794.4931255411257</v>
      </c>
      <c r="R50" s="306">
        <f t="shared" ca="1" si="20"/>
        <v>1.0791617542632934</v>
      </c>
      <c r="S50" s="307">
        <f t="shared" ca="1" si="21"/>
        <v>19.541216457689934</v>
      </c>
      <c r="T50" s="304">
        <f t="shared" ca="1" si="1"/>
        <v>191.69933344993825</v>
      </c>
      <c r="U50" s="311">
        <f t="shared" ca="1" si="2"/>
        <v>0</v>
      </c>
      <c r="V50" s="306">
        <f t="shared" ca="1" si="3"/>
        <v>1.2241435475657714</v>
      </c>
      <c r="W50" s="304">
        <f t="shared" ca="1" si="4"/>
        <v>8.1031736026567707</v>
      </c>
      <c r="Y50" s="314" t="str">
        <f t="shared" ca="1" si="22"/>
        <v/>
      </c>
      <c r="Z50" s="315" t="str">
        <f t="shared" ca="1" si="23"/>
        <v/>
      </c>
      <c r="AA50" s="316" t="str">
        <f t="shared" ca="1" si="24"/>
        <v/>
      </c>
      <c r="AC50" s="310" t="e">
        <f t="shared" ca="1" si="25"/>
        <v>#N/A</v>
      </c>
      <c r="AD50" s="323" t="e">
        <f t="shared" ca="1" si="26"/>
        <v>#N/A</v>
      </c>
      <c r="AE50" s="324">
        <f t="shared" ca="1" si="5"/>
        <v>6.9938933149090854</v>
      </c>
      <c r="AG50" s="306">
        <f t="shared" ca="1" si="27"/>
        <v>81.980270429534869</v>
      </c>
      <c r="AH50" s="304">
        <f t="shared" ca="1" si="28"/>
        <v>91.43614988809891</v>
      </c>
    </row>
    <row r="51" spans="1:34" x14ac:dyDescent="0.2">
      <c r="A51" s="347">
        <f t="shared" ca="1" si="6"/>
        <v>0.01</v>
      </c>
      <c r="B51" s="304">
        <f t="shared" ca="1" si="7"/>
        <v>0.47000000000000025</v>
      </c>
      <c r="D51" s="306">
        <f t="shared" ca="1" si="8"/>
        <v>24.437301391206294</v>
      </c>
      <c r="E51" s="307">
        <f t="shared" ca="1" si="9"/>
        <v>78.395205540643246</v>
      </c>
      <c r="F51" s="304">
        <f t="shared" ca="1" si="10"/>
        <v>82.115710744317099</v>
      </c>
      <c r="G51" s="306">
        <f t="shared" ca="1" si="11"/>
        <v>9.3738985937373602</v>
      </c>
      <c r="H51" s="307">
        <f t="shared" ca="1" si="12"/>
        <v>33.736513689189195</v>
      </c>
      <c r="I51" s="304">
        <f t="shared" ca="1" si="13"/>
        <v>35.014601679106981</v>
      </c>
      <c r="J51" s="306">
        <f t="shared" ca="1" si="14"/>
        <v>1.9807527297404641</v>
      </c>
      <c r="K51" s="307">
        <f t="shared" ca="1" si="15"/>
        <v>7.3273386915239449</v>
      </c>
      <c r="L51" s="304">
        <f t="shared" ca="1" si="0"/>
        <v>7.5903408142637536</v>
      </c>
      <c r="M51" s="306">
        <f t="shared" ca="1" si="16"/>
        <v>1.299776698142463</v>
      </c>
      <c r="N51" s="304">
        <f t="shared" ca="1" si="17"/>
        <v>74.471719113012725</v>
      </c>
      <c r="P51" s="310">
        <f t="shared" ca="1" si="18"/>
        <v>5</v>
      </c>
      <c r="Q51" s="304">
        <f t="shared" ca="1" si="19"/>
        <v>1795.6795324675327</v>
      </c>
      <c r="R51" s="306">
        <f t="shared" ca="1" si="20"/>
        <v>1.0798752287044873</v>
      </c>
      <c r="S51" s="307">
        <f t="shared" ca="1" si="21"/>
        <v>19.53041770540289</v>
      </c>
      <c r="T51" s="304">
        <f t="shared" ca="1" si="1"/>
        <v>191.59339769000235</v>
      </c>
      <c r="U51" s="311">
        <f t="shared" ca="1" si="2"/>
        <v>0</v>
      </c>
      <c r="V51" s="306">
        <f t="shared" ca="1" si="3"/>
        <v>1.2241027297404428</v>
      </c>
      <c r="W51" s="304">
        <f t="shared" ca="1" si="4"/>
        <v>8.4965569367506362</v>
      </c>
      <c r="Y51" s="314" t="str">
        <f t="shared" ca="1" si="22"/>
        <v/>
      </c>
      <c r="Z51" s="315" t="str">
        <f t="shared" ca="1" si="23"/>
        <v/>
      </c>
      <c r="AA51" s="316" t="str">
        <f t="shared" ca="1" si="24"/>
        <v/>
      </c>
      <c r="AC51" s="310" t="e">
        <f t="shared" ca="1" si="25"/>
        <v>#N/A</v>
      </c>
      <c r="AD51" s="323" t="e">
        <f t="shared" ca="1" si="26"/>
        <v>#N/A</v>
      </c>
      <c r="AE51" s="324">
        <f t="shared" ca="1" si="5"/>
        <v>7.3273386915239449</v>
      </c>
      <c r="AG51" s="306">
        <f t="shared" ca="1" si="27"/>
        <v>82.073928418102653</v>
      </c>
      <c r="AH51" s="304">
        <f t="shared" ca="1" si="28"/>
        <v>91.527809892686591</v>
      </c>
    </row>
    <row r="52" spans="1:34" x14ac:dyDescent="0.2">
      <c r="A52" s="347">
        <f t="shared" ca="1" si="6"/>
        <v>0.01</v>
      </c>
      <c r="B52" s="304">
        <f t="shared" ca="1" si="7"/>
        <v>0.48000000000000026</v>
      </c>
      <c r="D52" s="306">
        <f t="shared" ca="1" si="8"/>
        <v>24.52771606242716</v>
      </c>
      <c r="E52" s="307">
        <f t="shared" ca="1" si="9"/>
        <v>78.464864553949084</v>
      </c>
      <c r="F52" s="304">
        <f t="shared" ca="1" si="10"/>
        <v>82.209146843332604</v>
      </c>
      <c r="G52" s="306">
        <f t="shared" ca="1" si="11"/>
        <v>9.6191757543616312</v>
      </c>
      <c r="H52" s="307">
        <f t="shared" ca="1" si="12"/>
        <v>34.521162334728686</v>
      </c>
      <c r="I52" s="304">
        <f t="shared" ca="1" si="13"/>
        <v>35.836283165724502</v>
      </c>
      <c r="J52" s="306">
        <f t="shared" ca="1" si="14"/>
        <v>2.0757181014809589</v>
      </c>
      <c r="K52" s="307">
        <f t="shared" ca="1" si="15"/>
        <v>7.6686270716435345</v>
      </c>
      <c r="L52" s="304">
        <f t="shared" ca="1" si="0"/>
        <v>7.9445860056241955</v>
      </c>
      <c r="M52" s="306">
        <f t="shared" ca="1" si="16"/>
        <v>1.2990438446742598</v>
      </c>
      <c r="N52" s="304">
        <f t="shared" ca="1" si="17"/>
        <v>74.429729702283154</v>
      </c>
      <c r="P52" s="310">
        <f t="shared" ca="1" si="18"/>
        <v>5</v>
      </c>
      <c r="Q52" s="304">
        <f t="shared" ca="1" si="19"/>
        <v>1796.8659393939395</v>
      </c>
      <c r="R52" s="306">
        <f t="shared" ca="1" si="20"/>
        <v>1.0805887031456809</v>
      </c>
      <c r="S52" s="307">
        <f t="shared" ca="1" si="21"/>
        <v>19.519611818371434</v>
      </c>
      <c r="T52" s="304">
        <f t="shared" ca="1" si="1"/>
        <v>191.48739193822377</v>
      </c>
      <c r="U52" s="311">
        <f t="shared" ca="1" si="2"/>
        <v>0</v>
      </c>
      <c r="V52" s="306">
        <f t="shared" ca="1" si="3"/>
        <v>1.2240609532436928</v>
      </c>
      <c r="W52" s="304">
        <f t="shared" ca="1" si="4"/>
        <v>8.8997065876580699</v>
      </c>
      <c r="Y52" s="314" t="str">
        <f t="shared" ca="1" si="22"/>
        <v/>
      </c>
      <c r="Z52" s="315" t="str">
        <f t="shared" ca="1" si="23"/>
        <v/>
      </c>
      <c r="AA52" s="316" t="str">
        <f t="shared" ca="1" si="24"/>
        <v/>
      </c>
      <c r="AC52" s="310" t="e">
        <f t="shared" ca="1" si="25"/>
        <v>#N/A</v>
      </c>
      <c r="AD52" s="323" t="e">
        <f t="shared" ca="1" si="26"/>
        <v>#N/A</v>
      </c>
      <c r="AE52" s="324">
        <f t="shared" ca="1" si="5"/>
        <v>7.6686270716435345</v>
      </c>
      <c r="AG52" s="306">
        <f t="shared" ca="1" si="27"/>
        <v>82.167186324629114</v>
      </c>
      <c r="AH52" s="304">
        <f t="shared" ca="1" si="28"/>
        <v>91.619105907322108</v>
      </c>
    </row>
    <row r="53" spans="1:34" x14ac:dyDescent="0.2">
      <c r="A53" s="347">
        <f t="shared" ca="1" si="6"/>
        <v>0.01</v>
      </c>
      <c r="B53" s="304">
        <f t="shared" ca="1" si="7"/>
        <v>0.49000000000000027</v>
      </c>
      <c r="D53" s="306">
        <f t="shared" ca="1" si="8"/>
        <v>24.616809464721097</v>
      </c>
      <c r="E53" s="307">
        <f t="shared" ca="1" si="9"/>
        <v>78.534458755667984</v>
      </c>
      <c r="F53" s="304">
        <f t="shared" ca="1" si="10"/>
        <v>82.302178101603715</v>
      </c>
      <c r="G53" s="306">
        <f t="shared" ca="1" si="11"/>
        <v>9.865343849008843</v>
      </c>
      <c r="H53" s="307">
        <f t="shared" ca="1" si="12"/>
        <v>35.306506922285365</v>
      </c>
      <c r="I53" s="304">
        <f t="shared" ca="1" si="13"/>
        <v>36.658893059018581</v>
      </c>
      <c r="J53" s="306">
        <f t="shared" ca="1" si="14"/>
        <v>2.1731406994978113</v>
      </c>
      <c r="K53" s="307">
        <f t="shared" ca="1" si="15"/>
        <v>8.0177654179286044</v>
      </c>
      <c r="L53" s="304">
        <f t="shared" ca="1" si="0"/>
        <v>8.3070513900388079</v>
      </c>
      <c r="M53" s="306">
        <f t="shared" ca="1" si="16"/>
        <v>1.2983255467720733</v>
      </c>
      <c r="N53" s="304">
        <f t="shared" ca="1" si="17"/>
        <v>74.388574264054768</v>
      </c>
      <c r="P53" s="310">
        <f t="shared" ca="1" si="18"/>
        <v>5</v>
      </c>
      <c r="Q53" s="304">
        <f t="shared" ca="1" si="19"/>
        <v>1798.0523463203465</v>
      </c>
      <c r="R53" s="306">
        <f t="shared" ca="1" si="20"/>
        <v>1.0813021775868745</v>
      </c>
      <c r="S53" s="307">
        <f t="shared" ca="1" si="21"/>
        <v>19.508798796595567</v>
      </c>
      <c r="T53" s="304">
        <f t="shared" ca="1" si="1"/>
        <v>191.38131619460253</v>
      </c>
      <c r="U53" s="311">
        <f t="shared" ca="1" si="2"/>
        <v>0</v>
      </c>
      <c r="V53" s="306">
        <f t="shared" ca="1" si="3"/>
        <v>1.2240182173214644</v>
      </c>
      <c r="W53" s="304">
        <f t="shared" ca="1" si="4"/>
        <v>9.3126504211087671</v>
      </c>
      <c r="Y53" s="314" t="str">
        <f t="shared" ca="1" si="22"/>
        <v/>
      </c>
      <c r="Z53" s="315" t="str">
        <f t="shared" ca="1" si="23"/>
        <v/>
      </c>
      <c r="AA53" s="316" t="str">
        <f t="shared" ca="1" si="24"/>
        <v/>
      </c>
      <c r="AC53" s="310" t="e">
        <f t="shared" ca="1" si="25"/>
        <v>#N/A</v>
      </c>
      <c r="AD53" s="323" t="e">
        <f t="shared" ca="1" si="26"/>
        <v>#N/A</v>
      </c>
      <c r="AE53" s="324">
        <f t="shared" ca="1" si="5"/>
        <v>8.0177654179286044</v>
      </c>
      <c r="AG53" s="306">
        <f t="shared" ca="1" si="27"/>
        <v>82.260043618216486</v>
      </c>
      <c r="AH53" s="304">
        <f t="shared" ca="1" si="28"/>
        <v>91.710035988730837</v>
      </c>
    </row>
    <row r="54" spans="1:34" x14ac:dyDescent="0.2">
      <c r="A54" s="347">
        <f t="shared" ca="1" si="6"/>
        <v>0.01</v>
      </c>
      <c r="B54" s="304">
        <f t="shared" ca="1" si="7"/>
        <v>0.50000000000000022</v>
      </c>
      <c r="D54" s="306">
        <f t="shared" ca="1" si="8"/>
        <v>24.704632115254583</v>
      </c>
      <c r="E54" s="307">
        <f t="shared" ca="1" si="9"/>
        <v>78.603975036195166</v>
      </c>
      <c r="F54" s="304">
        <f t="shared" ca="1" si="10"/>
        <v>82.394804080359705</v>
      </c>
      <c r="G54" s="306">
        <f t="shared" ca="1" si="11"/>
        <v>10.112390170161389</v>
      </c>
      <c r="H54" s="307">
        <f t="shared" ca="1" si="12"/>
        <v>36.092546672647316</v>
      </c>
      <c r="I54" s="304">
        <f t="shared" ca="1" si="13"/>
        <v>37.482427352971705</v>
      </c>
      <c r="J54" s="306">
        <f t="shared" ca="1" si="14"/>
        <v>2.2730293695936625</v>
      </c>
      <c r="K54" s="307">
        <f t="shared" ca="1" si="15"/>
        <v>8.3747606859032686</v>
      </c>
      <c r="L54" s="304">
        <f t="shared" ca="1" si="0"/>
        <v>8.6777461970944021</v>
      </c>
      <c r="M54" s="306">
        <f t="shared" ca="1" si="16"/>
        <v>1.2976212199698456</v>
      </c>
      <c r="N54" s="304">
        <f t="shared" ca="1" si="17"/>
        <v>74.348219310889164</v>
      </c>
      <c r="P54" s="310">
        <f t="shared" ca="1" si="18"/>
        <v>5</v>
      </c>
      <c r="Q54" s="304">
        <f t="shared" ca="1" si="19"/>
        <v>1799.2387532467533</v>
      </c>
      <c r="R54" s="306">
        <f t="shared" ca="1" si="20"/>
        <v>1.0820156520280682</v>
      </c>
      <c r="S54" s="307">
        <f t="shared" ca="1" si="21"/>
        <v>19.497978640075285</v>
      </c>
      <c r="T54" s="304">
        <f t="shared" ca="1" si="1"/>
        <v>191.27517045913856</v>
      </c>
      <c r="U54" s="311">
        <f t="shared" ca="1" si="2"/>
        <v>0</v>
      </c>
      <c r="V54" s="306">
        <f t="shared" ca="1" si="3"/>
        <v>1.2239745212229443</v>
      </c>
      <c r="W54" s="304">
        <f t="shared" ca="1" si="4"/>
        <v>9.7354161016885588</v>
      </c>
      <c r="Y54" s="314" t="str">
        <f t="shared" ca="1" si="22"/>
        <v/>
      </c>
      <c r="Z54" s="315" t="str">
        <f t="shared" ca="1" si="23"/>
        <v/>
      </c>
      <c r="AA54" s="316" t="str">
        <f t="shared" ca="1" si="24"/>
        <v/>
      </c>
      <c r="AC54" s="310" t="e">
        <f t="shared" ca="1" si="25"/>
        <v>#N/A</v>
      </c>
      <c r="AD54" s="323" t="e">
        <f t="shared" ca="1" si="26"/>
        <v>#N/A</v>
      </c>
      <c r="AE54" s="324">
        <f t="shared" ca="1" si="5"/>
        <v>8.3747606859032686</v>
      </c>
      <c r="AG54" s="306">
        <f t="shared" ca="1" si="27"/>
        <v>82.352499688261062</v>
      </c>
      <c r="AH54" s="304">
        <f t="shared" ca="1" si="28"/>
        <v>91.800598198764533</v>
      </c>
    </row>
    <row r="55" spans="1:34" x14ac:dyDescent="0.2">
      <c r="A55" s="347">
        <f t="shared" ca="1" si="6"/>
        <v>0.01</v>
      </c>
      <c r="B55" s="304">
        <f t="shared" ca="1" si="7"/>
        <v>0.51000000000000023</v>
      </c>
      <c r="D55" s="306">
        <f t="shared" ca="1" si="8"/>
        <v>24.791231338529784</v>
      </c>
      <c r="E55" s="307">
        <f t="shared" ca="1" si="9"/>
        <v>78.673400966717509</v>
      </c>
      <c r="F55" s="304">
        <f t="shared" ca="1" si="10"/>
        <v>82.487024258063826</v>
      </c>
      <c r="G55" s="306">
        <f t="shared" ca="1" si="11"/>
        <v>10.360302483546686</v>
      </c>
      <c r="H55" s="307">
        <f t="shared" ca="1" si="12"/>
        <v>36.879280682314494</v>
      </c>
      <c r="I55" s="304">
        <f t="shared" ca="1" si="13"/>
        <v>38.306882034374951</v>
      </c>
      <c r="J55" s="306">
        <f t="shared" ca="1" si="14"/>
        <v>2.3753928328622029</v>
      </c>
      <c r="K55" s="307">
        <f t="shared" ca="1" si="15"/>
        <v>8.7396198226780779</v>
      </c>
      <c r="L55" s="304">
        <f t="shared" ca="1" si="0"/>
        <v>9.0566796208853884</v>
      </c>
      <c r="M55" s="306">
        <f t="shared" ca="1" si="16"/>
        <v>1.2969303149509295</v>
      </c>
      <c r="N55" s="304">
        <f t="shared" ca="1" si="17"/>
        <v>74.308633369260875</v>
      </c>
      <c r="P55" s="310">
        <f t="shared" ca="1" si="18"/>
        <v>5</v>
      </c>
      <c r="Q55" s="304">
        <f t="shared" ca="1" si="19"/>
        <v>1800.4251601731603</v>
      </c>
      <c r="R55" s="306">
        <f t="shared" ca="1" si="20"/>
        <v>1.082729126469262</v>
      </c>
      <c r="S55" s="307">
        <f t="shared" ca="1" si="21"/>
        <v>19.487151348810592</v>
      </c>
      <c r="T55" s="304">
        <f t="shared" ca="1" si="1"/>
        <v>191.16895473183192</v>
      </c>
      <c r="U55" s="311">
        <f t="shared" ca="1" si="2"/>
        <v>0</v>
      </c>
      <c r="V55" s="306">
        <f t="shared" ca="1" si="3"/>
        <v>1.2239298642007241</v>
      </c>
      <c r="W55" s="304">
        <f t="shared" ca="1" si="4"/>
        <v>10.168031091324414</v>
      </c>
      <c r="Y55" s="314" t="str">
        <f t="shared" ca="1" si="22"/>
        <v/>
      </c>
      <c r="Z55" s="315" t="str">
        <f t="shared" ca="1" si="23"/>
        <v/>
      </c>
      <c r="AA55" s="316" t="str">
        <f t="shared" ca="1" si="24"/>
        <v/>
      </c>
      <c r="AC55" s="310" t="e">
        <f t="shared" ca="1" si="25"/>
        <v>#N/A</v>
      </c>
      <c r="AD55" s="323" t="e">
        <f t="shared" ca="1" si="26"/>
        <v>#N/A</v>
      </c>
      <c r="AE55" s="324">
        <f t="shared" ca="1" si="5"/>
        <v>8.7396198226780779</v>
      </c>
      <c r="AG55" s="306">
        <f t="shared" ca="1" si="27"/>
        <v>82.444553851342093</v>
      </c>
      <c r="AH55" s="304">
        <f t="shared" ca="1" si="28"/>
        <v>91.890790604485531</v>
      </c>
    </row>
    <row r="56" spans="1:34" x14ac:dyDescent="0.2">
      <c r="A56" s="347">
        <f t="shared" ca="1" si="6"/>
        <v>0.01</v>
      </c>
      <c r="B56" s="304">
        <f t="shared" ca="1" si="7"/>
        <v>0.52000000000000024</v>
      </c>
      <c r="D56" s="306">
        <f t="shared" ca="1" si="8"/>
        <v>24.876651527239467</v>
      </c>
      <c r="E56" s="307">
        <f t="shared" ca="1" si="9"/>
        <v>78.742724745843802</v>
      </c>
      <c r="F56" s="304">
        <f t="shared" ca="1" si="10"/>
        <v>82.578838037401738</v>
      </c>
      <c r="G56" s="306">
        <f t="shared" ca="1" si="11"/>
        <v>10.609068998819081</v>
      </c>
      <c r="H56" s="307">
        <f t="shared" ca="1" si="12"/>
        <v>37.666707929772933</v>
      </c>
      <c r="I56" s="304">
        <f t="shared" ca="1" si="13"/>
        <v>39.132253082189415</v>
      </c>
      <c r="J56" s="306">
        <f t="shared" ca="1" si="14"/>
        <v>2.4802396902740318</v>
      </c>
      <c r="K56" s="307">
        <f t="shared" ca="1" si="15"/>
        <v>9.1123497657385144</v>
      </c>
      <c r="L56" s="304">
        <f t="shared" ca="1" si="0"/>
        <v>9.4438608193029498</v>
      </c>
      <c r="M56" s="306">
        <f t="shared" ca="1" si="16"/>
        <v>1.2962523147568263</v>
      </c>
      <c r="N56" s="304">
        <f t="shared" ca="1" si="17"/>
        <v>74.269786819629715</v>
      </c>
      <c r="P56" s="310">
        <f t="shared" ca="1" si="18"/>
        <v>5</v>
      </c>
      <c r="Q56" s="304">
        <f t="shared" ca="1" si="19"/>
        <v>1801.6115670995673</v>
      </c>
      <c r="R56" s="306">
        <f t="shared" ca="1" si="20"/>
        <v>1.0834426009104559</v>
      </c>
      <c r="S56" s="307">
        <f t="shared" ca="1" si="21"/>
        <v>19.476316922801487</v>
      </c>
      <c r="T56" s="304">
        <f t="shared" ca="1" si="1"/>
        <v>191.06266901268259</v>
      </c>
      <c r="U56" s="311">
        <f t="shared" ca="1" si="2"/>
        <v>0</v>
      </c>
      <c r="V56" s="306">
        <f t="shared" ca="1" si="3"/>
        <v>1.2238842455109549</v>
      </c>
      <c r="W56" s="304">
        <f t="shared" ca="1" si="4"/>
        <v>10.610522647757033</v>
      </c>
      <c r="Y56" s="314" t="str">
        <f t="shared" ca="1" si="22"/>
        <v/>
      </c>
      <c r="Z56" s="315" t="str">
        <f t="shared" ca="1" si="23"/>
        <v/>
      </c>
      <c r="AA56" s="316" t="str">
        <f t="shared" ca="1" si="24"/>
        <v/>
      </c>
      <c r="AC56" s="310" t="e">
        <f t="shared" ca="1" si="25"/>
        <v>#N/A</v>
      </c>
      <c r="AD56" s="323" t="e">
        <f t="shared" ca="1" si="26"/>
        <v>#N/A</v>
      </c>
      <c r="AE56" s="324">
        <f t="shared" ca="1" si="5"/>
        <v>9.1123497657385144</v>
      </c>
      <c r="AG56" s="306">
        <f t="shared" ca="1" si="27"/>
        <v>82.536205357434497</v>
      </c>
      <c r="AH56" s="304">
        <f t="shared" ca="1" si="28"/>
        <v>91.980611278251914</v>
      </c>
    </row>
    <row r="57" spans="1:34" x14ac:dyDescent="0.2">
      <c r="A57" s="347">
        <f t="shared" ca="1" si="6"/>
        <v>0.01</v>
      </c>
      <c r="B57" s="304">
        <f t="shared" ca="1" si="7"/>
        <v>0.53000000000000025</v>
      </c>
      <c r="D57" s="306">
        <f t="shared" ca="1" si="8"/>
        <v>24.960934376949087</v>
      </c>
      <c r="E57" s="307">
        <f t="shared" ca="1" si="9"/>
        <v>78.811935151465747</v>
      </c>
      <c r="F57" s="304">
        <f t="shared" ca="1" si="10"/>
        <v>82.670244751598503</v>
      </c>
      <c r="G57" s="306">
        <f t="shared" ca="1" si="11"/>
        <v>10.858678342588572</v>
      </c>
      <c r="H57" s="307">
        <f t="shared" ca="1" si="12"/>
        <v>38.454827281287592</v>
      </c>
      <c r="I57" s="304">
        <f t="shared" ca="1" si="13"/>
        <v>39.958536466961135</v>
      </c>
      <c r="J57" s="306">
        <f t="shared" ca="1" si="14"/>
        <v>2.5875784269810702</v>
      </c>
      <c r="K57" s="307">
        <f t="shared" ca="1" si="15"/>
        <v>9.4929574417938163</v>
      </c>
      <c r="L57" s="304">
        <f t="shared" ca="1" si="0"/>
        <v>9.8392989134128062</v>
      </c>
      <c r="M57" s="306">
        <f t="shared" ca="1" si="16"/>
        <v>1.2955867322691934</v>
      </c>
      <c r="N57" s="304">
        <f t="shared" ca="1" si="17"/>
        <v>74.231651752170521</v>
      </c>
      <c r="P57" s="310">
        <f t="shared" ca="1" si="18"/>
        <v>5</v>
      </c>
      <c r="Q57" s="304">
        <f t="shared" ca="1" si="19"/>
        <v>1802.7979740259741</v>
      </c>
      <c r="R57" s="306">
        <f t="shared" ca="1" si="20"/>
        <v>1.0841560753516495</v>
      </c>
      <c r="S57" s="307">
        <f t="shared" ca="1" si="21"/>
        <v>19.465475362047972</v>
      </c>
      <c r="T57" s="304">
        <f t="shared" ca="1" si="1"/>
        <v>190.95631330169061</v>
      </c>
      <c r="U57" s="311">
        <f t="shared" ca="1" si="2"/>
        <v>0</v>
      </c>
      <c r="V57" s="306">
        <f t="shared" ca="1" si="3"/>
        <v>1.223837664413493</v>
      </c>
      <c r="W57" s="304">
        <f t="shared" ca="1" si="4"/>
        <v>11.062917823002453</v>
      </c>
      <c r="Y57" s="314" t="str">
        <f t="shared" ca="1" si="22"/>
        <v/>
      </c>
      <c r="Z57" s="315" t="str">
        <f t="shared" ca="1" si="23"/>
        <v/>
      </c>
      <c r="AA57" s="316" t="str">
        <f t="shared" ca="1" si="24"/>
        <v/>
      </c>
      <c r="AC57" s="310" t="e">
        <f t="shared" ca="1" si="25"/>
        <v>#N/A</v>
      </c>
      <c r="AD57" s="323" t="e">
        <f t="shared" ca="1" si="26"/>
        <v>#N/A</v>
      </c>
      <c r="AE57" s="324">
        <f t="shared" ca="1" si="5"/>
        <v>9.4929574417938163</v>
      </c>
      <c r="AG57" s="306">
        <f t="shared" ca="1" si="27"/>
        <v>82.627453395525436</v>
      </c>
      <c r="AH57" s="304">
        <f t="shared" ca="1" si="28"/>
        <v>92.070058297803627</v>
      </c>
    </row>
    <row r="58" spans="1:34" x14ac:dyDescent="0.2">
      <c r="A58" s="347">
        <f t="shared" ca="1" si="6"/>
        <v>0.01</v>
      </c>
      <c r="B58" s="304">
        <f t="shared" ca="1" si="7"/>
        <v>0.54000000000000026</v>
      </c>
      <c r="D58" s="306">
        <f t="shared" ca="1" si="8"/>
        <v>25.044119097703359</v>
      </c>
      <c r="E58" s="307">
        <f t="shared" ca="1" si="9"/>
        <v>78.881021497243751</v>
      </c>
      <c r="F58" s="304">
        <f t="shared" ca="1" si="10"/>
        <v>82.761243670141766</v>
      </c>
      <c r="G58" s="306">
        <f t="shared" ca="1" si="11"/>
        <v>11.109119533565606</v>
      </c>
      <c r="H58" s="307">
        <f t="shared" ca="1" si="12"/>
        <v>39.243637496260028</v>
      </c>
      <c r="I58" s="304">
        <f t="shared" ca="1" si="13"/>
        <v>40.785728150284569</v>
      </c>
      <c r="J58" s="306">
        <f t="shared" ca="1" si="14"/>
        <v>2.6974174163618412</v>
      </c>
      <c r="K58" s="307">
        <f t="shared" ca="1" si="15"/>
        <v>9.8814497656815536</v>
      </c>
      <c r="L58" s="304">
        <f t="shared" ca="1" si="0"/>
        <v>10.243002986906731</v>
      </c>
      <c r="M58" s="306">
        <f t="shared" ca="1" si="16"/>
        <v>1.2949331079335147</v>
      </c>
      <c r="N58" s="304">
        <f t="shared" ca="1" si="17"/>
        <v>74.194201836349094</v>
      </c>
      <c r="P58" s="310">
        <f t="shared" ca="1" si="18"/>
        <v>5</v>
      </c>
      <c r="Q58" s="304">
        <f t="shared" ca="1" si="19"/>
        <v>1803.9843809523811</v>
      </c>
      <c r="R58" s="306">
        <f t="shared" ca="1" si="20"/>
        <v>1.0848695497928431</v>
      </c>
      <c r="S58" s="307">
        <f t="shared" ca="1" si="21"/>
        <v>19.454626666550045</v>
      </c>
      <c r="T58" s="304">
        <f t="shared" ca="1" si="1"/>
        <v>190.84988759885596</v>
      </c>
      <c r="U58" s="311">
        <f t="shared" ca="1" si="2"/>
        <v>0</v>
      </c>
      <c r="V58" s="306">
        <f t="shared" ca="1" si="3"/>
        <v>1.2237901201720411</v>
      </c>
      <c r="W58" s="304">
        <f t="shared" ca="1" si="4"/>
        <v>11.525243461804051</v>
      </c>
      <c r="Y58" s="314" t="str">
        <f t="shared" ca="1" si="22"/>
        <v/>
      </c>
      <c r="Z58" s="315" t="str">
        <f t="shared" ca="1" si="23"/>
        <v/>
      </c>
      <c r="AA58" s="316" t="str">
        <f t="shared" ca="1" si="24"/>
        <v/>
      </c>
      <c r="AC58" s="310" t="e">
        <f t="shared" ca="1" si="25"/>
        <v>#N/A</v>
      </c>
      <c r="AD58" s="323" t="e">
        <f t="shared" ca="1" si="26"/>
        <v>#N/A</v>
      </c>
      <c r="AE58" s="324">
        <f t="shared" ca="1" si="5"/>
        <v>9.8814497656815536</v>
      </c>
      <c r="AG58" s="306">
        <f t="shared" ca="1" si="27"/>
        <v>82.718297098703829</v>
      </c>
      <c r="AH58" s="304">
        <f t="shared" ca="1" si="28"/>
        <v>92.15912974634962</v>
      </c>
    </row>
    <row r="59" spans="1:34" x14ac:dyDescent="0.2">
      <c r="A59" s="347">
        <f t="shared" ca="1" si="6"/>
        <v>0.01</v>
      </c>
      <c r="B59" s="304">
        <f t="shared" ca="1" si="7"/>
        <v>0.55000000000000027</v>
      </c>
      <c r="D59" s="306">
        <f t="shared" ca="1" si="8"/>
        <v>25.126242605234115</v>
      </c>
      <c r="E59" s="307">
        <f t="shared" ca="1" si="9"/>
        <v>78.949973593191601</v>
      </c>
      <c r="F59" s="304">
        <f t="shared" ca="1" si="10"/>
        <v>82.851834003978055</v>
      </c>
      <c r="G59" s="306">
        <f t="shared" ca="1" si="11"/>
        <v>11.360381959617946</v>
      </c>
      <c r="H59" s="307">
        <f t="shared" ca="1" si="12"/>
        <v>40.033137232191947</v>
      </c>
      <c r="I59" s="304">
        <f t="shared" ca="1" si="13"/>
        <v>41.613824084310323</v>
      </c>
      <c r="J59" s="306">
        <f t="shared" ca="1" si="14"/>
        <v>2.8097649238277591</v>
      </c>
      <c r="K59" s="307">
        <f t="shared" ca="1" si="15"/>
        <v>10.277833639323813</v>
      </c>
      <c r="L59" s="304">
        <f t="shared" ca="1" si="0"/>
        <v>10.654982085615583</v>
      </c>
      <c r="M59" s="306">
        <f t="shared" ca="1" si="16"/>
        <v>1.2942910076970198</v>
      </c>
      <c r="N59" s="304">
        <f t="shared" ca="1" si="17"/>
        <v>74.157412202773585</v>
      </c>
      <c r="P59" s="310">
        <f t="shared" ca="1" si="18"/>
        <v>5</v>
      </c>
      <c r="Q59" s="304">
        <f t="shared" ca="1" si="19"/>
        <v>1805.1707878787879</v>
      </c>
      <c r="R59" s="306">
        <f t="shared" ca="1" si="20"/>
        <v>1.0855830242340367</v>
      </c>
      <c r="S59" s="307">
        <f t="shared" ca="1" si="21"/>
        <v>19.443770836307703</v>
      </c>
      <c r="T59" s="304">
        <f t="shared" ca="1" si="1"/>
        <v>190.74339190417857</v>
      </c>
      <c r="U59" s="311">
        <f t="shared" ca="1" si="2"/>
        <v>0</v>
      </c>
      <c r="V59" s="306">
        <f t="shared" ca="1" si="3"/>
        <v>1.223741612054281</v>
      </c>
      <c r="W59" s="304">
        <f t="shared" ca="1" si="4"/>
        <v>11.997526200076253</v>
      </c>
      <c r="Y59" s="314" t="str">
        <f t="shared" ca="1" si="22"/>
        <v/>
      </c>
      <c r="Z59" s="315" t="str">
        <f t="shared" ca="1" si="23"/>
        <v/>
      </c>
      <c r="AA59" s="316" t="str">
        <f t="shared" ca="1" si="24"/>
        <v/>
      </c>
      <c r="AC59" s="310" t="e">
        <f t="shared" ca="1" si="25"/>
        <v>#N/A</v>
      </c>
      <c r="AD59" s="323" t="e">
        <f t="shared" ca="1" si="26"/>
        <v>#N/A</v>
      </c>
      <c r="AE59" s="324">
        <f t="shared" ca="1" si="5"/>
        <v>10.277833639323813</v>
      </c>
      <c r="AG59" s="306">
        <f t="shared" ca="1" si="27"/>
        <v>82.808735548781996</v>
      </c>
      <c r="AH59" s="304">
        <f t="shared" ca="1" si="28"/>
        <v>92.247823712655432</v>
      </c>
    </row>
    <row r="60" spans="1:34" x14ac:dyDescent="0.2">
      <c r="A60" s="347">
        <f t="shared" ca="1" si="6"/>
        <v>0.01</v>
      </c>
      <c r="B60" s="304">
        <f t="shared" ca="1" si="7"/>
        <v>0.56000000000000028</v>
      </c>
      <c r="D60" s="306">
        <f t="shared" ca="1" si="8"/>
        <v>25.207339694091189</v>
      </c>
      <c r="E60" s="307">
        <f t="shared" ca="1" si="9"/>
        <v>79.018781709903848</v>
      </c>
      <c r="F60" s="304">
        <f t="shared" ca="1" si="10"/>
        <v>82.942014910241596</v>
      </c>
      <c r="G60" s="306">
        <f t="shared" ca="1" si="11"/>
        <v>11.612455356558858</v>
      </c>
      <c r="H60" s="307">
        <f t="shared" ca="1" si="12"/>
        <v>40.823325049290986</v>
      </c>
      <c r="I60" s="304">
        <f t="shared" ca="1" si="13"/>
        <v>42.442820211292997</v>
      </c>
      <c r="J60" s="306">
        <f t="shared" ca="1" si="14"/>
        <v>2.924629110408643</v>
      </c>
      <c r="K60" s="307">
        <f t="shared" ca="1" si="15"/>
        <v>10.682115950731227</v>
      </c>
      <c r="L60" s="304">
        <f t="shared" ca="1" si="0"/>
        <v>11.075245217073803</v>
      </c>
      <c r="M60" s="306">
        <f t="shared" ca="1" si="16"/>
        <v>1.2936600211370159</v>
      </c>
      <c r="N60" s="304">
        <f t="shared" ca="1" si="17"/>
        <v>74.121259335955884</v>
      </c>
      <c r="P60" s="310">
        <f t="shared" ca="1" si="18"/>
        <v>5</v>
      </c>
      <c r="Q60" s="304">
        <f t="shared" ca="1" si="19"/>
        <v>1806.3571948051949</v>
      </c>
      <c r="R60" s="306">
        <f t="shared" ca="1" si="20"/>
        <v>1.0862964986752306</v>
      </c>
      <c r="S60" s="307">
        <f t="shared" ca="1" si="21"/>
        <v>19.43290787132095</v>
      </c>
      <c r="T60" s="304">
        <f t="shared" ca="1" si="1"/>
        <v>190.63682621765852</v>
      </c>
      <c r="U60" s="311">
        <f t="shared" ca="1" si="2"/>
        <v>0</v>
      </c>
      <c r="V60" s="306">
        <f t="shared" ca="1" si="3"/>
        <v>1.2236921393320008</v>
      </c>
      <c r="W60" s="304">
        <f t="shared" ca="1" si="4"/>
        <v>12.479792463341028</v>
      </c>
      <c r="Y60" s="314" t="str">
        <f t="shared" ca="1" si="22"/>
        <v/>
      </c>
      <c r="Z60" s="315" t="str">
        <f t="shared" ca="1" si="23"/>
        <v/>
      </c>
      <c r="AA60" s="316" t="str">
        <f t="shared" ca="1" si="24"/>
        <v/>
      </c>
      <c r="AC60" s="310" t="e">
        <f t="shared" ca="1" si="25"/>
        <v>#N/A</v>
      </c>
      <c r="AD60" s="323" t="e">
        <f t="shared" ca="1" si="26"/>
        <v>#N/A</v>
      </c>
      <c r="AE60" s="324">
        <f t="shared" ca="1" si="5"/>
        <v>10.682115950731227</v>
      </c>
      <c r="AG60" s="306">
        <f t="shared" ca="1" si="27"/>
        <v>82.898767780502283</v>
      </c>
      <c r="AH60" s="304">
        <f t="shared" ca="1" si="28"/>
        <v>92.336138291132002</v>
      </c>
    </row>
    <row r="61" spans="1:34" x14ac:dyDescent="0.2">
      <c r="A61" s="347">
        <f t="shared" ca="1" si="6"/>
        <v>0.01</v>
      </c>
      <c r="B61" s="304">
        <f t="shared" ca="1" si="7"/>
        <v>0.57000000000000028</v>
      </c>
      <c r="D61" s="306">
        <f t="shared" ca="1" si="8"/>
        <v>25.287443194713301</v>
      </c>
      <c r="E61" s="307">
        <f t="shared" ca="1" si="9"/>
        <v>79.087436546027021</v>
      </c>
      <c r="F61" s="304">
        <f t="shared" ca="1" si="10"/>
        <v>83.031785496565732</v>
      </c>
      <c r="G61" s="306">
        <f t="shared" ca="1" si="11"/>
        <v>11.86532978850599</v>
      </c>
      <c r="H61" s="307">
        <f t="shared" ca="1" si="12"/>
        <v>41.614199414751255</v>
      </c>
      <c r="I61" s="304">
        <f t="shared" ca="1" si="13"/>
        <v>43.272712463175814</v>
      </c>
      <c r="J61" s="306">
        <f t="shared" ca="1" si="14"/>
        <v>3.0420180361339675</v>
      </c>
      <c r="K61" s="307">
        <f t="shared" ca="1" si="15"/>
        <v>11.094303573051437</v>
      </c>
      <c r="L61" s="304">
        <f t="shared" ca="1" si="0"/>
        <v>11.503801350127107</v>
      </c>
      <c r="M61" s="306">
        <f t="shared" ca="1" si="16"/>
        <v>1.2930397597588317</v>
      </c>
      <c r="N61" s="304">
        <f t="shared" ca="1" si="17"/>
        <v>74.085720976790952</v>
      </c>
      <c r="P61" s="310">
        <f t="shared" ca="1" si="18"/>
        <v>5</v>
      </c>
      <c r="Q61" s="304">
        <f t="shared" ca="1" si="19"/>
        <v>1807.5436017316019</v>
      </c>
      <c r="R61" s="306">
        <f t="shared" ca="1" si="20"/>
        <v>1.0870099731164244</v>
      </c>
      <c r="S61" s="307">
        <f t="shared" ca="1" si="21"/>
        <v>19.422037771589785</v>
      </c>
      <c r="T61" s="304">
        <f t="shared" ca="1" si="1"/>
        <v>190.5301905392958</v>
      </c>
      <c r="U61" s="311">
        <f t="shared" ca="1" si="2"/>
        <v>0</v>
      </c>
      <c r="V61" s="306">
        <f t="shared" ca="1" si="3"/>
        <v>1.2236417012812175</v>
      </c>
      <c r="W61" s="304">
        <f t="shared" ca="1" si="4"/>
        <v>12.97206846515828</v>
      </c>
      <c r="Y61" s="314" t="str">
        <f t="shared" ca="1" si="22"/>
        <v/>
      </c>
      <c r="Z61" s="315" t="str">
        <f t="shared" ca="1" si="23"/>
        <v/>
      </c>
      <c r="AA61" s="316" t="str">
        <f t="shared" ca="1" si="24"/>
        <v/>
      </c>
      <c r="AC61" s="310" t="e">
        <f t="shared" ca="1" si="25"/>
        <v>#N/A</v>
      </c>
      <c r="AD61" s="323" t="e">
        <f t="shared" ca="1" si="26"/>
        <v>#N/A</v>
      </c>
      <c r="AE61" s="324">
        <f t="shared" ca="1" si="5"/>
        <v>11.094303573051437</v>
      </c>
      <c r="AG61" s="306">
        <f t="shared" ca="1" si="27"/>
        <v>82.988392785373264</v>
      </c>
      <c r="AH61" s="304">
        <f t="shared" ca="1" si="28"/>
        <v>92.424071581924764</v>
      </c>
    </row>
    <row r="62" spans="1:34" x14ac:dyDescent="0.2">
      <c r="A62" s="347">
        <f t="shared" ca="1" si="6"/>
        <v>0.01</v>
      </c>
      <c r="B62" s="304">
        <f t="shared" ca="1" si="7"/>
        <v>0.58000000000000029</v>
      </c>
      <c r="D62" s="306">
        <f t="shared" ca="1" si="8"/>
        <v>25.366584116199505</v>
      </c>
      <c r="E62" s="307">
        <f t="shared" ca="1" si="9"/>
        <v>79.155929198627291</v>
      </c>
      <c r="F62" s="304">
        <f t="shared" ca="1" si="10"/>
        <v>83.121144825022242</v>
      </c>
      <c r="G62" s="306">
        <f t="shared" ca="1" si="11"/>
        <v>12.118995629667985</v>
      </c>
      <c r="H62" s="307">
        <f t="shared" ca="1" si="12"/>
        <v>42.405758706737529</v>
      </c>
      <c r="I62" s="304">
        <f t="shared" ca="1" si="13"/>
        <v>44.103496761208831</v>
      </c>
      <c r="J62" s="306">
        <f t="shared" ca="1" si="14"/>
        <v>3.1619396632248375</v>
      </c>
      <c r="K62" s="307">
        <f t="shared" ca="1" si="15"/>
        <v>11.514403363658882</v>
      </c>
      <c r="L62" s="304">
        <f t="shared" ca="1" si="0"/>
        <v>11.940659414576457</v>
      </c>
      <c r="M62" s="306">
        <f t="shared" ca="1" si="16"/>
        <v>1.2924298554451905</v>
      </c>
      <c r="N62" s="304">
        <f t="shared" ca="1" si="17"/>
        <v>74.050776033712495</v>
      </c>
      <c r="P62" s="310">
        <f t="shared" ca="1" si="18"/>
        <v>5</v>
      </c>
      <c r="Q62" s="304">
        <f t="shared" ca="1" si="19"/>
        <v>1808.7300086580087</v>
      </c>
      <c r="R62" s="306">
        <f t="shared" ca="1" si="20"/>
        <v>1.0877234475576181</v>
      </c>
      <c r="S62" s="307">
        <f t="shared" ca="1" si="21"/>
        <v>19.41116053711421</v>
      </c>
      <c r="T62" s="304">
        <f t="shared" ca="1" si="1"/>
        <v>190.4234848690904</v>
      </c>
      <c r="U62" s="311">
        <f t="shared" ca="1" si="2"/>
        <v>0</v>
      </c>
      <c r="V62" s="306">
        <f t="shared" ca="1" si="3"/>
        <v>1.223590297182295</v>
      </c>
      <c r="W62" s="304">
        <f t="shared" ca="1" si="4"/>
        <v>13.474380205551162</v>
      </c>
      <c r="Y62" s="314" t="str">
        <f t="shared" ca="1" si="22"/>
        <v/>
      </c>
      <c r="Z62" s="315" t="str">
        <f t="shared" ca="1" si="23"/>
        <v/>
      </c>
      <c r="AA62" s="316" t="str">
        <f t="shared" ca="1" si="24"/>
        <v/>
      </c>
      <c r="AC62" s="310" t="e">
        <f t="shared" ca="1" si="25"/>
        <v>#N/A</v>
      </c>
      <c r="AD62" s="323" t="e">
        <f t="shared" ca="1" si="26"/>
        <v>#N/A</v>
      </c>
      <c r="AE62" s="324">
        <f t="shared" ca="1" si="5"/>
        <v>11.514403363658882</v>
      </c>
      <c r="AG62" s="306">
        <f t="shared" ca="1" si="27"/>
        <v>83.07760951517561</v>
      </c>
      <c r="AH62" s="304">
        <f t="shared" ca="1" si="28"/>
        <v>92.511621691003725</v>
      </c>
    </row>
    <row r="63" spans="1:34" x14ac:dyDescent="0.2">
      <c r="A63" s="347">
        <f t="shared" ca="1" si="6"/>
        <v>0.01</v>
      </c>
      <c r="B63" s="304">
        <f t="shared" ca="1" si="7"/>
        <v>0.5900000000000003</v>
      </c>
      <c r="D63" s="306">
        <f t="shared" ca="1" si="8"/>
        <v>25.444791776318702</v>
      </c>
      <c r="E63" s="307">
        <f t="shared" ca="1" si="9"/>
        <v>79.224251136148894</v>
      </c>
      <c r="F63" s="304">
        <f t="shared" ca="1" si="10"/>
        <v>83.210091915727418</v>
      </c>
      <c r="G63" s="306">
        <f t="shared" ca="1" si="11"/>
        <v>12.373443547431172</v>
      </c>
      <c r="H63" s="307">
        <f t="shared" ca="1" si="12"/>
        <v>43.198001218099016</v>
      </c>
      <c r="I63" s="304">
        <f t="shared" ca="1" si="13"/>
        <v>44.935169015597907</v>
      </c>
      <c r="J63" s="306">
        <f t="shared" ca="1" si="14"/>
        <v>3.2844018591103334</v>
      </c>
      <c r="K63" s="307">
        <f t="shared" ca="1" si="15"/>
        <v>11.942422163283066</v>
      </c>
      <c r="L63" s="304">
        <f t="shared" ca="1" si="0"/>
        <v>12.385828300852632</v>
      </c>
      <c r="M63" s="306">
        <f t="shared" ca="1" si="16"/>
        <v>1.2918299590410665</v>
      </c>
      <c r="N63" s="304">
        <f t="shared" ca="1" si="17"/>
        <v>74.016404501611106</v>
      </c>
      <c r="P63" s="310">
        <f t="shared" ca="1" si="18"/>
        <v>5</v>
      </c>
      <c r="Q63" s="304">
        <f t="shared" ca="1" si="19"/>
        <v>1809.9164155844157</v>
      </c>
      <c r="R63" s="306">
        <f t="shared" ca="1" si="20"/>
        <v>1.0884369219988117</v>
      </c>
      <c r="S63" s="307">
        <f t="shared" ca="1" si="21"/>
        <v>19.400276167894223</v>
      </c>
      <c r="T63" s="304">
        <f t="shared" ca="1" si="1"/>
        <v>190.31670920704232</v>
      </c>
      <c r="U63" s="311">
        <f t="shared" ca="1" si="2"/>
        <v>0</v>
      </c>
      <c r="V63" s="306">
        <f t="shared" ca="1" si="3"/>
        <v>1.2235379263200539</v>
      </c>
      <c r="W63" s="304">
        <f t="shared" ca="1" si="4"/>
        <v>13.986753469427093</v>
      </c>
      <c r="Y63" s="314" t="str">
        <f t="shared" ca="1" si="22"/>
        <v/>
      </c>
      <c r="Z63" s="315" t="str">
        <f t="shared" ca="1" si="23"/>
        <v/>
      </c>
      <c r="AA63" s="316" t="str">
        <f t="shared" ca="1" si="24"/>
        <v/>
      </c>
      <c r="AC63" s="310" t="e">
        <f t="shared" ca="1" si="25"/>
        <v>#N/A</v>
      </c>
      <c r="AD63" s="323" t="e">
        <f t="shared" ca="1" si="26"/>
        <v>#N/A</v>
      </c>
      <c r="AE63" s="324">
        <f t="shared" ca="1" si="5"/>
        <v>11.942422163283066</v>
      </c>
      <c r="AG63" s="306">
        <f t="shared" ca="1" si="27"/>
        <v>83.166416885171969</v>
      </c>
      <c r="AH63" s="304">
        <f t="shared" ca="1" si="28"/>
        <v>92.598786730253906</v>
      </c>
    </row>
    <row r="64" spans="1:34" x14ac:dyDescent="0.2">
      <c r="A64" s="347">
        <f t="shared" ca="1" si="6"/>
        <v>0.01</v>
      </c>
      <c r="B64" s="304">
        <f t="shared" ca="1" si="7"/>
        <v>0.60000000000000031</v>
      </c>
      <c r="D64" s="306">
        <f t="shared" ca="1" si="8"/>
        <v>25.522093920106077</v>
      </c>
      <c r="E64" s="307">
        <f t="shared" ca="1" si="9"/>
        <v>79.292394173695385</v>
      </c>
      <c r="F64" s="304">
        <f t="shared" ca="1" si="10"/>
        <v>83.298625750149071</v>
      </c>
      <c r="G64" s="306">
        <f t="shared" ca="1" si="11"/>
        <v>12.628664486632234</v>
      </c>
      <c r="H64" s="307">
        <f t="shared" ca="1" si="12"/>
        <v>43.990925159835967</v>
      </c>
      <c r="I64" s="304">
        <f t="shared" ca="1" si="13"/>
        <v>45.76772512518199</v>
      </c>
      <c r="J64" s="306">
        <f t="shared" ca="1" si="14"/>
        <v>3.4094123992806504</v>
      </c>
      <c r="K64" s="307">
        <f t="shared" ca="1" si="15"/>
        <v>12.378366795172742</v>
      </c>
      <c r="L64" s="304">
        <f t="shared" ca="1" si="0"/>
        <v>12.839316859716632</v>
      </c>
      <c r="M64" s="306">
        <f t="shared" ca="1" si="16"/>
        <v>1.2912397390600103</v>
      </c>
      <c r="N64" s="304">
        <f t="shared" ca="1" si="17"/>
        <v>73.9825873877123</v>
      </c>
      <c r="P64" s="310">
        <f t="shared" ca="1" si="18"/>
        <v>5</v>
      </c>
      <c r="Q64" s="304">
        <f t="shared" ca="1" si="19"/>
        <v>1811.1028225108225</v>
      </c>
      <c r="R64" s="306">
        <f t="shared" ca="1" si="20"/>
        <v>1.0891503964400053</v>
      </c>
      <c r="S64" s="307">
        <f t="shared" ca="1" si="21"/>
        <v>19.389384663929821</v>
      </c>
      <c r="T64" s="304">
        <f t="shared" ca="1" si="1"/>
        <v>190.20986355315156</v>
      </c>
      <c r="U64" s="311">
        <f t="shared" ca="1" si="2"/>
        <v>0</v>
      </c>
      <c r="V64" s="306">
        <f t="shared" ca="1" si="3"/>
        <v>1.2234845879838805</v>
      </c>
      <c r="W64" s="304">
        <f t="shared" ca="1" si="4"/>
        <v>14.509213824995516</v>
      </c>
      <c r="Y64" s="314" t="str">
        <f t="shared" ca="1" si="22"/>
        <v/>
      </c>
      <c r="Z64" s="315" t="str">
        <f t="shared" ca="1" si="23"/>
        <v/>
      </c>
      <c r="AA64" s="316" t="str">
        <f t="shared" ca="1" si="24"/>
        <v/>
      </c>
      <c r="AC64" s="310" t="e">
        <f t="shared" ca="1" si="25"/>
        <v>#N/A</v>
      </c>
      <c r="AD64" s="323" t="e">
        <f t="shared" ca="1" si="26"/>
        <v>#N/A</v>
      </c>
      <c r="AE64" s="324">
        <f t="shared" ca="1" si="5"/>
        <v>12.378366795172742</v>
      </c>
      <c r="AG64" s="306">
        <f t="shared" ca="1" si="27"/>
        <v>83.254813777051751</v>
      </c>
      <c r="AH64" s="304">
        <f t="shared" ca="1" si="28"/>
        <v>92.685564817566402</v>
      </c>
    </row>
    <row r="65" spans="1:34" x14ac:dyDescent="0.2">
      <c r="A65" s="347">
        <f t="shared" ca="1" si="6"/>
        <v>0.01</v>
      </c>
      <c r="B65" s="304">
        <f t="shared" ca="1" si="7"/>
        <v>0.61000000000000032</v>
      </c>
      <c r="D65" s="306">
        <f t="shared" ca="1" si="8"/>
        <v>25.598516828230597</v>
      </c>
      <c r="E65" s="307">
        <f t="shared" ca="1" si="9"/>
        <v>79.360350450398116</v>
      </c>
      <c r="F65" s="304">
        <f t="shared" ca="1" si="10"/>
        <v>83.386745274145397</v>
      </c>
      <c r="G65" s="306">
        <f t="shared" ca="1" si="11"/>
        <v>12.88464965491454</v>
      </c>
      <c r="H65" s="307">
        <f t="shared" ca="1" si="12"/>
        <v>44.784528664339952</v>
      </c>
      <c r="I65" s="304">
        <f t="shared" ca="1" si="13"/>
        <v>46.601160977136352</v>
      </c>
      <c r="J65" s="306">
        <f t="shared" ca="1" si="14"/>
        <v>3.5369789699883842</v>
      </c>
      <c r="K65" s="307">
        <f t="shared" ca="1" si="15"/>
        <v>12.822244064293621</v>
      </c>
      <c r="L65" s="304">
        <f t="shared" ca="1" si="0"/>
        <v>13.301133901981931</v>
      </c>
      <c r="M65" s="306">
        <f t="shared" ca="1" si="16"/>
        <v>1.2906588804995969</v>
      </c>
      <c r="N65" s="304">
        <f t="shared" ca="1" si="17"/>
        <v>73.949306643706564</v>
      </c>
      <c r="P65" s="310">
        <f t="shared" ca="1" si="18"/>
        <v>5</v>
      </c>
      <c r="Q65" s="304">
        <f t="shared" ca="1" si="19"/>
        <v>1812.2892294372296</v>
      </c>
      <c r="R65" s="306">
        <f t="shared" ca="1" si="20"/>
        <v>1.0898638708811992</v>
      </c>
      <c r="S65" s="307">
        <f t="shared" ca="1" si="21"/>
        <v>19.378486025221008</v>
      </c>
      <c r="T65" s="304">
        <f t="shared" ca="1" si="1"/>
        <v>190.1029479074181</v>
      </c>
      <c r="U65" s="311">
        <f t="shared" ca="1" si="2"/>
        <v>0</v>
      </c>
      <c r="V65" s="306">
        <f t="shared" ca="1" si="3"/>
        <v>1.2234302814678308</v>
      </c>
      <c r="W65" s="304">
        <f t="shared" ca="1" si="4"/>
        <v>15.041786622183063</v>
      </c>
      <c r="Y65" s="314" t="str">
        <f t="shared" ca="1" si="22"/>
        <v/>
      </c>
      <c r="Z65" s="315" t="str">
        <f t="shared" ca="1" si="23"/>
        <v/>
      </c>
      <c r="AA65" s="316" t="str">
        <f t="shared" ca="1" si="24"/>
        <v/>
      </c>
      <c r="AC65" s="310" t="e">
        <f t="shared" ca="1" si="25"/>
        <v>#N/A</v>
      </c>
      <c r="AD65" s="323" t="e">
        <f t="shared" ca="1" si="26"/>
        <v>#N/A</v>
      </c>
      <c r="AE65" s="324">
        <f t="shared" ca="1" si="5"/>
        <v>12.822244064293621</v>
      </c>
      <c r="AG65" s="306">
        <f t="shared" ca="1" si="27"/>
        <v>83.342799041637605</v>
      </c>
      <c r="AH65" s="304">
        <f t="shared" ca="1" si="28"/>
        <v>92.771954076930058</v>
      </c>
    </row>
    <row r="66" spans="1:34" x14ac:dyDescent="0.2">
      <c r="A66" s="347">
        <f t="shared" ca="1" si="6"/>
        <v>0.01</v>
      </c>
      <c r="B66" s="304">
        <f t="shared" ca="1" si="7"/>
        <v>0.62000000000000033</v>
      </c>
      <c r="D66" s="306">
        <f t="shared" ca="1" si="8"/>
        <v>25.674085416177164</v>
      </c>
      <c r="E66" s="307">
        <f t="shared" ca="1" si="9"/>
        <v>79.428112408662528</v>
      </c>
      <c r="F66" s="304">
        <f t="shared" ca="1" si="10"/>
        <v>83.474449400761486</v>
      </c>
      <c r="G66" s="306">
        <f t="shared" ca="1" si="11"/>
        <v>13.141390509076311</v>
      </c>
      <c r="H66" s="307">
        <f t="shared" ca="1" si="12"/>
        <v>45.578809788426575</v>
      </c>
      <c r="I66" s="304">
        <f t="shared" ca="1" si="13"/>
        <v>47.435472446699748</v>
      </c>
      <c r="J66" s="306">
        <f t="shared" ca="1" si="14"/>
        <v>3.6671091708083385</v>
      </c>
      <c r="K66" s="307">
        <f t="shared" ca="1" si="15"/>
        <v>13.274060756557454</v>
      </c>
      <c r="L66" s="304">
        <f t="shared" ca="1" si="0"/>
        <v>13.771288198255284</v>
      </c>
      <c r="M66" s="306">
        <f t="shared" ca="1" si="16"/>
        <v>1.2900870837550868</v>
      </c>
      <c r="N66" s="304">
        <f t="shared" ca="1" si="17"/>
        <v>73.91654510350682</v>
      </c>
      <c r="P66" s="310">
        <f t="shared" ca="1" si="18"/>
        <v>5</v>
      </c>
      <c r="Q66" s="304">
        <f t="shared" ca="1" si="19"/>
        <v>1813.4756363636366</v>
      </c>
      <c r="R66" s="306">
        <f t="shared" ca="1" si="20"/>
        <v>1.090577345322393</v>
      </c>
      <c r="S66" s="307">
        <f t="shared" ca="1" si="21"/>
        <v>19.367580251767784</v>
      </c>
      <c r="T66" s="304">
        <f t="shared" ca="1" si="1"/>
        <v>189.99596226984198</v>
      </c>
      <c r="U66" s="311">
        <f t="shared" ca="1" si="2"/>
        <v>0</v>
      </c>
      <c r="V66" s="306">
        <f t="shared" ca="1" si="3"/>
        <v>1.2233750060707291</v>
      </c>
      <c r="W66" s="304">
        <f t="shared" ca="1" si="4"/>
        <v>15.584496991046812</v>
      </c>
      <c r="Y66" s="314" t="str">
        <f t="shared" ca="1" si="22"/>
        <v/>
      </c>
      <c r="Z66" s="315" t="str">
        <f t="shared" ca="1" si="23"/>
        <v/>
      </c>
      <c r="AA66" s="316" t="str">
        <f t="shared" ca="1" si="24"/>
        <v/>
      </c>
      <c r="AC66" s="310" t="e">
        <f t="shared" ca="1" si="25"/>
        <v>#N/A</v>
      </c>
      <c r="AD66" s="323" t="e">
        <f t="shared" ca="1" si="26"/>
        <v>#N/A</v>
      </c>
      <c r="AE66" s="324">
        <f t="shared" ca="1" si="5"/>
        <v>13.274060756557454</v>
      </c>
      <c r="AG66" s="306">
        <f t="shared" ca="1" si="27"/>
        <v>83.430371501376939</v>
      </c>
      <c r="AH66" s="304">
        <f t="shared" ca="1" si="28"/>
        <v>92.857952638523372</v>
      </c>
    </row>
    <row r="67" spans="1:34" x14ac:dyDescent="0.2">
      <c r="A67" s="347">
        <f t="shared" ca="1" si="6"/>
        <v>0.01</v>
      </c>
      <c r="B67" s="304">
        <f t="shared" ca="1" si="7"/>
        <v>0.63000000000000034</v>
      </c>
      <c r="D67" s="306">
        <f t="shared" ca="1" si="8"/>
        <v>25.748823325164881</v>
      </c>
      <c r="E67" s="307">
        <f t="shared" ca="1" si="9"/>
        <v>79.495672775108957</v>
      </c>
      <c r="F67" s="304">
        <f t="shared" ca="1" si="10"/>
        <v>83.561737012808408</v>
      </c>
      <c r="G67" s="306">
        <f t="shared" ca="1" si="11"/>
        <v>13.398878742327961</v>
      </c>
      <c r="H67" s="307">
        <f t="shared" ca="1" si="12"/>
        <v>46.373766516177668</v>
      </c>
      <c r="I67" s="304">
        <f t="shared" ca="1" si="13"/>
        <v>48.270655396923807</v>
      </c>
      <c r="J67" s="306">
        <f t="shared" ca="1" si="14"/>
        <v>3.7998105170653598</v>
      </c>
      <c r="K67" s="307">
        <f t="shared" ca="1" si="15"/>
        <v>13.733823638080475</v>
      </c>
      <c r="L67" s="304">
        <f t="shared" ca="1" si="0"/>
        <v>14.249788478693237</v>
      </c>
      <c r="M67" s="306">
        <f t="shared" ca="1" si="16"/>
        <v>1.2895240636216594</v>
      </c>
      <c r="N67" s="304">
        <f t="shared" ca="1" si="17"/>
        <v>73.884286426080536</v>
      </c>
      <c r="P67" s="310">
        <f t="shared" ca="1" si="18"/>
        <v>5</v>
      </c>
      <c r="Q67" s="304">
        <f t="shared" ca="1" si="19"/>
        <v>1814.6620432900434</v>
      </c>
      <c r="R67" s="306">
        <f t="shared" ca="1" si="20"/>
        <v>1.0912908197635867</v>
      </c>
      <c r="S67" s="307">
        <f t="shared" ca="1" si="21"/>
        <v>19.356667343570148</v>
      </c>
      <c r="T67" s="304">
        <f t="shared" ca="1" si="1"/>
        <v>189.88890664042316</v>
      </c>
      <c r="U67" s="311">
        <f t="shared" ca="1" si="2"/>
        <v>0</v>
      </c>
      <c r="V67" s="306">
        <f t="shared" ca="1" si="3"/>
        <v>1.2233187610962648</v>
      </c>
      <c r="W67" s="304">
        <f t="shared" ca="1" si="4"/>
        <v>16.137369840186601</v>
      </c>
      <c r="Y67" s="314" t="str">
        <f t="shared" ca="1" si="22"/>
        <v/>
      </c>
      <c r="Z67" s="315" t="str">
        <f t="shared" ca="1" si="23"/>
        <v/>
      </c>
      <c r="AA67" s="316" t="str">
        <f t="shared" ca="1" si="24"/>
        <v/>
      </c>
      <c r="AC67" s="310" t="e">
        <f t="shared" ca="1" si="25"/>
        <v>#N/A</v>
      </c>
      <c r="AD67" s="323" t="e">
        <f t="shared" ca="1" si="26"/>
        <v>#N/A</v>
      </c>
      <c r="AE67" s="324">
        <f t="shared" ca="1" si="5"/>
        <v>13.733823638080475</v>
      </c>
      <c r="AG67" s="306">
        <f t="shared" ca="1" si="27"/>
        <v>83.517529952640444</v>
      </c>
      <c r="AH67" s="304">
        <f t="shared" ca="1" si="28"/>
        <v>92.943558638807204</v>
      </c>
    </row>
    <row r="68" spans="1:34" x14ac:dyDescent="0.2">
      <c r="A68" s="347">
        <f t="shared" ca="1" si="6"/>
        <v>0.01</v>
      </c>
      <c r="B68" s="304">
        <f t="shared" ca="1" si="7"/>
        <v>0.64000000000000035</v>
      </c>
      <c r="D68" s="306">
        <f t="shared" ca="1" si="8"/>
        <v>25.822753005615514</v>
      </c>
      <c r="E68" s="307">
        <f t="shared" ca="1" si="9"/>
        <v>79.563024543043369</v>
      </c>
      <c r="F68" s="304">
        <f t="shared" ca="1" si="10"/>
        <v>83.648606965244483</v>
      </c>
      <c r="G68" s="306">
        <f t="shared" ca="1" si="11"/>
        <v>13.657106272384116</v>
      </c>
      <c r="H68" s="307">
        <f t="shared" ca="1" si="12"/>
        <v>47.169396761608098</v>
      </c>
      <c r="I68" s="304">
        <f t="shared" ca="1" si="13"/>
        <v>49.106705678442715</v>
      </c>
      <c r="J68" s="306">
        <f t="shared" ca="1" si="14"/>
        <v>3.9350904421389203</v>
      </c>
      <c r="K68" s="307">
        <f t="shared" ca="1" si="15"/>
        <v>14.201539454469403</v>
      </c>
      <c r="L68" s="304">
        <f t="shared" ref="L68:L131" ca="1" si="29">SQRT(pos_x^2+pos_z^2)</f>
        <v>14.73664343277207</v>
      </c>
      <c r="M68" s="306">
        <f t="shared" ca="1" si="16"/>
        <v>1.2889695483766506</v>
      </c>
      <c r="N68" s="304">
        <f t="shared" ca="1" si="17"/>
        <v>73.852515042865875</v>
      </c>
      <c r="P68" s="310">
        <f t="shared" ca="1" si="18"/>
        <v>5</v>
      </c>
      <c r="Q68" s="304">
        <f t="shared" ca="1" si="19"/>
        <v>1815.8484502164504</v>
      </c>
      <c r="R68" s="306">
        <f t="shared" ca="1" si="20"/>
        <v>1.0920042942047803</v>
      </c>
      <c r="S68" s="307">
        <f t="shared" ca="1" si="21"/>
        <v>19.345747300628101</v>
      </c>
      <c r="T68" s="304">
        <f t="shared" ref="T68:T131" ca="1" si="30">m*g</f>
        <v>189.78178101916168</v>
      </c>
      <c r="U68" s="311">
        <f t="shared" ref="U68:U131" ca="1" si="31">IF(pos_xz&lt;L_rampe,Poids*COS(Beta),0)</f>
        <v>0</v>
      </c>
      <c r="V68" s="306">
        <f t="shared" ref="V68:V131" ca="1" si="32">Rho_moyen*(20000-Alt_rampe-pos_z)/(20000+Alt_rampe+pos_z)</f>
        <v>1.2232615458530856</v>
      </c>
      <c r="W68" s="304">
        <f t="shared" ref="W68:W131" ca="1" si="33">1/2*Rho*Sref*Cx*vit_xz^2</f>
        <v>16.700429855156667</v>
      </c>
      <c r="Y68" s="314" t="str">
        <f t="shared" ca="1" si="22"/>
        <v/>
      </c>
      <c r="Z68" s="315" t="str">
        <f t="shared" ca="1" si="23"/>
        <v/>
      </c>
      <c r="AA68" s="316" t="str">
        <f t="shared" ca="1" si="24"/>
        <v/>
      </c>
      <c r="AC68" s="310" t="e">
        <f t="shared" ca="1" si="25"/>
        <v>#N/A</v>
      </c>
      <c r="AD68" s="323" t="e">
        <f t="shared" ca="1" si="26"/>
        <v>#N/A</v>
      </c>
      <c r="AE68" s="324">
        <f t="shared" ref="AE68:AE131" ca="1" si="34">IF(t&lt;T_para, pos_z, NA())</f>
        <v>14.201539454469403</v>
      </c>
      <c r="AG68" s="306">
        <f t="shared" ca="1" si="27"/>
        <v>83.604273167845093</v>
      </c>
      <c r="AH68" s="304">
        <f t="shared" ca="1" si="28"/>
        <v>93.028770220617545</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25.895895793895392</v>
      </c>
      <c r="E69" s="307">
        <f t="shared" ref="E69:E132" ca="1" si="38">IF(AND(L68&lt;L_rampe,Poussee&lt;Poids*SIN(M68)),0,(-W68+Poussee)/m*SIN(M68)+U68/m*COS(M68)-Poids/m)</f>
        <v>79.630160956313219</v>
      </c>
      <c r="F69" s="304">
        <f t="shared" ref="F69:F132" ca="1" si="39">SQRT(acc_x^2+acc_z^2)</f>
        <v>83.735058087378434</v>
      </c>
      <c r="G69" s="306">
        <f t="shared" ref="G69:G132" ca="1" si="40">G68+acc_x*pas</f>
        <v>13.916065230323071</v>
      </c>
      <c r="H69" s="307">
        <f t="shared" ref="H69:H132" ca="1" si="41">H68+acc_z*pas</f>
        <v>47.965698371171229</v>
      </c>
      <c r="I69" s="304">
        <f t="shared" ref="I69:I132" ca="1" si="42">SQRT(vit_x^2+vit_z^2)</f>
        <v>49.943619129261997</v>
      </c>
      <c r="J69" s="306">
        <f t="shared" ref="J69:J132" ca="1" si="43">J68+0.5*(vit_x+G68)*pas*(K68&gt;=0)</f>
        <v>4.0729562996524562</v>
      </c>
      <c r="K69" s="307">
        <f t="shared" ref="K69:K132" ca="1" si="44">K68+0.5*(vit_z+H68)*pas</f>
        <v>14.677214930133299</v>
      </c>
      <c r="L69" s="304">
        <f t="shared" ca="1" si="29"/>
        <v>15.231861709069133</v>
      </c>
      <c r="M69" s="306">
        <f t="shared" ref="M69:M132" ca="1" si="45">IF(AND(L68&gt;L_rampe,G69&gt;0),ATAN2(G69,H69),$M$4)</f>
        <v>1.2884232789341938</v>
      </c>
      <c r="N69" s="304">
        <f t="shared" ref="N69:N132" ca="1" si="46">DEGREES(Beta)</f>
        <v>73.821216109336135</v>
      </c>
      <c r="P69" s="310">
        <f t="shared" ref="P69:P132" ca="1" si="47">MATCH(t-pas/2-T_ini,CdP_t)</f>
        <v>5</v>
      </c>
      <c r="Q69" s="304">
        <f t="shared" ref="Q69:Q132" ca="1" si="48">(INDEX(CdP,2,i_P+1)-INDEX(CdP,2,i_P+0))/(INDEX(CdP,1,i_P+1)-INDEX(CdP,1,i_P+0))*(t-pas/2-T_ini-INDEX(CdP,1,i_P+0))+INDEX(CdP,2,i_P+0)</f>
        <v>1817.0348571428572</v>
      </c>
      <c r="R69" s="306">
        <f t="shared" ref="R69:R132" ca="1" si="49">Poussee/(g*ISP)</f>
        <v>1.0927177686459739</v>
      </c>
      <c r="S69" s="307">
        <f t="shared" ref="S69:S132" ca="1" si="50">S68-Débit*pas</f>
        <v>19.334820122941643</v>
      </c>
      <c r="T69" s="304">
        <f t="shared" ca="1" si="30"/>
        <v>189.67458540605753</v>
      </c>
      <c r="U69" s="311">
        <f t="shared" ca="1" si="31"/>
        <v>0</v>
      </c>
      <c r="V69" s="306">
        <f t="shared" ca="1" si="32"/>
        <v>1.2232033596548837</v>
      </c>
      <c r="W69" s="304">
        <f t="shared" ca="1" si="33"/>
        <v>17.273701496877582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14.677214930133299</v>
      </c>
      <c r="AG69" s="306">
        <f t="shared" ref="AG69:AG132" ca="1" si="56">IF(AND(L68&lt;L_rampe,Poussee&lt;Poids*SIN(M68)),0,(-W68+Poussee)/m-Poids*SIN(M68)/m)</f>
        <v>83.690599897419077</v>
      </c>
      <c r="AH69" s="304">
        <f t="shared" ref="AH69:AH132" ca="1" si="57">IF(AND(L68&lt;L_rampe,Poussee&lt;Poids*SIN(M68)), g*SIN(M68), (-W68+Poussee)/m)</f>
        <v>93.113585533258814</v>
      </c>
    </row>
    <row r="70" spans="1:34" x14ac:dyDescent="0.2">
      <c r="A70" s="347">
        <f t="shared" ca="1" si="35"/>
        <v>0.01</v>
      </c>
      <c r="B70" s="304">
        <f t="shared" ca="1" si="36"/>
        <v>0.66000000000000036</v>
      </c>
      <c r="D70" s="306">
        <f t="shared" ca="1" si="37"/>
        <v>25.968271982972347</v>
      </c>
      <c r="E70" s="307">
        <f t="shared" ca="1" si="38"/>
        <v>79.69707549441911</v>
      </c>
      <c r="F70" s="304">
        <f t="shared" ca="1" si="39"/>
        <v>83.821089184910775</v>
      </c>
      <c r="G70" s="306">
        <f t="shared" ca="1" si="40"/>
        <v>14.175747950152793</v>
      </c>
      <c r="H70" s="307">
        <f t="shared" ca="1" si="41"/>
        <v>48.762669126115419</v>
      </c>
      <c r="I70" s="304">
        <f t="shared" ca="1" si="42"/>
        <v>50.781391574564701</v>
      </c>
      <c r="J70" s="306">
        <f t="shared" ca="1" si="43"/>
        <v>4.2134153655548356</v>
      </c>
      <c r="K70" s="307">
        <f t="shared" ca="1" si="44"/>
        <v>15.160856767619732</v>
      </c>
      <c r="L70" s="304">
        <f t="shared" ca="1" si="29"/>
        <v>15.735451915053938</v>
      </c>
      <c r="M70" s="306">
        <f t="shared" ca="1" si="45"/>
        <v>1.2878850080654893</v>
      </c>
      <c r="N70" s="304">
        <f t="shared" ca="1" si="46"/>
        <v>73.790375460324526</v>
      </c>
      <c r="P70" s="310">
        <f t="shared" ca="1" si="47"/>
        <v>5</v>
      </c>
      <c r="Q70" s="304">
        <f t="shared" ca="1" si="48"/>
        <v>1818.2212640692642</v>
      </c>
      <c r="R70" s="306">
        <f t="shared" ca="1" si="49"/>
        <v>1.0934312430871678</v>
      </c>
      <c r="S70" s="307">
        <f t="shared" ca="1" si="50"/>
        <v>19.32388581051077</v>
      </c>
      <c r="T70" s="304">
        <f t="shared" ca="1" si="30"/>
        <v>189.56731980111067</v>
      </c>
      <c r="U70" s="311">
        <f t="shared" ca="1" si="31"/>
        <v>0</v>
      </c>
      <c r="V70" s="306">
        <f t="shared" ca="1" si="32"/>
        <v>1.2231442018204861</v>
      </c>
      <c r="W70" s="304">
        <f t="shared" ca="1" si="33"/>
        <v>17.857209000048805</v>
      </c>
      <c r="Y70" s="314" t="str">
        <f t="shared" ca="1" si="51"/>
        <v/>
      </c>
      <c r="Z70" s="315" t="str">
        <f t="shared" ca="1" si="52"/>
        <v/>
      </c>
      <c r="AA70" s="316" t="str">
        <f t="shared" ca="1" si="53"/>
        <v/>
      </c>
      <c r="AC70" s="310" t="e">
        <f t="shared" ca="1" si="54"/>
        <v>#N/A</v>
      </c>
      <c r="AD70" s="323" t="e">
        <f t="shared" ca="1" si="55"/>
        <v>#N/A</v>
      </c>
      <c r="AE70" s="324">
        <f t="shared" ca="1" si="34"/>
        <v>15.160856767619732</v>
      </c>
      <c r="AG70" s="306">
        <f t="shared" ca="1" si="56"/>
        <v>83.776508871623122</v>
      </c>
      <c r="AH70" s="304">
        <f t="shared" ca="1" si="57"/>
        <v>93.198002732597601</v>
      </c>
    </row>
    <row r="71" spans="1:34" x14ac:dyDescent="0.2">
      <c r="A71" s="347">
        <f t="shared" ca="1" si="35"/>
        <v>0.01</v>
      </c>
      <c r="B71" s="304">
        <f t="shared" ca="1" si="36"/>
        <v>0.67000000000000037</v>
      </c>
      <c r="D71" s="306">
        <f t="shared" ca="1" si="37"/>
        <v>26.039900887559018</v>
      </c>
      <c r="E71" s="307">
        <f t="shared" ca="1" si="38"/>
        <v>79.763761858766216</v>
      </c>
      <c r="F71" s="304">
        <f t="shared" ca="1" si="39"/>
        <v>83.906699041827792</v>
      </c>
      <c r="G71" s="306">
        <f t="shared" ca="1" si="40"/>
        <v>14.436146959028383</v>
      </c>
      <c r="H71" s="307">
        <f t="shared" ca="1" si="41"/>
        <v>49.560306744703084</v>
      </c>
      <c r="I71" s="304">
        <f t="shared" ca="1" si="42"/>
        <v>51.620018826534022</v>
      </c>
      <c r="J71" s="306">
        <f t="shared" ca="1" si="43"/>
        <v>4.3564748401007414</v>
      </c>
      <c r="K71" s="307">
        <f t="shared" ca="1" si="44"/>
        <v>15.652471646973824</v>
      </c>
      <c r="L71" s="304">
        <f t="shared" ca="1" si="29"/>
        <v>16.247422616887583</v>
      </c>
      <c r="M71" s="306">
        <f t="shared" ca="1" si="45"/>
        <v>1.287354499678655</v>
      </c>
      <c r="N71" s="304">
        <f t="shared" ca="1" si="46"/>
        <v>73.759979568762631</v>
      </c>
      <c r="P71" s="310">
        <f t="shared" ca="1" si="47"/>
        <v>5</v>
      </c>
      <c r="Q71" s="304">
        <f t="shared" ca="1" si="48"/>
        <v>1819.4076709956712</v>
      </c>
      <c r="R71" s="306">
        <f t="shared" ca="1" si="49"/>
        <v>1.0941447175283616</v>
      </c>
      <c r="S71" s="307">
        <f t="shared" ca="1" si="50"/>
        <v>19.312944363335486</v>
      </c>
      <c r="T71" s="304">
        <f t="shared" ca="1" si="30"/>
        <v>189.45998420432113</v>
      </c>
      <c r="U71" s="311">
        <f t="shared" ca="1" si="31"/>
        <v>0</v>
      </c>
      <c r="V71" s="306">
        <f t="shared" ca="1" si="32"/>
        <v>1.2230840716739362</v>
      </c>
      <c r="W71" s="304">
        <f t="shared" ca="1" si="33"/>
        <v>18.4509763715626</v>
      </c>
      <c r="Y71" s="314" t="str">
        <f t="shared" ca="1" si="51"/>
        <v/>
      </c>
      <c r="Z71" s="315" t="str">
        <f t="shared" ca="1" si="52"/>
        <v/>
      </c>
      <c r="AA71" s="316" t="str">
        <f t="shared" ca="1" si="53"/>
        <v/>
      </c>
      <c r="AC71" s="310" t="e">
        <f t="shared" ca="1" si="54"/>
        <v>#N/A</v>
      </c>
      <c r="AD71" s="323" t="e">
        <f t="shared" ca="1" si="55"/>
        <v>#N/A</v>
      </c>
      <c r="AE71" s="324">
        <f t="shared" ca="1" si="34"/>
        <v>15.652471646973824</v>
      </c>
      <c r="AG71" s="306">
        <f t="shared" ca="1" si="56"/>
        <v>83.861998802241047</v>
      </c>
      <c r="AH71" s="304">
        <f t="shared" ca="1" si="57"/>
        <v>93.282019981156381</v>
      </c>
    </row>
    <row r="72" spans="1:34" x14ac:dyDescent="0.2">
      <c r="A72" s="347">
        <f t="shared" ca="1" si="35"/>
        <v>0.01</v>
      </c>
      <c r="B72" s="304">
        <f t="shared" ca="1" si="36"/>
        <v>0.68000000000000038</v>
      </c>
      <c r="D72" s="306">
        <f t="shared" ca="1" si="37"/>
        <v>26.110800904252603</v>
      </c>
      <c r="E72" s="307">
        <f t="shared" ca="1" si="38"/>
        <v>79.830213959953014</v>
      </c>
      <c r="F72" s="304">
        <f t="shared" ca="1" si="39"/>
        <v>83.99188642216221</v>
      </c>
      <c r="G72" s="306">
        <f t="shared" ca="1" si="40"/>
        <v>14.69725496807091</v>
      </c>
      <c r="H72" s="307">
        <f t="shared" ca="1" si="41"/>
        <v>50.358608884302612</v>
      </c>
      <c r="I72" s="304">
        <f t="shared" ca="1" si="42"/>
        <v>52.459496684191002</v>
      </c>
      <c r="J72" s="306">
        <f t="shared" ca="1" si="43"/>
        <v>4.5021418497362378</v>
      </c>
      <c r="K72" s="307">
        <f t="shared" ca="1" si="44"/>
        <v>16.152066225118851</v>
      </c>
      <c r="L72" s="304">
        <f t="shared" ca="1" si="29"/>
        <v>16.767782339229345</v>
      </c>
      <c r="M72" s="306">
        <f t="shared" ca="1" si="45"/>
        <v>1.2868315281527618</v>
      </c>
      <c r="N72" s="304">
        <f t="shared" ca="1" si="46"/>
        <v>73.730015507523433</v>
      </c>
      <c r="P72" s="310">
        <f t="shared" ca="1" si="47"/>
        <v>5</v>
      </c>
      <c r="Q72" s="304">
        <f t="shared" ca="1" si="48"/>
        <v>1820.594077922078</v>
      </c>
      <c r="R72" s="306">
        <f t="shared" ca="1" si="49"/>
        <v>1.0948581919695553</v>
      </c>
      <c r="S72" s="307">
        <f t="shared" ca="1" si="50"/>
        <v>19.301995781415791</v>
      </c>
      <c r="T72" s="304">
        <f t="shared" ca="1" si="30"/>
        <v>189.35257861568891</v>
      </c>
      <c r="U72" s="311">
        <f t="shared" ca="1" si="31"/>
        <v>0</v>
      </c>
      <c r="V72" s="306">
        <f t="shared" ca="1" si="32"/>
        <v>1.2230229685445728</v>
      </c>
      <c r="W72" s="304">
        <f t="shared" ca="1" si="33"/>
        <v>19.055027388919584</v>
      </c>
      <c r="Y72" s="314" t="str">
        <f t="shared" ca="1" si="51"/>
        <v/>
      </c>
      <c r="Z72" s="315" t="str">
        <f t="shared" ca="1" si="52"/>
        <v/>
      </c>
      <c r="AA72" s="316" t="str">
        <f t="shared" ca="1" si="53"/>
        <v/>
      </c>
      <c r="AC72" s="310" t="e">
        <f t="shared" ca="1" si="54"/>
        <v>#N/A</v>
      </c>
      <c r="AD72" s="323" t="e">
        <f t="shared" ca="1" si="55"/>
        <v>#N/A</v>
      </c>
      <c r="AE72" s="324">
        <f t="shared" ca="1" si="34"/>
        <v>16.152066225118851</v>
      </c>
      <c r="AG72" s="306">
        <f t="shared" ca="1" si="56"/>
        <v>83.947068384152132</v>
      </c>
      <c r="AH72" s="304">
        <f t="shared" ca="1" si="57"/>
        <v>93.365635448207996</v>
      </c>
    </row>
    <row r="73" spans="1:34" x14ac:dyDescent="0.2">
      <c r="A73" s="347">
        <f t="shared" ca="1" si="35"/>
        <v>0.01</v>
      </c>
      <c r="B73" s="304">
        <f t="shared" ca="1" si="36"/>
        <v>0.69000000000000039</v>
      </c>
      <c r="D73" s="306">
        <f t="shared" ca="1" si="37"/>
        <v>26.304432186839666</v>
      </c>
      <c r="E73" s="307">
        <f t="shared" ca="1" si="38"/>
        <v>80.31938914773329</v>
      </c>
      <c r="F73" s="304">
        <f t="shared" ca="1" si="39"/>
        <v>84.517024472807037</v>
      </c>
      <c r="G73" s="306">
        <f t="shared" ca="1" si="40"/>
        <v>14.960299289939307</v>
      </c>
      <c r="H73" s="307">
        <f t="shared" ca="1" si="41"/>
        <v>51.161802775779947</v>
      </c>
      <c r="I73" s="304">
        <f t="shared" ca="1" si="42"/>
        <v>53.304227019180786</v>
      </c>
      <c r="J73" s="306">
        <f t="shared" ca="1" si="43"/>
        <v>4.650429621026289</v>
      </c>
      <c r="K73" s="307">
        <f t="shared" ca="1" si="44"/>
        <v>16.659668283419265</v>
      </c>
      <c r="L73" s="304">
        <f t="shared" ca="1" si="29"/>
        <v>17.296561593960938</v>
      </c>
      <c r="M73" s="306">
        <f t="shared" ca="1" si="45"/>
        <v>1.2863159203444769</v>
      </c>
      <c r="N73" s="304">
        <f t="shared" ca="1" si="46"/>
        <v>73.70047335622472</v>
      </c>
      <c r="P73" s="310">
        <f t="shared" ca="1" si="47"/>
        <v>6</v>
      </c>
      <c r="Q73" s="304">
        <f t="shared" ca="1" si="48"/>
        <v>1830.2754875000005</v>
      </c>
      <c r="R73" s="306">
        <f t="shared" ca="1" si="49"/>
        <v>1.1006803412969324</v>
      </c>
      <c r="S73" s="307">
        <f t="shared" ca="1" si="50"/>
        <v>19.290988978002822</v>
      </c>
      <c r="T73" s="304">
        <f t="shared" ca="1" si="30"/>
        <v>189.24460187420769</v>
      </c>
      <c r="U73" s="311">
        <f t="shared" ca="1" si="31"/>
        <v>0</v>
      </c>
      <c r="V73" s="306">
        <f t="shared" ca="1" si="32"/>
        <v>1.2229608891807733</v>
      </c>
      <c r="W73" s="304">
        <f t="shared" ca="1" si="33"/>
        <v>19.672637672484463</v>
      </c>
      <c r="Y73" s="314" t="str">
        <f t="shared" ca="1" si="51"/>
        <v/>
      </c>
      <c r="Z73" s="315" t="str">
        <f t="shared" ca="1" si="52"/>
        <v/>
      </c>
      <c r="AA73" s="316" t="str">
        <f t="shared" ca="1" si="53"/>
        <v/>
      </c>
      <c r="AC73" s="310" t="e">
        <f t="shared" ca="1" si="54"/>
        <v>#N/A</v>
      </c>
      <c r="AD73" s="323" t="e">
        <f t="shared" ca="1" si="55"/>
        <v>#N/A</v>
      </c>
      <c r="AE73" s="324">
        <f t="shared" ca="1" si="34"/>
        <v>16.659668283419265</v>
      </c>
      <c r="AG73" s="306">
        <f t="shared" ca="1" si="56"/>
        <v>84.472324948793045</v>
      </c>
      <c r="AH73" s="304">
        <f t="shared" ca="1" si="57"/>
        <v>93.889455961868208</v>
      </c>
    </row>
    <row r="74" spans="1:34" x14ac:dyDescent="0.2">
      <c r="A74" s="347">
        <f t="shared" ca="1" si="35"/>
        <v>0.01</v>
      </c>
      <c r="B74" s="304">
        <f t="shared" ca="1" si="36"/>
        <v>0.7000000000000004</v>
      </c>
      <c r="D74" s="306">
        <f t="shared" ca="1" si="37"/>
        <v>26.550993647116105</v>
      </c>
      <c r="E74" s="307">
        <f t="shared" ca="1" si="38"/>
        <v>80.990101933004283</v>
      </c>
      <c r="F74" s="304">
        <f t="shared" ca="1" si="39"/>
        <v>85.231167273290495</v>
      </c>
      <c r="G74" s="306">
        <f t="shared" ca="1" si="40"/>
        <v>15.225809226410469</v>
      </c>
      <c r="H74" s="307">
        <f t="shared" ca="1" si="41"/>
        <v>51.971703795109988</v>
      </c>
      <c r="I74" s="304">
        <f t="shared" ca="1" si="42"/>
        <v>54.156100874838621</v>
      </c>
      <c r="J74" s="306">
        <f t="shared" ca="1" si="43"/>
        <v>4.8013601636080381</v>
      </c>
      <c r="K74" s="307">
        <f t="shared" ca="1" si="44"/>
        <v>17.175335816273716</v>
      </c>
      <c r="L74" s="304">
        <f t="shared" ca="1" si="29"/>
        <v>17.833822355918457</v>
      </c>
      <c r="M74" s="306">
        <f t="shared" ca="1" si="45"/>
        <v>1.28580752651633</v>
      </c>
      <c r="N74" s="304">
        <f t="shared" ca="1" si="46"/>
        <v>73.671344535541394</v>
      </c>
      <c r="P74" s="310">
        <f t="shared" ca="1" si="47"/>
        <v>6</v>
      </c>
      <c r="Q74" s="304">
        <f t="shared" ca="1" si="48"/>
        <v>1843.5976125000004</v>
      </c>
      <c r="R74" s="306">
        <f t="shared" ca="1" si="49"/>
        <v>1.1086919227183878</v>
      </c>
      <c r="S74" s="307">
        <f t="shared" ca="1" si="50"/>
        <v>19.279902058775637</v>
      </c>
      <c r="T74" s="304">
        <f t="shared" ca="1" si="30"/>
        <v>189.13583919658902</v>
      </c>
      <c r="U74" s="311">
        <f t="shared" ca="1" si="31"/>
        <v>0</v>
      </c>
      <c r="V74" s="306">
        <f t="shared" ca="1" si="32"/>
        <v>1.2228978266391772</v>
      </c>
      <c r="W74" s="304">
        <f t="shared" ca="1" si="33"/>
        <v>20.305405898833811</v>
      </c>
      <c r="Y74" s="314" t="str">
        <f t="shared" ca="1" si="51"/>
        <v/>
      </c>
      <c r="Z74" s="315" t="str">
        <f t="shared" ca="1" si="52"/>
        <v/>
      </c>
      <c r="AA74" s="316" t="str">
        <f t="shared" ca="1" si="53"/>
        <v/>
      </c>
      <c r="AC74" s="310" t="e">
        <f t="shared" ca="1" si="54"/>
        <v>#N/A</v>
      </c>
      <c r="AD74" s="323" t="e">
        <f t="shared" ca="1" si="55"/>
        <v>#N/A</v>
      </c>
      <c r="AE74" s="324">
        <f t="shared" ca="1" si="34"/>
        <v>17.175335816273716</v>
      </c>
      <c r="AG74" s="306">
        <f t="shared" ca="1" si="56"/>
        <v>85.186685694904938</v>
      </c>
      <c r="AH74" s="304">
        <f t="shared" ca="1" si="57"/>
        <v>94.602398355925246</v>
      </c>
    </row>
    <row r="75" spans="1:34" x14ac:dyDescent="0.2">
      <c r="A75" s="347">
        <f t="shared" ca="1" si="35"/>
        <v>0.01</v>
      </c>
      <c r="B75" s="304">
        <f t="shared" ca="1" si="36"/>
        <v>0.71000000000000041</v>
      </c>
      <c r="D75" s="306">
        <f t="shared" ca="1" si="37"/>
        <v>26.797714743106159</v>
      </c>
      <c r="E75" s="307">
        <f t="shared" ca="1" si="38"/>
        <v>81.661190286475417</v>
      </c>
      <c r="F75" s="304">
        <f t="shared" ca="1" si="39"/>
        <v>85.945724236036526</v>
      </c>
      <c r="G75" s="306">
        <f t="shared" ca="1" si="40"/>
        <v>15.49378637384153</v>
      </c>
      <c r="H75" s="307">
        <f t="shared" ca="1" si="41"/>
        <v>52.788315697974745</v>
      </c>
      <c r="I75" s="304">
        <f t="shared" ca="1" si="42"/>
        <v>55.015122379462944</v>
      </c>
      <c r="J75" s="306">
        <f t="shared" ca="1" si="43"/>
        <v>4.954958141609298</v>
      </c>
      <c r="K75" s="307">
        <f t="shared" ca="1" si="44"/>
        <v>17.699135913739138</v>
      </c>
      <c r="L75" s="304">
        <f t="shared" ca="1" si="29"/>
        <v>18.379636075779924</v>
      </c>
      <c r="M75" s="306">
        <f t="shared" ca="1" si="45"/>
        <v>1.2853062008524123</v>
      </c>
      <c r="N75" s="304">
        <f t="shared" ca="1" si="46"/>
        <v>73.642620690837319</v>
      </c>
      <c r="P75" s="310">
        <f t="shared" ca="1" si="47"/>
        <v>6</v>
      </c>
      <c r="Q75" s="304">
        <f t="shared" ca="1" si="48"/>
        <v>1856.9197375000006</v>
      </c>
      <c r="R75" s="306">
        <f t="shared" ca="1" si="49"/>
        <v>1.1167035041398434</v>
      </c>
      <c r="S75" s="307">
        <f t="shared" ca="1" si="50"/>
        <v>19.268735023734237</v>
      </c>
      <c r="T75" s="304">
        <f t="shared" ca="1" si="30"/>
        <v>189.02629058283287</v>
      </c>
      <c r="U75" s="311">
        <f t="shared" ca="1" si="31"/>
        <v>0</v>
      </c>
      <c r="V75" s="306">
        <f t="shared" ca="1" si="32"/>
        <v>1.2228337728679886</v>
      </c>
      <c r="W75" s="304">
        <f t="shared" ca="1" si="33"/>
        <v>20.95358396315903</v>
      </c>
      <c r="Y75" s="314" t="str">
        <f t="shared" ca="1" si="51"/>
        <v/>
      </c>
      <c r="Z75" s="315" t="str">
        <f t="shared" ca="1" si="52"/>
        <v/>
      </c>
      <c r="AA75" s="316" t="str">
        <f t="shared" ca="1" si="53"/>
        <v/>
      </c>
      <c r="AC75" s="310" t="e">
        <f t="shared" ca="1" si="54"/>
        <v>#N/A</v>
      </c>
      <c r="AD75" s="323" t="e">
        <f t="shared" ca="1" si="55"/>
        <v>#N/A</v>
      </c>
      <c r="AE75" s="324">
        <f t="shared" ca="1" si="34"/>
        <v>17.699135913739138</v>
      </c>
      <c r="AG75" s="306">
        <f t="shared" ca="1" si="56"/>
        <v>85.901459122004752</v>
      </c>
      <c r="AH75" s="304">
        <f t="shared" ca="1" si="57"/>
        <v>95.315770824546576</v>
      </c>
    </row>
    <row r="76" spans="1:34" x14ac:dyDescent="0.2">
      <c r="A76" s="347">
        <f t="shared" ca="1" si="35"/>
        <v>0.01</v>
      </c>
      <c r="B76" s="304">
        <f t="shared" ca="1" si="36"/>
        <v>0.72000000000000042</v>
      </c>
      <c r="D76" s="306">
        <f t="shared" ca="1" si="37"/>
        <v>27.044593883539029</v>
      </c>
      <c r="E76" s="307">
        <f t="shared" ca="1" si="38"/>
        <v>82.332651602456949</v>
      </c>
      <c r="F76" s="304">
        <f t="shared" ca="1" si="39"/>
        <v>86.660692232505923</v>
      </c>
      <c r="G76" s="306">
        <f t="shared" ca="1" si="40"/>
        <v>15.764232312676921</v>
      </c>
      <c r="H76" s="307">
        <f t="shared" ca="1" si="41"/>
        <v>53.611642213999318</v>
      </c>
      <c r="I76" s="304">
        <f t="shared" ca="1" si="42"/>
        <v>55.881295630022038</v>
      </c>
      <c r="J76" s="306">
        <f t="shared" ca="1" si="43"/>
        <v>5.1112482350418906</v>
      </c>
      <c r="K76" s="307">
        <f t="shared" ca="1" si="44"/>
        <v>18.231135703299007</v>
      </c>
      <c r="L76" s="304">
        <f t="shared" ca="1" si="29"/>
        <v>18.934074245981044</v>
      </c>
      <c r="M76" s="306">
        <f t="shared" ca="1" si="45"/>
        <v>1.2848118013345784</v>
      </c>
      <c r="N76" s="304">
        <f t="shared" ca="1" si="46"/>
        <v>73.614293685072127</v>
      </c>
      <c r="P76" s="310">
        <f t="shared" ca="1" si="47"/>
        <v>6</v>
      </c>
      <c r="Q76" s="304">
        <f t="shared" ca="1" si="48"/>
        <v>1870.2418625000005</v>
      </c>
      <c r="R76" s="306">
        <f t="shared" ca="1" si="49"/>
        <v>1.1247150855612988</v>
      </c>
      <c r="S76" s="307">
        <f t="shared" ca="1" si="50"/>
        <v>19.257487872878624</v>
      </c>
      <c r="T76" s="304">
        <f t="shared" ca="1" si="30"/>
        <v>188.91595603293931</v>
      </c>
      <c r="U76" s="311">
        <f t="shared" ca="1" si="31"/>
        <v>0</v>
      </c>
      <c r="V76" s="306">
        <f t="shared" ca="1" si="32"/>
        <v>1.2227687198149382</v>
      </c>
      <c r="W76" s="304">
        <f t="shared" ca="1" si="33"/>
        <v>21.617425908546746</v>
      </c>
      <c r="Y76" s="314" t="str">
        <f t="shared" ca="1" si="51"/>
        <v/>
      </c>
      <c r="Z76" s="315" t="str">
        <f t="shared" ca="1" si="52"/>
        <v/>
      </c>
      <c r="AA76" s="316" t="str">
        <f t="shared" ca="1" si="53"/>
        <v/>
      </c>
      <c r="AC76" s="310" t="e">
        <f t="shared" ca="1" si="54"/>
        <v>#N/A</v>
      </c>
      <c r="AD76" s="323" t="e">
        <f t="shared" ca="1" si="55"/>
        <v>#N/A</v>
      </c>
      <c r="AE76" s="324">
        <f t="shared" ca="1" si="34"/>
        <v>18.231135703299007</v>
      </c>
      <c r="AG76" s="306">
        <f t="shared" ca="1" si="56"/>
        <v>86.616642100201332</v>
      </c>
      <c r="AH76" s="304">
        <f t="shared" ca="1" si="57"/>
        <v>96.029569938937655</v>
      </c>
    </row>
    <row r="77" spans="1:34" x14ac:dyDescent="0.2">
      <c r="A77" s="347">
        <f t="shared" ca="1" si="35"/>
        <v>0.01</v>
      </c>
      <c r="B77" s="304">
        <f t="shared" ca="1" si="36"/>
        <v>0.73000000000000043</v>
      </c>
      <c r="D77" s="306">
        <f t="shared" ca="1" si="37"/>
        <v>27.291629466476675</v>
      </c>
      <c r="E77" s="307">
        <f t="shared" ca="1" si="38"/>
        <v>83.004483152293275</v>
      </c>
      <c r="F77" s="304">
        <f t="shared" ca="1" si="39"/>
        <v>87.376068018163849</v>
      </c>
      <c r="G77" s="306">
        <f t="shared" ca="1" si="40"/>
        <v>16.037148607341688</v>
      </c>
      <c r="H77" s="307">
        <f t="shared" ca="1" si="41"/>
        <v>54.441687045522251</v>
      </c>
      <c r="I77" s="304">
        <f t="shared" ca="1" si="42"/>
        <v>56.754624691002462</v>
      </c>
      <c r="J77" s="306">
        <f t="shared" ca="1" si="43"/>
        <v>5.2702551396419839</v>
      </c>
      <c r="K77" s="307">
        <f t="shared" ca="1" si="44"/>
        <v>18.771402349596613</v>
      </c>
      <c r="L77" s="304">
        <f t="shared" ca="1" si="29"/>
        <v>19.497208400367576</v>
      </c>
      <c r="M77" s="306">
        <f t="shared" ca="1" si="45"/>
        <v>1.2843241896231332</v>
      </c>
      <c r="N77" s="304">
        <f t="shared" ca="1" si="46"/>
        <v>73.586355591965173</v>
      </c>
      <c r="P77" s="310">
        <f t="shared" ca="1" si="47"/>
        <v>6</v>
      </c>
      <c r="Q77" s="304">
        <f t="shared" ca="1" si="48"/>
        <v>1883.5639875000006</v>
      </c>
      <c r="R77" s="306">
        <f t="shared" ca="1" si="49"/>
        <v>1.1327266669827545</v>
      </c>
      <c r="S77" s="307">
        <f t="shared" ca="1" si="50"/>
        <v>19.246160606208797</v>
      </c>
      <c r="T77" s="304">
        <f t="shared" ca="1" si="30"/>
        <v>188.80483554690829</v>
      </c>
      <c r="U77" s="311">
        <f t="shared" ca="1" si="31"/>
        <v>0</v>
      </c>
      <c r="V77" s="306">
        <f t="shared" ca="1" si="32"/>
        <v>1.2227026594273855</v>
      </c>
      <c r="W77" s="304">
        <f t="shared" ca="1" si="33"/>
        <v>22.297187923535876</v>
      </c>
      <c r="Y77" s="314" t="str">
        <f t="shared" ca="1" si="51"/>
        <v/>
      </c>
      <c r="Z77" s="315" t="str">
        <f t="shared" ca="1" si="52"/>
        <v/>
      </c>
      <c r="AA77" s="316" t="str">
        <f t="shared" ca="1" si="53"/>
        <v/>
      </c>
      <c r="AC77" s="310" t="e">
        <f t="shared" ca="1" si="54"/>
        <v>#N/A</v>
      </c>
      <c r="AD77" s="323" t="e">
        <f t="shared" ca="1" si="55"/>
        <v>#N/A</v>
      </c>
      <c r="AE77" s="324">
        <f t="shared" ca="1" si="34"/>
        <v>18.771402349596613</v>
      </c>
      <c r="AG77" s="306">
        <f t="shared" ca="1" si="56"/>
        <v>87.332231384374452</v>
      </c>
      <c r="AH77" s="304">
        <f t="shared" ca="1" si="57"/>
        <v>96.743792161372241</v>
      </c>
    </row>
    <row r="78" spans="1:34" x14ac:dyDescent="0.2">
      <c r="A78" s="347">
        <f t="shared" ca="1" si="35"/>
        <v>0.01</v>
      </c>
      <c r="B78" s="304">
        <f t="shared" ca="1" si="36"/>
        <v>0.74000000000000044</v>
      </c>
      <c r="D78" s="306">
        <f t="shared" ca="1" si="37"/>
        <v>27.53881987799452</v>
      </c>
      <c r="E78" s="307">
        <f t="shared" ca="1" si="38"/>
        <v>83.676682084771244</v>
      </c>
      <c r="F78" s="304">
        <f t="shared" ca="1" si="39"/>
        <v>88.091848232333632</v>
      </c>
      <c r="G78" s="306">
        <f t="shared" ca="1" si="40"/>
        <v>16.312536806121635</v>
      </c>
      <c r="H78" s="307">
        <f t="shared" ca="1" si="41"/>
        <v>55.278453866369965</v>
      </c>
      <c r="I78" s="304">
        <f t="shared" ca="1" si="42"/>
        <v>57.635113593255504</v>
      </c>
      <c r="J78" s="306">
        <f t="shared" ca="1" si="43"/>
        <v>5.4320035667093007</v>
      </c>
      <c r="K78" s="307">
        <f t="shared" ca="1" si="44"/>
        <v>19.320003054156075</v>
      </c>
      <c r="L78" s="304">
        <f t="shared" ca="1" si="29"/>
        <v>20.069110113837699</v>
      </c>
      <c r="M78" s="306">
        <f t="shared" ca="1" si="45"/>
        <v>1.2838432309418257</v>
      </c>
      <c r="N78" s="304">
        <f t="shared" ca="1" si="46"/>
        <v>73.558798689406075</v>
      </c>
      <c r="P78" s="310">
        <f t="shared" ca="1" si="47"/>
        <v>6</v>
      </c>
      <c r="Q78" s="304">
        <f t="shared" ca="1" si="48"/>
        <v>1896.8861125000005</v>
      </c>
      <c r="R78" s="306">
        <f t="shared" ca="1" si="49"/>
        <v>1.1407382484042099</v>
      </c>
      <c r="S78" s="307">
        <f t="shared" ca="1" si="50"/>
        <v>19.234753223724756</v>
      </c>
      <c r="T78" s="304">
        <f t="shared" ca="1" si="30"/>
        <v>188.69292912473986</v>
      </c>
      <c r="U78" s="311">
        <f t="shared" ca="1" si="31"/>
        <v>0</v>
      </c>
      <c r="V78" s="306">
        <f t="shared" ca="1" si="32"/>
        <v>1.2226355836524188</v>
      </c>
      <c r="W78" s="304">
        <f t="shared" ca="1" si="33"/>
        <v>22.993128339482297</v>
      </c>
      <c r="Y78" s="314" t="str">
        <f t="shared" ca="1" si="51"/>
        <v/>
      </c>
      <c r="Z78" s="315" t="str">
        <f t="shared" ca="1" si="52"/>
        <v/>
      </c>
      <c r="AA78" s="316" t="str">
        <f t="shared" ca="1" si="53"/>
        <v/>
      </c>
      <c r="AC78" s="310" t="e">
        <f t="shared" ca="1" si="54"/>
        <v>#N/A</v>
      </c>
      <c r="AD78" s="323" t="e">
        <f t="shared" ca="1" si="55"/>
        <v>#N/A</v>
      </c>
      <c r="AE78" s="324">
        <f t="shared" ca="1" si="34"/>
        <v>19.320003054156075</v>
      </c>
      <c r="AG78" s="306">
        <f t="shared" ca="1" si="56"/>
        <v>88.048223613981634</v>
      </c>
      <c r="AH78" s="304">
        <f t="shared" ca="1" si="57"/>
        <v>97.458433844853658</v>
      </c>
    </row>
    <row r="79" spans="1:34" x14ac:dyDescent="0.2">
      <c r="A79" s="347">
        <f t="shared" ca="1" si="35"/>
        <v>0.01</v>
      </c>
      <c r="B79" s="304">
        <f t="shared" ca="1" si="36"/>
        <v>0.75000000000000044</v>
      </c>
      <c r="D79" s="306">
        <f t="shared" ca="1" si="37"/>
        <v>27.786163490923567</v>
      </c>
      <c r="E79" s="307">
        <f t="shared" ca="1" si="38"/>
        <v>84.349245426500644</v>
      </c>
      <c r="F79" s="304">
        <f t="shared" ca="1" si="39"/>
        <v>88.808029398046969</v>
      </c>
      <c r="G79" s="306">
        <f t="shared" ca="1" si="40"/>
        <v>16.590398441030871</v>
      </c>
      <c r="H79" s="307">
        <f t="shared" ca="1" si="41"/>
        <v>56.121946320634969</v>
      </c>
      <c r="I79" s="304">
        <f t="shared" ca="1" si="42"/>
        <v>58.522766332841719</v>
      </c>
      <c r="J79" s="306">
        <f t="shared" ca="1" si="43"/>
        <v>5.5965182429450628</v>
      </c>
      <c r="K79" s="307">
        <f t="shared" ca="1" si="44"/>
        <v>19.8770050550911</v>
      </c>
      <c r="L79" s="304">
        <f t="shared" ca="1" si="29"/>
        <v>20.649851001974181</v>
      </c>
      <c r="M79" s="306">
        <f t="shared" ca="1" si="45"/>
        <v>1.283368793966974</v>
      </c>
      <c r="N79" s="304">
        <f t="shared" ca="1" si="46"/>
        <v>73.53161545310212</v>
      </c>
      <c r="P79" s="310">
        <f t="shared" ca="1" si="47"/>
        <v>6</v>
      </c>
      <c r="Q79" s="304">
        <f t="shared" ca="1" si="48"/>
        <v>1910.2082375000007</v>
      </c>
      <c r="R79" s="306">
        <f t="shared" ca="1" si="49"/>
        <v>1.1487498298256655</v>
      </c>
      <c r="S79" s="307">
        <f t="shared" ca="1" si="50"/>
        <v>19.223265725426501</v>
      </c>
      <c r="T79" s="304">
        <f t="shared" ca="1" si="30"/>
        <v>188.58023676643398</v>
      </c>
      <c r="U79" s="311">
        <f t="shared" ca="1" si="31"/>
        <v>0</v>
      </c>
      <c r="V79" s="306">
        <f t="shared" ca="1" si="32"/>
        <v>1.2225674844369585</v>
      </c>
      <c r="W79" s="304">
        <f t="shared" ca="1" si="33"/>
        <v>23.705507627727993</v>
      </c>
      <c r="Y79" s="314" t="str">
        <f t="shared" ca="1" si="51"/>
        <v/>
      </c>
      <c r="Z79" s="315" t="str">
        <f t="shared" ca="1" si="52"/>
        <v/>
      </c>
      <c r="AA79" s="316" t="str">
        <f t="shared" ca="1" si="53"/>
        <v/>
      </c>
      <c r="AC79" s="310" t="e">
        <f t="shared" ca="1" si="54"/>
        <v>#N/A</v>
      </c>
      <c r="AD79" s="323" t="e">
        <f t="shared" ca="1" si="55"/>
        <v>#N/A</v>
      </c>
      <c r="AE79" s="324">
        <f t="shared" ca="1" si="34"/>
        <v>19.8770050550911</v>
      </c>
      <c r="AG79" s="306">
        <f t="shared" ca="1" si="56"/>
        <v>88.764615312863896</v>
      </c>
      <c r="AH79" s="304">
        <f t="shared" ca="1" si="57"/>
        <v>98.173491232777891</v>
      </c>
    </row>
    <row r="80" spans="1:34" x14ac:dyDescent="0.2">
      <c r="A80" s="347">
        <f t="shared" ca="1" si="35"/>
        <v>0.01</v>
      </c>
      <c r="B80" s="304">
        <f t="shared" ca="1" si="36"/>
        <v>0.76000000000000045</v>
      </c>
      <c r="D80" s="306">
        <f t="shared" ca="1" si="37"/>
        <v>28.03365866365121</v>
      </c>
      <c r="E80" s="307">
        <f t="shared" ca="1" si="38"/>
        <v>85.022170082268161</v>
      </c>
      <c r="F80" s="304">
        <f t="shared" ca="1" si="39"/>
        <v>89.52460792189062</v>
      </c>
      <c r="G80" s="306">
        <f t="shared" ca="1" si="40"/>
        <v>16.870735027667383</v>
      </c>
      <c r="H80" s="307">
        <f t="shared" ca="1" si="41"/>
        <v>56.972168021457648</v>
      </c>
      <c r="I80" s="304">
        <f t="shared" ca="1" si="42"/>
        <v>59.41758686987351</v>
      </c>
      <c r="J80" s="306">
        <f t="shared" ca="1" si="43"/>
        <v>5.7638239102885542</v>
      </c>
      <c r="K80" s="307">
        <f t="shared" ca="1" si="44"/>
        <v>20.442475626801563</v>
      </c>
      <c r="L80" s="304">
        <f t="shared" ca="1" si="29"/>
        <v>21.239502720666273</v>
      </c>
      <c r="M80" s="306">
        <f t="shared" ca="1" si="45"/>
        <v>1.2829007507205645</v>
      </c>
      <c r="N80" s="304">
        <f t="shared" ca="1" si="46"/>
        <v>73.504798550453259</v>
      </c>
      <c r="P80" s="310">
        <f t="shared" ca="1" si="47"/>
        <v>6</v>
      </c>
      <c r="Q80" s="304">
        <f t="shared" ca="1" si="48"/>
        <v>1923.5303625000006</v>
      </c>
      <c r="R80" s="306">
        <f t="shared" ca="1" si="49"/>
        <v>1.156761411247121</v>
      </c>
      <c r="S80" s="307">
        <f t="shared" ca="1" si="50"/>
        <v>19.211698111314028</v>
      </c>
      <c r="T80" s="304">
        <f t="shared" ca="1" si="30"/>
        <v>188.46675847199063</v>
      </c>
      <c r="U80" s="311">
        <f t="shared" ca="1" si="31"/>
        <v>0</v>
      </c>
      <c r="V80" s="306">
        <f t="shared" ca="1" si="32"/>
        <v>1.222498353727864</v>
      </c>
      <c r="W80" s="304">
        <f t="shared" ca="1" si="33"/>
        <v>24.434588396571648</v>
      </c>
      <c r="Y80" s="314" t="str">
        <f t="shared" ca="1" si="51"/>
        <v/>
      </c>
      <c r="Z80" s="315" t="str">
        <f t="shared" ca="1" si="52"/>
        <v/>
      </c>
      <c r="AA80" s="316" t="str">
        <f t="shared" ca="1" si="53"/>
        <v/>
      </c>
      <c r="AC80" s="310" t="e">
        <f t="shared" ca="1" si="54"/>
        <v>#N/A</v>
      </c>
      <c r="AD80" s="323" t="e">
        <f t="shared" ca="1" si="55"/>
        <v>#N/A</v>
      </c>
      <c r="AE80" s="324">
        <f t="shared" ca="1" si="34"/>
        <v>20.442475626801563</v>
      </c>
      <c r="AG80" s="306">
        <f t="shared" ca="1" si="56"/>
        <v>89.481402889050671</v>
      </c>
      <c r="AH80" s="304">
        <f t="shared" ca="1" si="57"/>
        <v>98.88896045859893</v>
      </c>
    </row>
    <row r="81" spans="1:34" x14ac:dyDescent="0.2">
      <c r="A81" s="347">
        <f t="shared" ca="1" si="35"/>
        <v>0.01</v>
      </c>
      <c r="B81" s="304">
        <f t="shared" ca="1" si="36"/>
        <v>0.77000000000000046</v>
      </c>
      <c r="D81" s="306">
        <f t="shared" ca="1" si="37"/>
        <v>28.050353508537473</v>
      </c>
      <c r="E81" s="307">
        <f t="shared" ca="1" si="38"/>
        <v>84.915538071036792</v>
      </c>
      <c r="F81" s="304">
        <f t="shared" ca="1" si="39"/>
        <v>89.428580095222458</v>
      </c>
      <c r="G81" s="306">
        <f t="shared" ca="1" si="40"/>
        <v>17.151238562752759</v>
      </c>
      <c r="H81" s="307">
        <f t="shared" ca="1" si="41"/>
        <v>57.821323402168019</v>
      </c>
      <c r="I81" s="304">
        <f t="shared" ca="1" si="42"/>
        <v>60.311445217425856</v>
      </c>
      <c r="J81" s="306">
        <f t="shared" ca="1" si="43"/>
        <v>5.9339337782406547</v>
      </c>
      <c r="K81" s="307">
        <f t="shared" ca="1" si="44"/>
        <v>21.016443083919693</v>
      </c>
      <c r="L81" s="304">
        <f t="shared" ca="1" si="29"/>
        <v>21.838096299452967</v>
      </c>
      <c r="M81" s="306">
        <f t="shared" ca="1" si="45"/>
        <v>1.2824389141899202</v>
      </c>
      <c r="N81" s="304">
        <f t="shared" ca="1" si="46"/>
        <v>73.478337266422372</v>
      </c>
      <c r="P81" s="310">
        <f t="shared" ca="1" si="47"/>
        <v>7</v>
      </c>
      <c r="Q81" s="304">
        <f t="shared" ca="1" si="48"/>
        <v>1921.2446105263155</v>
      </c>
      <c r="R81" s="306">
        <f t="shared" ca="1" si="49"/>
        <v>1.1553868191271377</v>
      </c>
      <c r="S81" s="307">
        <f t="shared" ca="1" si="50"/>
        <v>19.200144243122757</v>
      </c>
      <c r="T81" s="304">
        <f t="shared" ca="1" si="30"/>
        <v>188.35341502503425</v>
      </c>
      <c r="U81" s="311">
        <f t="shared" ca="1" si="31"/>
        <v>0</v>
      </c>
      <c r="V81" s="306">
        <f t="shared" ca="1" si="32"/>
        <v>1.2224281882389945</v>
      </c>
      <c r="W81" s="304">
        <f t="shared" ca="1" si="33"/>
        <v>25.173844881438963</v>
      </c>
      <c r="Y81" s="314" t="str">
        <f t="shared" ca="1" si="51"/>
        <v/>
      </c>
      <c r="Z81" s="315" t="str">
        <f t="shared" ca="1" si="52"/>
        <v/>
      </c>
      <c r="AA81" s="316" t="str">
        <f t="shared" ca="1" si="53"/>
        <v/>
      </c>
      <c r="AC81" s="310" t="e">
        <f t="shared" ca="1" si="54"/>
        <v>#N/A</v>
      </c>
      <c r="AD81" s="323" t="e">
        <f t="shared" ca="1" si="55"/>
        <v>#N/A</v>
      </c>
      <c r="AE81" s="324">
        <f t="shared" ca="1" si="34"/>
        <v>21.016443083919693</v>
      </c>
      <c r="AG81" s="306">
        <f t="shared" ca="1" si="56"/>
        <v>89.385191554849058</v>
      </c>
      <c r="AH81" s="304">
        <f t="shared" ca="1" si="57"/>
        <v>98.791446465781448</v>
      </c>
    </row>
    <row r="82" spans="1:34" x14ac:dyDescent="0.2">
      <c r="A82" s="347">
        <f t="shared" ca="1" si="35"/>
        <v>0.01</v>
      </c>
      <c r="B82" s="304">
        <f t="shared" ca="1" si="36"/>
        <v>0.78000000000000047</v>
      </c>
      <c r="D82" s="306">
        <f t="shared" ca="1" si="37"/>
        <v>27.9669712090902</v>
      </c>
      <c r="E82" s="307">
        <f t="shared" ca="1" si="38"/>
        <v>84.473994764771376</v>
      </c>
      <c r="F82" s="304">
        <f t="shared" ca="1" si="39"/>
        <v>88.983185322445621</v>
      </c>
      <c r="G82" s="306">
        <f t="shared" ca="1" si="40"/>
        <v>17.430908274843663</v>
      </c>
      <c r="H82" s="307">
        <f t="shared" ca="1" si="41"/>
        <v>58.66606334981573</v>
      </c>
      <c r="I82" s="304">
        <f t="shared" ca="1" si="42"/>
        <v>61.200846009271842</v>
      </c>
      <c r="J82" s="306">
        <f t="shared" ca="1" si="43"/>
        <v>6.106844512428637</v>
      </c>
      <c r="K82" s="307">
        <f t="shared" ca="1" si="44"/>
        <v>21.598880017679612</v>
      </c>
      <c r="L82" s="304">
        <f t="shared" ca="1" si="29"/>
        <v>22.445604645834322</v>
      </c>
      <c r="M82" s="306">
        <f t="shared" ca="1" si="45"/>
        <v>1.2819830795248512</v>
      </c>
      <c r="N82" s="304">
        <f t="shared" ca="1" si="46"/>
        <v>73.452219863958163</v>
      </c>
      <c r="P82" s="310">
        <f t="shared" ca="1" si="47"/>
        <v>7</v>
      </c>
      <c r="Q82" s="304">
        <f t="shared" ca="1" si="48"/>
        <v>1912.2697684210523</v>
      </c>
      <c r="R82" s="306">
        <f t="shared" ca="1" si="49"/>
        <v>1.1499895812036816</v>
      </c>
      <c r="S82" s="307">
        <f t="shared" ca="1" si="50"/>
        <v>19.188644347310721</v>
      </c>
      <c r="T82" s="304">
        <f t="shared" ca="1" si="30"/>
        <v>188.24060104711819</v>
      </c>
      <c r="U82" s="311">
        <f t="shared" ca="1" si="31"/>
        <v>0</v>
      </c>
      <c r="V82" s="306">
        <f t="shared" ca="1" si="32"/>
        <v>1.2223569914990096</v>
      </c>
      <c r="W82" s="304">
        <f t="shared" ca="1" si="33"/>
        <v>25.920276938835169</v>
      </c>
      <c r="Y82" s="314" t="str">
        <f t="shared" ca="1" si="51"/>
        <v/>
      </c>
      <c r="Z82" s="315" t="str">
        <f t="shared" ca="1" si="52"/>
        <v/>
      </c>
      <c r="AA82" s="316" t="str">
        <f t="shared" ca="1" si="53"/>
        <v/>
      </c>
      <c r="AC82" s="310" t="e">
        <f t="shared" ca="1" si="54"/>
        <v>#N/A</v>
      </c>
      <c r="AD82" s="323" t="e">
        <f t="shared" ca="1" si="55"/>
        <v>#N/A</v>
      </c>
      <c r="AE82" s="324">
        <f t="shared" ca="1" si="34"/>
        <v>21.598880017679612</v>
      </c>
      <c r="AG82" s="306">
        <f t="shared" ca="1" si="56"/>
        <v>88.939443352980561</v>
      </c>
      <c r="AH82" s="304">
        <f t="shared" ca="1" si="57"/>
        <v>98.344410860066247</v>
      </c>
    </row>
    <row r="83" spans="1:34" x14ac:dyDescent="0.2">
      <c r="A83" s="347">
        <f t="shared" ca="1" si="35"/>
        <v>0.01</v>
      </c>
      <c r="B83" s="304">
        <f t="shared" ca="1" si="36"/>
        <v>0.79000000000000048</v>
      </c>
      <c r="D83" s="306">
        <f t="shared" ca="1" si="37"/>
        <v>27.882286102921618</v>
      </c>
      <c r="E83" s="307">
        <f t="shared" ca="1" si="38"/>
        <v>84.031579397924801</v>
      </c>
      <c r="F83" s="304">
        <f t="shared" ca="1" si="39"/>
        <v>88.536592516512158</v>
      </c>
      <c r="G83" s="306">
        <f t="shared" ca="1" si="40"/>
        <v>17.709731135872879</v>
      </c>
      <c r="H83" s="307">
        <f t="shared" ca="1" si="41"/>
        <v>59.50637914379498</v>
      </c>
      <c r="I83" s="304">
        <f t="shared" ca="1" si="42"/>
        <v>62.085777241732131</v>
      </c>
      <c r="J83" s="306">
        <f t="shared" ca="1" si="43"/>
        <v>6.2825477094822197</v>
      </c>
      <c r="K83" s="307">
        <f t="shared" ca="1" si="44"/>
        <v>22.189742230147665</v>
      </c>
      <c r="L83" s="304">
        <f t="shared" ca="1" si="29"/>
        <v>23.061983131602513</v>
      </c>
      <c r="M83" s="306">
        <f t="shared" ca="1" si="45"/>
        <v>1.2815330515705732</v>
      </c>
      <c r="N83" s="304">
        <f t="shared" ca="1" si="46"/>
        <v>73.426435161515116</v>
      </c>
      <c r="P83" s="310">
        <f t="shared" ca="1" si="47"/>
        <v>7</v>
      </c>
      <c r="Q83" s="304">
        <f t="shared" ca="1" si="48"/>
        <v>1903.2949263157891</v>
      </c>
      <c r="R83" s="306">
        <f t="shared" ca="1" si="49"/>
        <v>1.1445923432802254</v>
      </c>
      <c r="S83" s="307">
        <f t="shared" ca="1" si="50"/>
        <v>19.177198423877918</v>
      </c>
      <c r="T83" s="304">
        <f t="shared" ca="1" si="30"/>
        <v>188.12831653824239</v>
      </c>
      <c r="U83" s="311">
        <f t="shared" ca="1" si="31"/>
        <v>0</v>
      </c>
      <c r="V83" s="306">
        <f t="shared" ca="1" si="32"/>
        <v>1.2222847690905057</v>
      </c>
      <c r="W83" s="304">
        <f t="shared" ca="1" si="33"/>
        <v>26.673706605342019</v>
      </c>
      <c r="Y83" s="314" t="str">
        <f t="shared" ca="1" si="51"/>
        <v/>
      </c>
      <c r="Z83" s="315" t="str">
        <f t="shared" ca="1" si="52"/>
        <v/>
      </c>
      <c r="AA83" s="316" t="str">
        <f t="shared" ca="1" si="53"/>
        <v/>
      </c>
      <c r="AC83" s="310" t="e">
        <f t="shared" ca="1" si="54"/>
        <v>#N/A</v>
      </c>
      <c r="AD83" s="323" t="e">
        <f t="shared" ca="1" si="55"/>
        <v>#N/A</v>
      </c>
      <c r="AE83" s="324">
        <f t="shared" ca="1" si="34"/>
        <v>22.189742230147665</v>
      </c>
      <c r="AG83" s="306">
        <f t="shared" ca="1" si="56"/>
        <v>88.492494549441574</v>
      </c>
      <c r="AH83" s="304">
        <f t="shared" ca="1" si="57"/>
        <v>97.896189416249499</v>
      </c>
    </row>
    <row r="84" spans="1:34" x14ac:dyDescent="0.2">
      <c r="A84" s="347">
        <f t="shared" ca="1" si="35"/>
        <v>0.01</v>
      </c>
      <c r="B84" s="304">
        <f t="shared" ca="1" si="36"/>
        <v>0.80000000000000049</v>
      </c>
      <c r="D84" s="306">
        <f t="shared" ca="1" si="37"/>
        <v>27.796326021889708</v>
      </c>
      <c r="E84" s="307">
        <f t="shared" ca="1" si="38"/>
        <v>83.588296245877913</v>
      </c>
      <c r="F84" s="304">
        <f t="shared" ca="1" si="39"/>
        <v>88.088813192163229</v>
      </c>
      <c r="G84" s="306">
        <f t="shared" ca="1" si="40"/>
        <v>17.987694396091776</v>
      </c>
      <c r="H84" s="307">
        <f t="shared" ca="1" si="41"/>
        <v>60.342262106253756</v>
      </c>
      <c r="I84" s="304">
        <f t="shared" ca="1" si="42"/>
        <v>62.966227025184061</v>
      </c>
      <c r="J84" s="306">
        <f t="shared" ca="1" si="43"/>
        <v>6.4610348371420434</v>
      </c>
      <c r="K84" s="307">
        <f t="shared" ca="1" si="44"/>
        <v>22.788985436397908</v>
      </c>
      <c r="L84" s="304">
        <f t="shared" ca="1" si="29"/>
        <v>23.687187008742072</v>
      </c>
      <c r="M84" s="306">
        <f t="shared" ca="1" si="45"/>
        <v>1.281088644258165</v>
      </c>
      <c r="N84" s="304">
        <f t="shared" ca="1" si="46"/>
        <v>73.400972498129377</v>
      </c>
      <c r="P84" s="310">
        <f t="shared" ca="1" si="47"/>
        <v>7</v>
      </c>
      <c r="Q84" s="304">
        <f t="shared" ca="1" si="48"/>
        <v>1894.3200842105259</v>
      </c>
      <c r="R84" s="306">
        <f t="shared" ca="1" si="49"/>
        <v>1.1391951053567693</v>
      </c>
      <c r="S84" s="307">
        <f t="shared" ca="1" si="50"/>
        <v>19.16580647282435</v>
      </c>
      <c r="T84" s="304">
        <f t="shared" ca="1" si="30"/>
        <v>188.01656149840687</v>
      </c>
      <c r="U84" s="311">
        <f t="shared" ca="1" si="31"/>
        <v>0</v>
      </c>
      <c r="V84" s="306">
        <f t="shared" ca="1" si="32"/>
        <v>1.2222115266080174</v>
      </c>
      <c r="W84" s="304">
        <f t="shared" ca="1" si="33"/>
        <v>27.433956276073097</v>
      </c>
      <c r="Y84" s="314" t="str">
        <f t="shared" ca="1" si="51"/>
        <v/>
      </c>
      <c r="Z84" s="315" t="str">
        <f t="shared" ca="1" si="52"/>
        <v/>
      </c>
      <c r="AA84" s="316" t="str">
        <f t="shared" ca="1" si="53"/>
        <v/>
      </c>
      <c r="AC84" s="310" t="e">
        <f t="shared" ca="1" si="54"/>
        <v>#N/A</v>
      </c>
      <c r="AD84" s="323" t="e">
        <f t="shared" ca="1" si="55"/>
        <v>#N/A</v>
      </c>
      <c r="AE84" s="324">
        <f t="shared" ca="1" si="34"/>
        <v>22.788985436397908</v>
      </c>
      <c r="AG84" s="306">
        <f t="shared" ca="1" si="56"/>
        <v>88.044356560451021</v>
      </c>
      <c r="AH84" s="304">
        <f t="shared" ca="1" si="57"/>
        <v>97.446793081906776</v>
      </c>
    </row>
    <row r="85" spans="1:34" x14ac:dyDescent="0.2">
      <c r="A85" s="347">
        <f t="shared" ca="1" si="35"/>
        <v>0.01</v>
      </c>
      <c r="B85" s="304">
        <f t="shared" ca="1" si="36"/>
        <v>0.8100000000000005</v>
      </c>
      <c r="D85" s="306">
        <f t="shared" ca="1" si="37"/>
        <v>27.709117668014564</v>
      </c>
      <c r="E85" s="307">
        <f t="shared" ca="1" si="38"/>
        <v>83.144149889251352</v>
      </c>
      <c r="F85" s="304">
        <f t="shared" ca="1" si="39"/>
        <v>87.63985886995809</v>
      </c>
      <c r="G85" s="306">
        <f t="shared" ca="1" si="40"/>
        <v>18.26478557277192</v>
      </c>
      <c r="H85" s="307">
        <f t="shared" ca="1" si="41"/>
        <v>61.173703605146272</v>
      </c>
      <c r="I85" s="304">
        <f t="shared" ca="1" si="42"/>
        <v>63.842183584128946</v>
      </c>
      <c r="J85" s="306">
        <f t="shared" ca="1" si="43"/>
        <v>6.6422972369863622</v>
      </c>
      <c r="K85" s="307">
        <f t="shared" ca="1" si="44"/>
        <v>23.396565264954909</v>
      </c>
      <c r="L85" s="304">
        <f t="shared" ca="1" si="29"/>
        <v>24.321171410558563</v>
      </c>
      <c r="M85" s="306">
        <f t="shared" ca="1" si="45"/>
        <v>1.2806496800423257</v>
      </c>
      <c r="N85" s="304">
        <f t="shared" ca="1" si="46"/>
        <v>73.375821701204515</v>
      </c>
      <c r="P85" s="310">
        <f t="shared" ca="1" si="47"/>
        <v>7</v>
      </c>
      <c r="Q85" s="304">
        <f t="shared" ca="1" si="48"/>
        <v>1885.3452421052627</v>
      </c>
      <c r="R85" s="306">
        <f t="shared" ca="1" si="49"/>
        <v>1.1337978674333131</v>
      </c>
      <c r="S85" s="307">
        <f t="shared" ca="1" si="50"/>
        <v>19.154468494150017</v>
      </c>
      <c r="T85" s="304">
        <f t="shared" ca="1" si="30"/>
        <v>187.90533592761167</v>
      </c>
      <c r="U85" s="311">
        <f t="shared" ca="1" si="31"/>
        <v>0</v>
      </c>
      <c r="V85" s="306">
        <f t="shared" ca="1" si="32"/>
        <v>1.2221372696579076</v>
      </c>
      <c r="W85" s="304">
        <f t="shared" ca="1" si="33"/>
        <v>28.200848720796699</v>
      </c>
      <c r="Y85" s="314" t="str">
        <f t="shared" ca="1" si="51"/>
        <v/>
      </c>
      <c r="Z85" s="315" t="str">
        <f t="shared" ca="1" si="52"/>
        <v/>
      </c>
      <c r="AA85" s="316" t="str">
        <f t="shared" ca="1" si="53"/>
        <v/>
      </c>
      <c r="AC85" s="310" t="e">
        <f t="shared" ca="1" si="54"/>
        <v>#N/A</v>
      </c>
      <c r="AD85" s="323" t="e">
        <f t="shared" ca="1" si="55"/>
        <v>#N/A</v>
      </c>
      <c r="AE85" s="324">
        <f t="shared" ca="1" si="34"/>
        <v>23.396565264954909</v>
      </c>
      <c r="AG85" s="306">
        <f t="shared" ca="1" si="56"/>
        <v>87.595040808312206</v>
      </c>
      <c r="AH85" s="304">
        <f t="shared" ca="1" si="57"/>
        <v>96.996232831864589</v>
      </c>
    </row>
    <row r="86" spans="1:34" x14ac:dyDescent="0.2">
      <c r="A86" s="347">
        <f t="shared" ca="1" si="35"/>
        <v>0.01</v>
      </c>
      <c r="B86" s="304">
        <f t="shared" ca="1" si="36"/>
        <v>0.82000000000000051</v>
      </c>
      <c r="D86" s="306">
        <f t="shared" ca="1" si="37"/>
        <v>27.620686683165971</v>
      </c>
      <c r="E86" s="307">
        <f t="shared" ca="1" si="38"/>
        <v>82.699145196067974</v>
      </c>
      <c r="F86" s="304">
        <f t="shared" ca="1" si="39"/>
        <v>87.189741076630995</v>
      </c>
      <c r="G86" s="306">
        <f t="shared" ca="1" si="40"/>
        <v>18.540992439603581</v>
      </c>
      <c r="H86" s="307">
        <f t="shared" ca="1" si="41"/>
        <v>62.000695057106952</v>
      </c>
      <c r="I86" s="304">
        <f t="shared" ca="1" si="42"/>
        <v>64.713635257260918</v>
      </c>
      <c r="J86" s="306">
        <f t="shared" ca="1" si="43"/>
        <v>6.8263261270482394</v>
      </c>
      <c r="K86" s="307">
        <f t="shared" ca="1" si="44"/>
        <v>24.012437258266175</v>
      </c>
      <c r="L86" s="304">
        <f t="shared" ca="1" si="29"/>
        <v>24.963891352811785</v>
      </c>
      <c r="M86" s="306">
        <f t="shared" ca="1" si="45"/>
        <v>1.2802159893820775</v>
      </c>
      <c r="N86" s="304">
        <f t="shared" ca="1" si="46"/>
        <v>73.35097305675805</v>
      </c>
      <c r="P86" s="310">
        <f t="shared" ca="1" si="47"/>
        <v>7</v>
      </c>
      <c r="Q86" s="304">
        <f t="shared" ca="1" si="48"/>
        <v>1876.3703999999996</v>
      </c>
      <c r="R86" s="306">
        <f t="shared" ca="1" si="49"/>
        <v>1.128400629509857</v>
      </c>
      <c r="S86" s="307">
        <f t="shared" ca="1" si="50"/>
        <v>19.143184487854917</v>
      </c>
      <c r="T86" s="304">
        <f t="shared" ca="1" si="30"/>
        <v>187.79463982585673</v>
      </c>
      <c r="U86" s="311">
        <f t="shared" ca="1" si="31"/>
        <v>0</v>
      </c>
      <c r="V86" s="306">
        <f t="shared" ca="1" si="32"/>
        <v>1.2220620038582635</v>
      </c>
      <c r="W86" s="304">
        <f t="shared" ca="1" si="33"/>
        <v>28.974207099953361</v>
      </c>
      <c r="Y86" s="314" t="str">
        <f t="shared" ca="1" si="51"/>
        <v/>
      </c>
      <c r="Z86" s="315" t="str">
        <f t="shared" ca="1" si="52"/>
        <v/>
      </c>
      <c r="AA86" s="316" t="str">
        <f t="shared" ca="1" si="53"/>
        <v/>
      </c>
      <c r="AC86" s="310" t="e">
        <f t="shared" ca="1" si="54"/>
        <v>#N/A</v>
      </c>
      <c r="AD86" s="323" t="e">
        <f t="shared" ca="1" si="55"/>
        <v>#N/A</v>
      </c>
      <c r="AE86" s="324">
        <f t="shared" ca="1" si="34"/>
        <v>24.012437258266175</v>
      </c>
      <c r="AG86" s="306">
        <f t="shared" ca="1" si="56"/>
        <v>87.14455872162614</v>
      </c>
      <c r="AH86" s="304">
        <f t="shared" ca="1" si="57"/>
        <v>96.544519667129777</v>
      </c>
    </row>
    <row r="87" spans="1:34" x14ac:dyDescent="0.2">
      <c r="A87" s="347">
        <f t="shared" ca="1" si="35"/>
        <v>0.01</v>
      </c>
      <c r="B87" s="304">
        <f t="shared" ca="1" si="36"/>
        <v>0.83000000000000052</v>
      </c>
      <c r="D87" s="306">
        <f t="shared" ca="1" si="37"/>
        <v>27.531057713433754</v>
      </c>
      <c r="E87" s="307">
        <f t="shared" ca="1" si="38"/>
        <v>82.253287305170488</v>
      </c>
      <c r="F87" s="304">
        <f t="shared" ca="1" si="39"/>
        <v>86.738471345345602</v>
      </c>
      <c r="G87" s="306">
        <f t="shared" ca="1" si="40"/>
        <v>18.816303016737919</v>
      </c>
      <c r="H87" s="307">
        <f t="shared" ca="1" si="41"/>
        <v>62.823227930158659</v>
      </c>
      <c r="I87" s="304">
        <f t="shared" ca="1" si="42"/>
        <v>65.580570497536598</v>
      </c>
      <c r="J87" s="306">
        <f t="shared" ca="1" si="43"/>
        <v>7.0131126043299465</v>
      </c>
      <c r="K87" s="307">
        <f t="shared" ca="1" si="44"/>
        <v>24.636556873202505</v>
      </c>
      <c r="L87" s="304">
        <f t="shared" ca="1" si="29"/>
        <v>25.615301734852807</v>
      </c>
      <c r="M87" s="306">
        <f t="shared" ca="1" si="45"/>
        <v>1.27978741026053</v>
      </c>
      <c r="N87" s="304">
        <f t="shared" ca="1" si="46"/>
        <v>73.326417281905961</v>
      </c>
      <c r="P87" s="310">
        <f t="shared" ca="1" si="47"/>
        <v>7</v>
      </c>
      <c r="Q87" s="304">
        <f t="shared" ca="1" si="48"/>
        <v>1867.3955578947364</v>
      </c>
      <c r="R87" s="306">
        <f t="shared" ca="1" si="49"/>
        <v>1.1230033915864008</v>
      </c>
      <c r="S87" s="307">
        <f t="shared" ca="1" si="50"/>
        <v>19.131954453939052</v>
      </c>
      <c r="T87" s="304">
        <f t="shared" ca="1" si="30"/>
        <v>187.68447319314211</v>
      </c>
      <c r="U87" s="311">
        <f t="shared" ca="1" si="31"/>
        <v>0</v>
      </c>
      <c r="V87" s="306">
        <f t="shared" ca="1" si="32"/>
        <v>1.2219857348387866</v>
      </c>
      <c r="W87" s="304">
        <f t="shared" ca="1" si="33"/>
        <v>29.753854980566434</v>
      </c>
      <c r="Y87" s="314" t="str">
        <f t="shared" ca="1" si="51"/>
        <v/>
      </c>
      <c r="Z87" s="315" t="str">
        <f t="shared" ca="1" si="52"/>
        <v/>
      </c>
      <c r="AA87" s="316" t="str">
        <f t="shared" ca="1" si="53"/>
        <v/>
      </c>
      <c r="AC87" s="310" t="e">
        <f t="shared" ca="1" si="54"/>
        <v>#N/A</v>
      </c>
      <c r="AD87" s="323" t="e">
        <f t="shared" ca="1" si="55"/>
        <v>#N/A</v>
      </c>
      <c r="AE87" s="324">
        <f t="shared" ca="1" si="34"/>
        <v>24.636556873202505</v>
      </c>
      <c r="AG87" s="306">
        <f t="shared" ca="1" si="56"/>
        <v>86.692921735409328</v>
      </c>
      <c r="AH87" s="304">
        <f t="shared" ca="1" si="57"/>
        <v>96.091664613819574</v>
      </c>
    </row>
    <row r="88" spans="1:34" x14ac:dyDescent="0.2">
      <c r="A88" s="347">
        <f t="shared" ca="1" si="35"/>
        <v>0.01</v>
      </c>
      <c r="B88" s="304">
        <f t="shared" ca="1" si="36"/>
        <v>0.84000000000000052</v>
      </c>
      <c r="D88" s="306">
        <f t="shared" ca="1" si="37"/>
        <v>27.440254468660235</v>
      </c>
      <c r="E88" s="307">
        <f t="shared" ca="1" si="38"/>
        <v>81.806581610783283</v>
      </c>
      <c r="F88" s="304">
        <f t="shared" ca="1" si="39"/>
        <v>86.286061215856719</v>
      </c>
      <c r="G88" s="306">
        <f t="shared" ca="1" si="40"/>
        <v>19.090705561424521</v>
      </c>
      <c r="H88" s="307">
        <f t="shared" ca="1" si="41"/>
        <v>63.641293746266491</v>
      </c>
      <c r="I88" s="304">
        <f t="shared" ca="1" si="42"/>
        <v>66.442977872244583</v>
      </c>
      <c r="J88" s="306">
        <f t="shared" ca="1" si="43"/>
        <v>7.2026476472207586</v>
      </c>
      <c r="K88" s="307">
        <f t="shared" ca="1" si="44"/>
        <v>25.26887948158463</v>
      </c>
      <c r="L88" s="304">
        <f t="shared" ca="1" si="29"/>
        <v>26.275357340764433</v>
      </c>
      <c r="M88" s="306">
        <f t="shared" ca="1" si="45"/>
        <v>1.2793637877402224</v>
      </c>
      <c r="N88" s="304">
        <f t="shared" ca="1" si="46"/>
        <v>73.302145499385631</v>
      </c>
      <c r="P88" s="310">
        <f t="shared" ca="1" si="47"/>
        <v>7</v>
      </c>
      <c r="Q88" s="304">
        <f t="shared" ca="1" si="48"/>
        <v>1858.4207157894732</v>
      </c>
      <c r="R88" s="306">
        <f t="shared" ca="1" si="49"/>
        <v>1.1176061536629449</v>
      </c>
      <c r="S88" s="307">
        <f t="shared" ca="1" si="50"/>
        <v>19.120778392402421</v>
      </c>
      <c r="T88" s="304">
        <f t="shared" ca="1" si="30"/>
        <v>187.57483602946778</v>
      </c>
      <c r="U88" s="311">
        <f t="shared" ca="1" si="31"/>
        <v>0</v>
      </c>
      <c r="V88" s="306">
        <f t="shared" ca="1" si="32"/>
        <v>1.221908468240678</v>
      </c>
      <c r="W88" s="304">
        <f t="shared" ca="1" si="33"/>
        <v>30.539616352043694</v>
      </c>
      <c r="Y88" s="314" t="str">
        <f t="shared" ca="1" si="51"/>
        <v/>
      </c>
      <c r="Z88" s="315" t="str">
        <f t="shared" ca="1" si="52"/>
        <v/>
      </c>
      <c r="AA88" s="316" t="str">
        <f t="shared" ca="1" si="53"/>
        <v/>
      </c>
      <c r="AC88" s="310" t="e">
        <f t="shared" ca="1" si="54"/>
        <v>#N/A</v>
      </c>
      <c r="AD88" s="323" t="e">
        <f t="shared" ca="1" si="55"/>
        <v>#N/A</v>
      </c>
      <c r="AE88" s="324">
        <f t="shared" ca="1" si="34"/>
        <v>25.26887948158463</v>
      </c>
      <c r="AG88" s="306">
        <f t="shared" ca="1" si="56"/>
        <v>86.240141291123962</v>
      </c>
      <c r="AH88" s="304">
        <f t="shared" ca="1" si="57"/>
        <v>95.637678722092275</v>
      </c>
    </row>
    <row r="89" spans="1:34" x14ac:dyDescent="0.2">
      <c r="A89" s="347">
        <f t="shared" ca="1" si="35"/>
        <v>0.01</v>
      </c>
      <c r="B89" s="304">
        <f t="shared" ca="1" si="36"/>
        <v>0.85000000000000053</v>
      </c>
      <c r="D89" s="306">
        <f t="shared" ca="1" si="37"/>
        <v>27.348299777564044</v>
      </c>
      <c r="E89" s="307">
        <f t="shared" ca="1" si="38"/>
        <v>81.359033748118591</v>
      </c>
      <c r="F89" s="304">
        <f t="shared" ca="1" si="39"/>
        <v>85.832522234587799</v>
      </c>
      <c r="G89" s="306">
        <f t="shared" ca="1" si="40"/>
        <v>19.364188559200162</v>
      </c>
      <c r="H89" s="307">
        <f t="shared" ca="1" si="41"/>
        <v>64.454884083747672</v>
      </c>
      <c r="I89" s="304">
        <f t="shared" ca="1" si="42"/>
        <v>67.300846063074175</v>
      </c>
      <c r="J89" s="306">
        <f t="shared" ca="1" si="43"/>
        <v>7.3949221178238824</v>
      </c>
      <c r="K89" s="307">
        <f t="shared" ca="1" si="44"/>
        <v>25.909360370734699</v>
      </c>
      <c r="L89" s="304">
        <f t="shared" ca="1" si="29"/>
        <v>26.944012840504634</v>
      </c>
      <c r="M89" s="306">
        <f t="shared" ca="1" si="45"/>
        <v>1.2789449735509195</v>
      </c>
      <c r="N89" s="304">
        <f t="shared" ca="1" si="46"/>
        <v>73.278149213938391</v>
      </c>
      <c r="P89" s="310">
        <f t="shared" ca="1" si="47"/>
        <v>7</v>
      </c>
      <c r="Q89" s="304">
        <f t="shared" ca="1" si="48"/>
        <v>1849.44587368421</v>
      </c>
      <c r="R89" s="306">
        <f t="shared" ca="1" si="49"/>
        <v>1.1122089157394888</v>
      </c>
      <c r="S89" s="307">
        <f t="shared" ca="1" si="50"/>
        <v>19.109656303245025</v>
      </c>
      <c r="T89" s="304">
        <f t="shared" ca="1" si="30"/>
        <v>187.4657283348337</v>
      </c>
      <c r="U89" s="311">
        <f t="shared" ca="1" si="31"/>
        <v>0</v>
      </c>
      <c r="V89" s="306">
        <f t="shared" ca="1" si="32"/>
        <v>1.221830209716523</v>
      </c>
      <c r="W89" s="304">
        <f t="shared" ca="1" si="33"/>
        <v>31.331315641868819</v>
      </c>
      <c r="Y89" s="314" t="str">
        <f t="shared" ca="1" si="51"/>
        <v/>
      </c>
      <c r="Z89" s="315" t="str">
        <f t="shared" ca="1" si="52"/>
        <v/>
      </c>
      <c r="AA89" s="316" t="str">
        <f t="shared" ca="1" si="53"/>
        <v/>
      </c>
      <c r="AC89" s="310" t="e">
        <f t="shared" ca="1" si="54"/>
        <v>#N/A</v>
      </c>
      <c r="AD89" s="323" t="e">
        <f t="shared" ca="1" si="55"/>
        <v>#N/A</v>
      </c>
      <c r="AE89" s="324">
        <f t="shared" ca="1" si="34"/>
        <v>25.909360370734699</v>
      </c>
      <c r="AG89" s="306">
        <f t="shared" ca="1" si="56"/>
        <v>85.786228836629306</v>
      </c>
      <c r="AH89" s="304">
        <f t="shared" ca="1" si="57"/>
        <v>95.182573065078969</v>
      </c>
    </row>
    <row r="90" spans="1:34" x14ac:dyDescent="0.2">
      <c r="A90" s="347">
        <f t="shared" ca="1" si="35"/>
        <v>0.01</v>
      </c>
      <c r="B90" s="304">
        <f t="shared" ca="1" si="36"/>
        <v>0.86000000000000054</v>
      </c>
      <c r="D90" s="306">
        <f t="shared" ca="1" si="37"/>
        <v>27.287003028126424</v>
      </c>
      <c r="E90" s="307">
        <f t="shared" ca="1" si="38"/>
        <v>81.016455846255525</v>
      </c>
      <c r="F90" s="304">
        <f t="shared" ca="1" si="39"/>
        <v>85.488283712712658</v>
      </c>
      <c r="G90" s="306">
        <f t="shared" ca="1" si="40"/>
        <v>19.637058589481427</v>
      </c>
      <c r="H90" s="307">
        <f t="shared" ca="1" si="41"/>
        <v>65.265048642210232</v>
      </c>
      <c r="I90" s="304">
        <f t="shared" ca="1" si="42"/>
        <v>68.15526864679498</v>
      </c>
      <c r="J90" s="306">
        <f t="shared" ca="1" si="43"/>
        <v>7.5899283535672906</v>
      </c>
      <c r="K90" s="307">
        <f t="shared" ca="1" si="44"/>
        <v>26.557960034364488</v>
      </c>
      <c r="L90" s="304">
        <f t="shared" ca="1" si="29"/>
        <v>27.62122831445383</v>
      </c>
      <c r="M90" s="306">
        <f t="shared" ca="1" si="45"/>
        <v>1.2785308324202882</v>
      </c>
      <c r="N90" s="304">
        <f t="shared" ca="1" si="46"/>
        <v>73.254420675030431</v>
      </c>
      <c r="P90" s="310">
        <f t="shared" ca="1" si="47"/>
        <v>8</v>
      </c>
      <c r="Q90" s="304">
        <f t="shared" ca="1" si="48"/>
        <v>1842.5798040712471</v>
      </c>
      <c r="R90" s="306">
        <f t="shared" ca="1" si="49"/>
        <v>1.1080798390531768</v>
      </c>
      <c r="S90" s="307">
        <f t="shared" ca="1" si="50"/>
        <v>19.098575504854495</v>
      </c>
      <c r="T90" s="304">
        <f t="shared" ca="1" si="30"/>
        <v>187.35702570262259</v>
      </c>
      <c r="U90" s="311">
        <f t="shared" ca="1" si="31"/>
        <v>0</v>
      </c>
      <c r="V90" s="306">
        <f t="shared" ca="1" si="32"/>
        <v>1.2217509642838253</v>
      </c>
      <c r="W90" s="304">
        <f t="shared" ca="1" si="33"/>
        <v>32.129819339123081</v>
      </c>
      <c r="Y90" s="314" t="str">
        <f t="shared" ca="1" si="51"/>
        <v/>
      </c>
      <c r="Z90" s="315" t="str">
        <f t="shared" ca="1" si="52"/>
        <v/>
      </c>
      <c r="AA90" s="316" t="str">
        <f t="shared" ca="1" si="53"/>
        <v/>
      </c>
      <c r="AC90" s="310" t="e">
        <f t="shared" ca="1" si="54"/>
        <v>#N/A</v>
      </c>
      <c r="AD90" s="323" t="e">
        <f t="shared" ca="1" si="55"/>
        <v>#N/A</v>
      </c>
      <c r="AE90" s="324">
        <f t="shared" ca="1" si="34"/>
        <v>26.557960034364488</v>
      </c>
      <c r="AG90" s="306">
        <f t="shared" ca="1" si="56"/>
        <v>85.441673896779889</v>
      </c>
      <c r="AH90" s="304">
        <f t="shared" ca="1" si="57"/>
        <v>94.836836808535452</v>
      </c>
    </row>
    <row r="91" spans="1:34" x14ac:dyDescent="0.2">
      <c r="A91" s="347">
        <f t="shared" ca="1" si="35"/>
        <v>0.01</v>
      </c>
      <c r="B91" s="304">
        <f t="shared" ca="1" si="36"/>
        <v>0.87000000000000055</v>
      </c>
      <c r="D91" s="306">
        <f t="shared" ca="1" si="37"/>
        <v>27.352122659395455</v>
      </c>
      <c r="E91" s="307">
        <f t="shared" ca="1" si="38"/>
        <v>81.096568705221031</v>
      </c>
      <c r="F91" s="304">
        <f t="shared" ca="1" si="39"/>
        <v>85.584999092920782</v>
      </c>
      <c r="G91" s="306">
        <f t="shared" ca="1" si="40"/>
        <v>19.91057981607538</v>
      </c>
      <c r="H91" s="307">
        <f t="shared" ca="1" si="41"/>
        <v>66.076014329262449</v>
      </c>
      <c r="I91" s="304">
        <f t="shared" ca="1" si="42"/>
        <v>69.010657570068147</v>
      </c>
      <c r="J91" s="306">
        <f t="shared" ca="1" si="43"/>
        <v>7.7876665455950747</v>
      </c>
      <c r="K91" s="307">
        <f t="shared" ca="1" si="44"/>
        <v>27.21466534922185</v>
      </c>
      <c r="L91" s="304">
        <f t="shared" ca="1" si="29"/>
        <v>28.306991367779041</v>
      </c>
      <c r="M91" s="306">
        <f t="shared" ca="1" si="45"/>
        <v>1.2781212608003862</v>
      </c>
      <c r="N91" s="304">
        <f t="shared" ca="1" si="46"/>
        <v>73.230953949801716</v>
      </c>
      <c r="P91" s="310">
        <f t="shared" ca="1" si="47"/>
        <v>8</v>
      </c>
      <c r="Q91" s="304">
        <f t="shared" ca="1" si="48"/>
        <v>1844.148824427481</v>
      </c>
      <c r="R91" s="306">
        <f t="shared" ca="1" si="49"/>
        <v>1.1090234073154388</v>
      </c>
      <c r="S91" s="307">
        <f t="shared" ca="1" si="50"/>
        <v>19.08748527078134</v>
      </c>
      <c r="T91" s="304">
        <f t="shared" ca="1" si="30"/>
        <v>187.24823050636496</v>
      </c>
      <c r="U91" s="311">
        <f t="shared" ca="1" si="31"/>
        <v>0</v>
      </c>
      <c r="V91" s="306">
        <f t="shared" ca="1" si="32"/>
        <v>1.221670733738079</v>
      </c>
      <c r="W91" s="304">
        <f t="shared" ca="1" si="33"/>
        <v>32.939213595873596</v>
      </c>
      <c r="Y91" s="314" t="str">
        <f t="shared" ca="1" si="51"/>
        <v/>
      </c>
      <c r="Z91" s="315" t="str">
        <f t="shared" ca="1" si="52"/>
        <v/>
      </c>
      <c r="AA91" s="316" t="str">
        <f t="shared" ca="1" si="53"/>
        <v/>
      </c>
      <c r="AC91" s="310" t="e">
        <f t="shared" ca="1" si="54"/>
        <v>#N/A</v>
      </c>
      <c r="AD91" s="323" t="e">
        <f t="shared" ca="1" si="55"/>
        <v>#N/A</v>
      </c>
      <c r="AE91" s="324">
        <f t="shared" ca="1" si="34"/>
        <v>27.21466534922185</v>
      </c>
      <c r="AG91" s="306">
        <f t="shared" ca="1" si="56"/>
        <v>85.538313504189802</v>
      </c>
      <c r="AH91" s="304">
        <f t="shared" ca="1" si="57"/>
        <v>94.932306659701936</v>
      </c>
    </row>
    <row r="92" spans="1:34" x14ac:dyDescent="0.2">
      <c r="A92" s="347">
        <f t="shared" ca="1" si="35"/>
        <v>0.01</v>
      </c>
      <c r="B92" s="304">
        <f t="shared" ca="1" si="36"/>
        <v>0.88000000000000056</v>
      </c>
      <c r="D92" s="306">
        <f t="shared" ca="1" si="37"/>
        <v>27.416778434192626</v>
      </c>
      <c r="E92" s="307">
        <f t="shared" ca="1" si="38"/>
        <v>81.176373145059571</v>
      </c>
      <c r="F92" s="304">
        <f t="shared" ca="1" si="39"/>
        <v>85.681289069992161</v>
      </c>
      <c r="G92" s="306">
        <f t="shared" ca="1" si="40"/>
        <v>20.184747600417307</v>
      </c>
      <c r="H92" s="307">
        <f t="shared" ca="1" si="41"/>
        <v>66.887778060713046</v>
      </c>
      <c r="I92" s="304">
        <f t="shared" ca="1" si="42"/>
        <v>69.867008591979641</v>
      </c>
      <c r="J92" s="306">
        <f t="shared" ca="1" si="43"/>
        <v>7.988143182677538</v>
      </c>
      <c r="K92" s="307">
        <f t="shared" ca="1" si="44"/>
        <v>27.879484311171726</v>
      </c>
      <c r="L92" s="304">
        <f t="shared" ca="1" si="29"/>
        <v>29.00131164212798</v>
      </c>
      <c r="M92" s="306">
        <f t="shared" ca="1" si="45"/>
        <v>1.2777161585908605</v>
      </c>
      <c r="N92" s="304">
        <f t="shared" ca="1" si="46"/>
        <v>73.20774330292447</v>
      </c>
      <c r="P92" s="310">
        <f t="shared" ca="1" si="47"/>
        <v>8</v>
      </c>
      <c r="Q92" s="304">
        <f t="shared" ca="1" si="48"/>
        <v>1845.7178447837152</v>
      </c>
      <c r="R92" s="306">
        <f t="shared" ca="1" si="49"/>
        <v>1.1099669755777013</v>
      </c>
      <c r="S92" s="307">
        <f t="shared" ca="1" si="50"/>
        <v>19.076385601025564</v>
      </c>
      <c r="T92" s="304">
        <f t="shared" ca="1" si="30"/>
        <v>187.13934274606078</v>
      </c>
      <c r="U92" s="311">
        <f t="shared" ca="1" si="31"/>
        <v>0</v>
      </c>
      <c r="V92" s="306">
        <f t="shared" ca="1" si="32"/>
        <v>1.2215895172968325</v>
      </c>
      <c r="W92" s="304">
        <f t="shared" ca="1" si="33"/>
        <v>33.759524457864174</v>
      </c>
      <c r="Y92" s="314" t="str">
        <f t="shared" ca="1" si="51"/>
        <v/>
      </c>
      <c r="Z92" s="315" t="str">
        <f t="shared" ca="1" si="52"/>
        <v/>
      </c>
      <c r="AA92" s="316" t="str">
        <f t="shared" ca="1" si="53"/>
        <v/>
      </c>
      <c r="AC92" s="310" t="e">
        <f t="shared" ca="1" si="54"/>
        <v>#N/A</v>
      </c>
      <c r="AD92" s="323" t="e">
        <f t="shared" ca="1" si="55"/>
        <v>#N/A</v>
      </c>
      <c r="AE92" s="324">
        <f t="shared" ca="1" si="34"/>
        <v>27.879484311171726</v>
      </c>
      <c r="AG92" s="306">
        <f t="shared" ca="1" si="56"/>
        <v>85.634528905102883</v>
      </c>
      <c r="AH92" s="304">
        <f t="shared" ca="1" si="57"/>
        <v>95.027363626492487</v>
      </c>
    </row>
    <row r="93" spans="1:34" x14ac:dyDescent="0.2">
      <c r="A93" s="347">
        <f t="shared" ca="1" si="35"/>
        <v>0.01</v>
      </c>
      <c r="B93" s="304">
        <f t="shared" ca="1" si="36"/>
        <v>0.89000000000000057</v>
      </c>
      <c r="D93" s="306">
        <f t="shared" ca="1" si="37"/>
        <v>27.480977306181707</v>
      </c>
      <c r="E93" s="307">
        <f t="shared" ca="1" si="38"/>
        <v>81.255865540442585</v>
      </c>
      <c r="F93" s="304">
        <f t="shared" ca="1" si="39"/>
        <v>85.777151960352228</v>
      </c>
      <c r="G93" s="306">
        <f t="shared" ca="1" si="40"/>
        <v>20.459557373479125</v>
      </c>
      <c r="H93" s="307">
        <f t="shared" ca="1" si="41"/>
        <v>67.700336716117476</v>
      </c>
      <c r="I93" s="304">
        <f t="shared" ca="1" si="42"/>
        <v>70.724317454425588</v>
      </c>
      <c r="J93" s="306">
        <f t="shared" ca="1" si="43"/>
        <v>8.1913647075470202</v>
      </c>
      <c r="K93" s="307">
        <f t="shared" ca="1" si="44"/>
        <v>28.552424885055878</v>
      </c>
      <c r="L93" s="304">
        <f t="shared" ca="1" si="29"/>
        <v>29.704198736690493</v>
      </c>
      <c r="M93" s="306">
        <f t="shared" ca="1" si="45"/>
        <v>1.2773154289858875</v>
      </c>
      <c r="N93" s="304">
        <f t="shared" ca="1" si="46"/>
        <v>73.184783187833574</v>
      </c>
      <c r="P93" s="310">
        <f t="shared" ca="1" si="47"/>
        <v>8</v>
      </c>
      <c r="Q93" s="304">
        <f t="shared" ca="1" si="48"/>
        <v>1847.2868651399492</v>
      </c>
      <c r="R93" s="306">
        <f t="shared" ca="1" si="49"/>
        <v>1.1109105438399633</v>
      </c>
      <c r="S93" s="307">
        <f t="shared" ca="1" si="50"/>
        <v>19.065276495587163</v>
      </c>
      <c r="T93" s="304">
        <f t="shared" ca="1" si="30"/>
        <v>187.03036242171009</v>
      </c>
      <c r="U93" s="311">
        <f t="shared" ca="1" si="31"/>
        <v>0</v>
      </c>
      <c r="V93" s="306">
        <f t="shared" ca="1" si="32"/>
        <v>1.2215073141840511</v>
      </c>
      <c r="W93" s="304">
        <f t="shared" ca="1" si="33"/>
        <v>34.590777728219059</v>
      </c>
      <c r="Y93" s="314" t="str">
        <f t="shared" ca="1" si="51"/>
        <v/>
      </c>
      <c r="Z93" s="315" t="str">
        <f t="shared" ca="1" si="52"/>
        <v/>
      </c>
      <c r="AA93" s="316" t="str">
        <f t="shared" ca="1" si="53"/>
        <v/>
      </c>
      <c r="AC93" s="310" t="e">
        <f t="shared" ca="1" si="54"/>
        <v>#N/A</v>
      </c>
      <c r="AD93" s="323" t="e">
        <f t="shared" ca="1" si="55"/>
        <v>#N/A</v>
      </c>
      <c r="AE93" s="324">
        <f t="shared" ca="1" si="34"/>
        <v>28.552424885055878</v>
      </c>
      <c r="AG93" s="306">
        <f t="shared" ca="1" si="56"/>
        <v>85.730318384146841</v>
      </c>
      <c r="AH93" s="304">
        <f t="shared" ca="1" si="57"/>
        <v>95.122005762772062</v>
      </c>
    </row>
    <row r="94" spans="1:34" x14ac:dyDescent="0.2">
      <c r="A94" s="347">
        <f t="shared" ca="1" si="35"/>
        <v>0.01</v>
      </c>
      <c r="B94" s="304">
        <f t="shared" ca="1" si="36"/>
        <v>0.90000000000000058</v>
      </c>
      <c r="D94" s="306">
        <f t="shared" ca="1" si="37"/>
        <v>27.544725969722087</v>
      </c>
      <c r="E94" s="307">
        <f t="shared" ca="1" si="38"/>
        <v>81.335042332177608</v>
      </c>
      <c r="F94" s="304">
        <f t="shared" ca="1" si="39"/>
        <v>85.872586079168514</v>
      </c>
      <c r="G94" s="306">
        <f t="shared" ca="1" si="40"/>
        <v>20.735004633176345</v>
      </c>
      <c r="H94" s="307">
        <f t="shared" ca="1" si="41"/>
        <v>68.513687139439256</v>
      </c>
      <c r="I94" s="304">
        <f t="shared" ca="1" si="42"/>
        <v>71.582579882111048</v>
      </c>
      <c r="J94" s="306">
        <f t="shared" ca="1" si="43"/>
        <v>8.3973375175802971</v>
      </c>
      <c r="K94" s="307">
        <f t="shared" ca="1" si="44"/>
        <v>29.233495004333662</v>
      </c>
      <c r="L94" s="304">
        <f t="shared" ca="1" si="29"/>
        <v>30.415662208023072</v>
      </c>
      <c r="M94" s="306">
        <f t="shared" ca="1" si="45"/>
        <v>1.2769189783295649</v>
      </c>
      <c r="N94" s="304">
        <f t="shared" ca="1" si="46"/>
        <v>73.162068238441094</v>
      </c>
      <c r="P94" s="310">
        <f t="shared" ca="1" si="47"/>
        <v>8</v>
      </c>
      <c r="Q94" s="304">
        <f t="shared" ca="1" si="48"/>
        <v>1848.8558854961834</v>
      </c>
      <c r="R94" s="306">
        <f t="shared" ca="1" si="49"/>
        <v>1.1118541121022256</v>
      </c>
      <c r="S94" s="307">
        <f t="shared" ca="1" si="50"/>
        <v>19.054157954466142</v>
      </c>
      <c r="T94" s="304">
        <f t="shared" ca="1" si="30"/>
        <v>186.92128953331286</v>
      </c>
      <c r="U94" s="311">
        <f t="shared" ca="1" si="31"/>
        <v>0</v>
      </c>
      <c r="V94" s="306">
        <f t="shared" ca="1" si="32"/>
        <v>1.2214241236301688</v>
      </c>
      <c r="W94" s="304">
        <f t="shared" ca="1" si="33"/>
        <v>35.432998965628492</v>
      </c>
      <c r="Y94" s="314" t="str">
        <f t="shared" ca="1" si="51"/>
        <v/>
      </c>
      <c r="Z94" s="315" t="str">
        <f t="shared" ca="1" si="52"/>
        <v/>
      </c>
      <c r="AA94" s="316" t="str">
        <f t="shared" ca="1" si="53"/>
        <v/>
      </c>
      <c r="AC94" s="310" t="e">
        <f t="shared" ca="1" si="54"/>
        <v>#N/A</v>
      </c>
      <c r="AD94" s="323" t="e">
        <f t="shared" ca="1" si="55"/>
        <v>#N/A</v>
      </c>
      <c r="AE94" s="324">
        <f t="shared" ca="1" si="34"/>
        <v>29.233495004333662</v>
      </c>
      <c r="AG94" s="306">
        <f t="shared" ca="1" si="56"/>
        <v>85.825680225671135</v>
      </c>
      <c r="AH94" s="304">
        <f t="shared" ca="1" si="57"/>
        <v>95.216231129369589</v>
      </c>
    </row>
    <row r="95" spans="1:34" x14ac:dyDescent="0.2">
      <c r="A95" s="347">
        <f t="shared" ca="1" si="35"/>
        <v>0.01</v>
      </c>
      <c r="B95" s="304">
        <f t="shared" ca="1" si="36"/>
        <v>0.91000000000000059</v>
      </c>
      <c r="D95" s="306">
        <f t="shared" ca="1" si="37"/>
        <v>27.608030871551385</v>
      </c>
      <c r="E95" s="307">
        <f t="shared" ca="1" si="38"/>
        <v>81.413900024742546</v>
      </c>
      <c r="F95" s="304">
        <f t="shared" ca="1" si="39"/>
        <v>85.967589740804698</v>
      </c>
      <c r="G95" s="306">
        <f t="shared" ca="1" si="40"/>
        <v>21.011084941891859</v>
      </c>
      <c r="H95" s="307">
        <f t="shared" ca="1" si="41"/>
        <v>69.327826139686678</v>
      </c>
      <c r="I95" s="304">
        <f t="shared" ca="1" si="42"/>
        <v>72.44179158255281</v>
      </c>
      <c r="J95" s="306">
        <f t="shared" ca="1" si="43"/>
        <v>8.6060679654556385</v>
      </c>
      <c r="K95" s="307">
        <f t="shared" ca="1" si="44"/>
        <v>29.922702570729292</v>
      </c>
      <c r="L95" s="304">
        <f t="shared" ca="1" si="29"/>
        <v>31.135711569873767</v>
      </c>
      <c r="M95" s="306">
        <f t="shared" ca="1" si="45"/>
        <v>1.2765267159792062</v>
      </c>
      <c r="N95" s="304">
        <f t="shared" ca="1" si="46"/>
        <v>73.139593261303659</v>
      </c>
      <c r="P95" s="310">
        <f t="shared" ca="1" si="47"/>
        <v>8</v>
      </c>
      <c r="Q95" s="304">
        <f t="shared" ca="1" si="48"/>
        <v>1850.4249058524174</v>
      </c>
      <c r="R95" s="306">
        <f t="shared" ca="1" si="49"/>
        <v>1.1127976803644879</v>
      </c>
      <c r="S95" s="307">
        <f t="shared" ca="1" si="50"/>
        <v>19.043029977662496</v>
      </c>
      <c r="T95" s="304">
        <f t="shared" ca="1" si="30"/>
        <v>186.8121240808691</v>
      </c>
      <c r="U95" s="311">
        <f t="shared" ca="1" si="31"/>
        <v>0</v>
      </c>
      <c r="V95" s="306">
        <f t="shared" ca="1" si="32"/>
        <v>1.2213399448721349</v>
      </c>
      <c r="W95" s="304">
        <f t="shared" ca="1" si="33"/>
        <v>36.286213482540674</v>
      </c>
      <c r="Y95" s="314" t="str">
        <f t="shared" ca="1" si="51"/>
        <v/>
      </c>
      <c r="Z95" s="315" t="str">
        <f t="shared" ca="1" si="52"/>
        <v/>
      </c>
      <c r="AA95" s="316" t="str">
        <f t="shared" ca="1" si="53"/>
        <v/>
      </c>
      <c r="AC95" s="310" t="e">
        <f t="shared" ca="1" si="54"/>
        <v>#N/A</v>
      </c>
      <c r="AD95" s="323" t="e">
        <f t="shared" ca="1" si="55"/>
        <v>#N/A</v>
      </c>
      <c r="AE95" s="324">
        <f t="shared" ca="1" si="34"/>
        <v>29.922702570729292</v>
      </c>
      <c r="AG95" s="306">
        <f t="shared" ca="1" si="56"/>
        <v>85.920612714160086</v>
      </c>
      <c r="AH95" s="304">
        <f t="shared" ca="1" si="57"/>
        <v>95.31003779418387</v>
      </c>
    </row>
    <row r="96" spans="1:34" x14ac:dyDescent="0.2">
      <c r="A96" s="347">
        <f t="shared" ca="1" si="35"/>
        <v>0.01</v>
      </c>
      <c r="B96" s="304">
        <f t="shared" ca="1" si="36"/>
        <v>0.9200000000000006</v>
      </c>
      <c r="D96" s="306">
        <f t="shared" ca="1" si="37"/>
        <v>27.670898221825986</v>
      </c>
      <c r="E96" s="307">
        <f t="shared" ca="1" si="38"/>
        <v>81.492435183957994</v>
      </c>
      <c r="F96" s="304">
        <f t="shared" ca="1" si="39"/>
        <v>86.062161259256371</v>
      </c>
      <c r="G96" s="306">
        <f t="shared" ca="1" si="40"/>
        <v>21.287793924110119</v>
      </c>
      <c r="H96" s="307">
        <f t="shared" ca="1" si="41"/>
        <v>70.142750491526257</v>
      </c>
      <c r="I96" s="304">
        <f t="shared" ca="1" si="42"/>
        <v>73.301948246086113</v>
      </c>
      <c r="J96" s="306">
        <f t="shared" ca="1" si="43"/>
        <v>8.817562359785649</v>
      </c>
      <c r="K96" s="307">
        <f t="shared" ca="1" si="44"/>
        <v>30.620055453885357</v>
      </c>
      <c r="L96" s="304">
        <f t="shared" ca="1" si="29"/>
        <v>31.864356293007443</v>
      </c>
      <c r="M96" s="306">
        <f t="shared" ca="1" si="45"/>
        <v>1.2761385541760168</v>
      </c>
      <c r="N96" s="304">
        <f t="shared" ca="1" si="46"/>
        <v>73.117353228212721</v>
      </c>
      <c r="P96" s="310">
        <f t="shared" ca="1" si="47"/>
        <v>8</v>
      </c>
      <c r="Q96" s="304">
        <f t="shared" ca="1" si="48"/>
        <v>1851.9939262086516</v>
      </c>
      <c r="R96" s="306">
        <f t="shared" ca="1" si="49"/>
        <v>1.1137412486267502</v>
      </c>
      <c r="S96" s="307">
        <f t="shared" ca="1" si="50"/>
        <v>19.031892565176229</v>
      </c>
      <c r="T96" s="304">
        <f t="shared" ca="1" si="30"/>
        <v>186.70286606437881</v>
      </c>
      <c r="U96" s="311">
        <f t="shared" ca="1" si="31"/>
        <v>0</v>
      </c>
      <c r="V96" s="306">
        <f t="shared" ca="1" si="32"/>
        <v>1.2212547771534616</v>
      </c>
      <c r="W96" s="304">
        <f t="shared" ca="1" si="33"/>
        <v>37.150446343360606</v>
      </c>
      <c r="Y96" s="314" t="str">
        <f t="shared" ca="1" si="51"/>
        <v/>
      </c>
      <c r="Z96" s="315" t="str">
        <f t="shared" ca="1" si="52"/>
        <v/>
      </c>
      <c r="AA96" s="316" t="str">
        <f t="shared" ca="1" si="53"/>
        <v/>
      </c>
      <c r="AC96" s="310" t="e">
        <f t="shared" ca="1" si="54"/>
        <v>#N/A</v>
      </c>
      <c r="AD96" s="323" t="e">
        <f t="shared" ca="1" si="55"/>
        <v>#N/A</v>
      </c>
      <c r="AE96" s="324">
        <f t="shared" ca="1" si="34"/>
        <v>30.620055453885357</v>
      </c>
      <c r="AG96" s="306">
        <f t="shared" ca="1" si="56"/>
        <v>86.015114134629954</v>
      </c>
      <c r="AH96" s="304">
        <f t="shared" ca="1" si="57"/>
        <v>95.403423832289704</v>
      </c>
    </row>
    <row r="97" spans="1:34" x14ac:dyDescent="0.2">
      <c r="A97" s="347">
        <f t="shared" ca="1" si="35"/>
        <v>0.01</v>
      </c>
      <c r="B97" s="304">
        <f t="shared" ca="1" si="36"/>
        <v>0.9300000000000006</v>
      </c>
      <c r="D97" s="306">
        <f t="shared" ca="1" si="37"/>
        <v>27.733334004562028</v>
      </c>
      <c r="E97" s="307">
        <f t="shared" ca="1" si="38"/>
        <v>81.570644434788377</v>
      </c>
      <c r="F97" s="304">
        <f t="shared" ca="1" si="39"/>
        <v>86.156298948569443</v>
      </c>
      <c r="G97" s="306">
        <f t="shared" ca="1" si="40"/>
        <v>21.565127264155738</v>
      </c>
      <c r="H97" s="307">
        <f t="shared" ca="1" si="41"/>
        <v>70.958456935874139</v>
      </c>
      <c r="I97" s="304">
        <f t="shared" ca="1" si="42"/>
        <v>74.163045545875065</v>
      </c>
      <c r="J97" s="306">
        <f t="shared" ca="1" si="43"/>
        <v>9.0318269657269781</v>
      </c>
      <c r="K97" s="307">
        <f t="shared" ca="1" si="44"/>
        <v>31.325561491022359</v>
      </c>
      <c r="L97" s="304">
        <f t="shared" ca="1" si="29"/>
        <v>32.601605805031383</v>
      </c>
      <c r="M97" s="306">
        <f t="shared" ca="1" si="45"/>
        <v>1.2757544079226801</v>
      </c>
      <c r="N97" s="304">
        <f t="shared" ca="1" si="46"/>
        <v>73.095343269180759</v>
      </c>
      <c r="P97" s="310">
        <f t="shared" ca="1" si="47"/>
        <v>8</v>
      </c>
      <c r="Q97" s="304">
        <f t="shared" ca="1" si="48"/>
        <v>1853.5629465648856</v>
      </c>
      <c r="R97" s="306">
        <f t="shared" ca="1" si="49"/>
        <v>1.1146848168890124</v>
      </c>
      <c r="S97" s="307">
        <f t="shared" ca="1" si="50"/>
        <v>19.020745717007337</v>
      </c>
      <c r="T97" s="304">
        <f t="shared" ca="1" si="30"/>
        <v>186.593515483842</v>
      </c>
      <c r="U97" s="311">
        <f t="shared" ca="1" si="31"/>
        <v>0</v>
      </c>
      <c r="V97" s="306">
        <f t="shared" ca="1" si="32"/>
        <v>1.2211686197242708</v>
      </c>
      <c r="W97" s="304">
        <f t="shared" ca="1" si="33"/>
        <v>38.025722362656012</v>
      </c>
      <c r="Y97" s="314" t="str">
        <f t="shared" ca="1" si="51"/>
        <v/>
      </c>
      <c r="Z97" s="315" t="str">
        <f t="shared" ca="1" si="52"/>
        <v/>
      </c>
      <c r="AA97" s="316" t="str">
        <f t="shared" ca="1" si="53"/>
        <v/>
      </c>
      <c r="AC97" s="310" t="e">
        <f t="shared" ca="1" si="54"/>
        <v>#N/A</v>
      </c>
      <c r="AD97" s="323" t="e">
        <f t="shared" ca="1" si="55"/>
        <v>#N/A</v>
      </c>
      <c r="AE97" s="324">
        <f t="shared" ca="1" si="34"/>
        <v>31.325561491022359</v>
      </c>
      <c r="AG97" s="306">
        <f t="shared" ca="1" si="56"/>
        <v>86.109182773010673</v>
      </c>
      <c r="AH97" s="304">
        <f t="shared" ca="1" si="57"/>
        <v>95.496387326044001</v>
      </c>
    </row>
    <row r="98" spans="1:34" x14ac:dyDescent="0.2">
      <c r="A98" s="347">
        <f t="shared" ca="1" si="35"/>
        <v>0.01</v>
      </c>
      <c r="B98" s="304">
        <f t="shared" ca="1" si="36"/>
        <v>0.94000000000000061</v>
      </c>
      <c r="D98" s="306">
        <f t="shared" ca="1" si="37"/>
        <v>27.795343987515508</v>
      </c>
      <c r="E98" s="307">
        <f t="shared" ca="1" si="38"/>
        <v>81.648524459263939</v>
      </c>
      <c r="F98" s="304">
        <f t="shared" ca="1" si="39"/>
        <v>86.250001123242527</v>
      </c>
      <c r="G98" s="306">
        <f t="shared" ca="1" si="40"/>
        <v>21.843080704030893</v>
      </c>
      <c r="H98" s="307">
        <f t="shared" ca="1" si="41"/>
        <v>71.77494218046678</v>
      </c>
      <c r="I98" s="304">
        <f t="shared" ca="1" si="42"/>
        <v>75.025079137926653</v>
      </c>
      <c r="J98" s="306">
        <f t="shared" ca="1" si="43"/>
        <v>9.2488680055679104</v>
      </c>
      <c r="K98" s="307">
        <f t="shared" ca="1" si="44"/>
        <v>32.039228486604067</v>
      </c>
      <c r="L98" s="304">
        <f t="shared" ca="1" si="29"/>
        <v>33.347469490221279</v>
      </c>
      <c r="M98" s="306">
        <f t="shared" ca="1" si="45"/>
        <v>1.2753741948674129</v>
      </c>
      <c r="N98" s="304">
        <f t="shared" ca="1" si="46"/>
        <v>73.073558665798174</v>
      </c>
      <c r="P98" s="310">
        <f t="shared" ca="1" si="47"/>
        <v>8</v>
      </c>
      <c r="Q98" s="304">
        <f t="shared" ca="1" si="48"/>
        <v>1855.1319669211198</v>
      </c>
      <c r="R98" s="306">
        <f t="shared" ca="1" si="49"/>
        <v>1.1156283851512747</v>
      </c>
      <c r="S98" s="307">
        <f t="shared" ca="1" si="50"/>
        <v>19.009589433155824</v>
      </c>
      <c r="T98" s="304">
        <f t="shared" ca="1" si="30"/>
        <v>186.48407233925863</v>
      </c>
      <c r="U98" s="311">
        <f t="shared" ca="1" si="31"/>
        <v>0</v>
      </c>
      <c r="V98" s="306">
        <f t="shared" ca="1" si="32"/>
        <v>1.2210814718413414</v>
      </c>
      <c r="W98" s="304">
        <f t="shared" ca="1" si="33"/>
        <v>38.912066103370591</v>
      </c>
      <c r="Y98" s="314" t="str">
        <f t="shared" ca="1" si="51"/>
        <v/>
      </c>
      <c r="Z98" s="315" t="str">
        <f t="shared" ca="1" si="52"/>
        <v/>
      </c>
      <c r="AA98" s="316" t="str">
        <f t="shared" ca="1" si="53"/>
        <v/>
      </c>
      <c r="AC98" s="310" t="e">
        <f t="shared" ca="1" si="54"/>
        <v>#N/A</v>
      </c>
      <c r="AD98" s="323" t="e">
        <f t="shared" ca="1" si="55"/>
        <v>#N/A</v>
      </c>
      <c r="AE98" s="324">
        <f t="shared" ca="1" si="34"/>
        <v>32.039228486604067</v>
      </c>
      <c r="AG98" s="306">
        <f t="shared" ca="1" si="56"/>
        <v>86.202816916513299</v>
      </c>
      <c r="AH98" s="304">
        <f t="shared" ca="1" si="57"/>
        <v>95.58892636519198</v>
      </c>
    </row>
    <row r="99" spans="1:34" x14ac:dyDescent="0.2">
      <c r="A99" s="347">
        <f t="shared" ca="1" si="35"/>
        <v>0.01</v>
      </c>
      <c r="B99" s="304">
        <f t="shared" ca="1" si="36"/>
        <v>0.95000000000000062</v>
      </c>
      <c r="D99" s="306">
        <f t="shared" ca="1" si="37"/>
        <v>27.856933731537406</v>
      </c>
      <c r="E99" s="307">
        <f t="shared" ca="1" si="38"/>
        <v>81.726071994515863</v>
      </c>
      <c r="F99" s="304">
        <f t="shared" ca="1" si="39"/>
        <v>86.343266098613952</v>
      </c>
      <c r="G99" s="306">
        <f t="shared" ca="1" si="40"/>
        <v>22.121650041346268</v>
      </c>
      <c r="H99" s="307">
        <f t="shared" ca="1" si="41"/>
        <v>72.592202900411934</v>
      </c>
      <c r="I99" s="304">
        <f t="shared" ca="1" si="42"/>
        <v>75.88804466110831</v>
      </c>
      <c r="J99" s="306">
        <f t="shared" ca="1" si="43"/>
        <v>9.4686916592947963</v>
      </c>
      <c r="K99" s="307">
        <f t="shared" ca="1" si="44"/>
        <v>32.761064212008463</v>
      </c>
      <c r="L99" s="304">
        <f t="shared" ca="1" si="29"/>
        <v>34.101956689347617</v>
      </c>
      <c r="M99" s="306">
        <f t="shared" ca="1" si="45"/>
        <v>1.2749978351940807</v>
      </c>
      <c r="N99" s="304">
        <f t="shared" ca="1" si="46"/>
        <v>73.051994844937326</v>
      </c>
      <c r="P99" s="310">
        <f t="shared" ca="1" si="47"/>
        <v>8</v>
      </c>
      <c r="Q99" s="304">
        <f t="shared" ca="1" si="48"/>
        <v>1856.7009872773538</v>
      </c>
      <c r="R99" s="306">
        <f t="shared" ca="1" si="49"/>
        <v>1.116571953413537</v>
      </c>
      <c r="S99" s="307">
        <f t="shared" ca="1" si="50"/>
        <v>18.99842371362169</v>
      </c>
      <c r="T99" s="304">
        <f t="shared" ca="1" si="30"/>
        <v>186.3745366306288</v>
      </c>
      <c r="U99" s="311">
        <f t="shared" ca="1" si="31"/>
        <v>0</v>
      </c>
      <c r="V99" s="306">
        <f t="shared" ca="1" si="32"/>
        <v>1.2209933327681519</v>
      </c>
      <c r="W99" s="304">
        <f t="shared" ca="1" si="33"/>
        <v>39.809501875044788</v>
      </c>
      <c r="Y99" s="314" t="str">
        <f t="shared" ca="1" si="51"/>
        <v/>
      </c>
      <c r="Z99" s="315" t="str">
        <f t="shared" ca="1" si="52"/>
        <v/>
      </c>
      <c r="AA99" s="316" t="str">
        <f t="shared" ca="1" si="53"/>
        <v/>
      </c>
      <c r="AC99" s="310" t="e">
        <f t="shared" ca="1" si="54"/>
        <v>#N/A</v>
      </c>
      <c r="AD99" s="323" t="e">
        <f t="shared" ca="1" si="55"/>
        <v>#N/A</v>
      </c>
      <c r="AE99" s="324">
        <f t="shared" ca="1" si="34"/>
        <v>32.761064212008463</v>
      </c>
      <c r="AG99" s="306">
        <f t="shared" ca="1" si="56"/>
        <v>86.296014853984147</v>
      </c>
      <c r="AH99" s="304">
        <f t="shared" ca="1" si="57"/>
        <v>95.681039046973453</v>
      </c>
    </row>
    <row r="100" spans="1:34" x14ac:dyDescent="0.2">
      <c r="A100" s="347">
        <f t="shared" ca="1" si="35"/>
        <v>0.01</v>
      </c>
      <c r="B100" s="304">
        <f t="shared" ca="1" si="36"/>
        <v>0.96000000000000063</v>
      </c>
      <c r="D100" s="306">
        <f t="shared" ca="1" si="37"/>
        <v>27.91810859943724</v>
      </c>
      <c r="E100" s="307">
        <f t="shared" ca="1" si="38"/>
        <v>81.803283830917508</v>
      </c>
      <c r="F100" s="304">
        <f t="shared" ca="1" si="39"/>
        <v>86.436092191234692</v>
      </c>
      <c r="G100" s="306">
        <f t="shared" ca="1" si="40"/>
        <v>22.400831127340641</v>
      </c>
      <c r="H100" s="307">
        <f t="shared" ca="1" si="41"/>
        <v>73.410235738721113</v>
      </c>
      <c r="I100" s="304">
        <f t="shared" ca="1" si="42"/>
        <v>76.751937737168831</v>
      </c>
      <c r="J100" s="306">
        <f t="shared" ca="1" si="43"/>
        <v>9.6913040651382314</v>
      </c>
      <c r="K100" s="307">
        <f t="shared" ca="1" si="44"/>
        <v>33.491076405204126</v>
      </c>
      <c r="L100" s="304">
        <f t="shared" ca="1" si="29"/>
        <v>34.865076699502403</v>
      </c>
      <c r="M100" s="306">
        <f t="shared" ca="1" si="45"/>
        <v>1.2746252515179979</v>
      </c>
      <c r="N100" s="304">
        <f t="shared" ca="1" si="46"/>
        <v>73.030647372782312</v>
      </c>
      <c r="P100" s="310">
        <f t="shared" ca="1" si="47"/>
        <v>8</v>
      </c>
      <c r="Q100" s="304">
        <f t="shared" ca="1" si="48"/>
        <v>1858.270007633588</v>
      </c>
      <c r="R100" s="306">
        <f t="shared" ca="1" si="49"/>
        <v>1.1175155216757993</v>
      </c>
      <c r="S100" s="307">
        <f t="shared" ca="1" si="50"/>
        <v>18.987248558404932</v>
      </c>
      <c r="T100" s="304">
        <f t="shared" ca="1" si="30"/>
        <v>186.26490835795241</v>
      </c>
      <c r="U100" s="311">
        <f t="shared" ca="1" si="31"/>
        <v>0</v>
      </c>
      <c r="V100" s="306">
        <f t="shared" ca="1" si="32"/>
        <v>1.2209042017749274</v>
      </c>
      <c r="W100" s="304">
        <f t="shared" ca="1" si="33"/>
        <v>40.718053732044538</v>
      </c>
      <c r="Y100" s="314" t="str">
        <f t="shared" ca="1" si="51"/>
        <v/>
      </c>
      <c r="Z100" s="315" t="str">
        <f t="shared" ca="1" si="52"/>
        <v/>
      </c>
      <c r="AA100" s="316" t="str">
        <f t="shared" ca="1" si="53"/>
        <v/>
      </c>
      <c r="AC100" s="310" t="e">
        <f t="shared" ca="1" si="54"/>
        <v>#N/A</v>
      </c>
      <c r="AD100" s="323" t="e">
        <f t="shared" ca="1" si="55"/>
        <v>#N/A</v>
      </c>
      <c r="AE100" s="324">
        <f t="shared" ca="1" si="34"/>
        <v>33.491076405204126</v>
      </c>
      <c r="AG100" s="306">
        <f t="shared" ca="1" si="56"/>
        <v>86.388774876246174</v>
      </c>
      <c r="AH100" s="304">
        <f t="shared" ca="1" si="57"/>
        <v>95.77272347622899</v>
      </c>
    </row>
    <row r="101" spans="1:34" x14ac:dyDescent="0.2">
      <c r="A101" s="347">
        <f t="shared" ca="1" si="35"/>
        <v>0.01</v>
      </c>
      <c r="B101" s="304">
        <f t="shared" ca="1" si="36"/>
        <v>0.97000000000000064</v>
      </c>
      <c r="D101" s="306">
        <f t="shared" ca="1" si="37"/>
        <v>27.978873764385789</v>
      </c>
      <c r="E101" s="307">
        <f t="shared" ca="1" si="38"/>
        <v>81.880156810325346</v>
      </c>
      <c r="F101" s="304">
        <f t="shared" ca="1" si="39"/>
        <v>86.528477719227809</v>
      </c>
      <c r="G101" s="306">
        <f t="shared" ca="1" si="40"/>
        <v>22.6806198649845</v>
      </c>
      <c r="H101" s="307">
        <f t="shared" ca="1" si="41"/>
        <v>74.229037306824367</v>
      </c>
      <c r="I101" s="304">
        <f t="shared" ca="1" si="42"/>
        <v>77.61675397076236</v>
      </c>
      <c r="J101" s="306">
        <f t="shared" ca="1" si="43"/>
        <v>9.9167113200998571</v>
      </c>
      <c r="K101" s="307">
        <f t="shared" ca="1" si="44"/>
        <v>34.229272770431855</v>
      </c>
      <c r="L101" s="304">
        <f t="shared" ca="1" si="29"/>
        <v>35.636838773926407</v>
      </c>
      <c r="M101" s="306">
        <f t="shared" ca="1" si="45"/>
        <v>1.2742563687870596</v>
      </c>
      <c r="N101" s="304">
        <f t="shared" ca="1" si="46"/>
        <v>73.009511949164278</v>
      </c>
      <c r="P101" s="310">
        <f t="shared" ca="1" si="47"/>
        <v>8</v>
      </c>
      <c r="Q101" s="304">
        <f t="shared" ca="1" si="48"/>
        <v>1859.8390279898222</v>
      </c>
      <c r="R101" s="306">
        <f t="shared" ca="1" si="49"/>
        <v>1.1184590899380615</v>
      </c>
      <c r="S101" s="307">
        <f t="shared" ca="1" si="50"/>
        <v>18.976063967505553</v>
      </c>
      <c r="T101" s="304">
        <f t="shared" ca="1" si="30"/>
        <v>186.15518752122949</v>
      </c>
      <c r="U101" s="311">
        <f t="shared" ca="1" si="31"/>
        <v>0</v>
      </c>
      <c r="V101" s="306">
        <f t="shared" ca="1" si="32"/>
        <v>1.2208140781386814</v>
      </c>
      <c r="W101" s="304">
        <f t="shared" ca="1" si="33"/>
        <v>41.637745471797714</v>
      </c>
      <c r="Y101" s="314" t="str">
        <f t="shared" ca="1" si="51"/>
        <v/>
      </c>
      <c r="Z101" s="315" t="str">
        <f t="shared" ca="1" si="52"/>
        <v/>
      </c>
      <c r="AA101" s="316" t="str">
        <f t="shared" ca="1" si="53"/>
        <v/>
      </c>
      <c r="AC101" s="310" t="e">
        <f t="shared" ca="1" si="54"/>
        <v>#N/A</v>
      </c>
      <c r="AD101" s="323" t="e">
        <f t="shared" ca="1" si="55"/>
        <v>#N/A</v>
      </c>
      <c r="AE101" s="324">
        <f t="shared" ca="1" si="34"/>
        <v>34.229272770431855</v>
      </c>
      <c r="AG101" s="306">
        <f t="shared" ca="1" si="56"/>
        <v>86.481095276428732</v>
      </c>
      <c r="AH101" s="304">
        <f t="shared" ca="1" si="57"/>
        <v>95.863977765506306</v>
      </c>
    </row>
    <row r="102" spans="1:34" x14ac:dyDescent="0.2">
      <c r="A102" s="347">
        <f t="shared" ca="1" si="35"/>
        <v>0.01</v>
      </c>
      <c r="B102" s="304">
        <f t="shared" ca="1" si="36"/>
        <v>0.98000000000000065</v>
      </c>
      <c r="D102" s="306">
        <f t="shared" ca="1" si="37"/>
        <v>28.03923421788566</v>
      </c>
      <c r="E102" s="307">
        <f t="shared" ca="1" si="38"/>
        <v>81.956687824413351</v>
      </c>
      <c r="F102" s="304">
        <f t="shared" ca="1" si="39"/>
        <v>86.620421002635368</v>
      </c>
      <c r="G102" s="306">
        <f t="shared" ca="1" si="40"/>
        <v>22.961012207163357</v>
      </c>
      <c r="H102" s="307">
        <f t="shared" ca="1" si="41"/>
        <v>75.048604185068498</v>
      </c>
      <c r="I102" s="304">
        <f t="shared" ca="1" si="42"/>
        <v>78.482488949475766</v>
      </c>
      <c r="J102" s="306">
        <f t="shared" ca="1" si="43"/>
        <v>10.144919480460596</v>
      </c>
      <c r="K102" s="307">
        <f t="shared" ca="1" si="44"/>
        <v>34.975660977891323</v>
      </c>
      <c r="L102" s="304">
        <f t="shared" ca="1" si="29"/>
        <v>36.41725212183669</v>
      </c>
      <c r="M102" s="306">
        <f t="shared" ca="1" si="45"/>
        <v>1.2738911141878817</v>
      </c>
      <c r="N102" s="304">
        <f t="shared" ca="1" si="46"/>
        <v>72.988584402183648</v>
      </c>
      <c r="P102" s="310">
        <f t="shared" ca="1" si="47"/>
        <v>8</v>
      </c>
      <c r="Q102" s="304">
        <f t="shared" ca="1" si="48"/>
        <v>1861.4080483460561</v>
      </c>
      <c r="R102" s="306">
        <f t="shared" ca="1" si="49"/>
        <v>1.1194026582003238</v>
      </c>
      <c r="S102" s="307">
        <f t="shared" ca="1" si="50"/>
        <v>18.964869940923549</v>
      </c>
      <c r="T102" s="304">
        <f t="shared" ca="1" si="30"/>
        <v>186.04537412046002</v>
      </c>
      <c r="U102" s="311">
        <f t="shared" ca="1" si="31"/>
        <v>0</v>
      </c>
      <c r="V102" s="306">
        <f t="shared" ca="1" si="32"/>
        <v>1.2207229611432604</v>
      </c>
      <c r="W102" s="304">
        <f t="shared" ca="1" si="33"/>
        <v>42.568600633039324</v>
      </c>
      <c r="Y102" s="314" t="str">
        <f t="shared" ca="1" si="51"/>
        <v/>
      </c>
      <c r="Z102" s="315" t="str">
        <f t="shared" ca="1" si="52"/>
        <v/>
      </c>
      <c r="AA102" s="316" t="str">
        <f t="shared" ca="1" si="53"/>
        <v/>
      </c>
      <c r="AC102" s="310" t="e">
        <f t="shared" ca="1" si="54"/>
        <v>#N/A</v>
      </c>
      <c r="AD102" s="323" t="e">
        <f t="shared" ca="1" si="55"/>
        <v>#N/A</v>
      </c>
      <c r="AE102" s="324">
        <f t="shared" ca="1" si="34"/>
        <v>34.975660977891323</v>
      </c>
      <c r="AG102" s="306">
        <f t="shared" ca="1" si="56"/>
        <v>86.572974350285989</v>
      </c>
      <c r="AH102" s="304">
        <f t="shared" ca="1" si="57"/>
        <v>95.954800035166471</v>
      </c>
    </row>
    <row r="103" spans="1:34" x14ac:dyDescent="0.2">
      <c r="A103" s="347">
        <f t="shared" ca="1" si="35"/>
        <v>0.01</v>
      </c>
      <c r="B103" s="304">
        <f t="shared" ca="1" si="36"/>
        <v>0.99000000000000066</v>
      </c>
      <c r="D103" s="306">
        <f t="shared" ca="1" si="37"/>
        <v>28.099194777336194</v>
      </c>
      <c r="E103" s="307">
        <f t="shared" ca="1" si="38"/>
        <v>82.032873813095406</v>
      </c>
      <c r="F103" s="304">
        <f t="shared" ca="1" si="39"/>
        <v>86.711920363753407</v>
      </c>
      <c r="G103" s="306">
        <f t="shared" ca="1" si="40"/>
        <v>23.242004154936719</v>
      </c>
      <c r="H103" s="307">
        <f t="shared" ca="1" si="41"/>
        <v>75.868932923199452</v>
      </c>
      <c r="I103" s="304">
        <f t="shared" ca="1" si="42"/>
        <v>79.349138243858917</v>
      </c>
      <c r="J103" s="306">
        <f t="shared" ca="1" si="43"/>
        <v>10.375934562271096</v>
      </c>
      <c r="K103" s="307">
        <f t="shared" ca="1" si="44"/>
        <v>35.730248663432661</v>
      </c>
      <c r="L103" s="304">
        <f t="shared" ca="1" si="29"/>
        <v>37.206325908254676</v>
      </c>
      <c r="M103" s="306">
        <f t="shared" ca="1" si="45"/>
        <v>1.2735294170566442</v>
      </c>
      <c r="N103" s="304">
        <f t="shared" ca="1" si="46"/>
        <v>72.967860683101748</v>
      </c>
      <c r="P103" s="310">
        <f t="shared" ca="1" si="47"/>
        <v>8</v>
      </c>
      <c r="Q103" s="304">
        <f t="shared" ca="1" si="48"/>
        <v>1862.9770687022904</v>
      </c>
      <c r="R103" s="306">
        <f t="shared" ca="1" si="49"/>
        <v>1.1203462264625861</v>
      </c>
      <c r="S103" s="307">
        <f t="shared" ca="1" si="50"/>
        <v>18.953666478658924</v>
      </c>
      <c r="T103" s="304">
        <f t="shared" ca="1" si="30"/>
        <v>185.93546815564406</v>
      </c>
      <c r="U103" s="311">
        <f t="shared" ca="1" si="31"/>
        <v>0</v>
      </c>
      <c r="V103" s="306">
        <f t="shared" ca="1" si="32"/>
        <v>1.2206308500793852</v>
      </c>
      <c r="W103" s="304">
        <f t="shared" ca="1" si="33"/>
        <v>43.510642494064854</v>
      </c>
      <c r="Y103" s="314" t="str">
        <f t="shared" ca="1" si="51"/>
        <v/>
      </c>
      <c r="Z103" s="315" t="str">
        <f t="shared" ca="1" si="52"/>
        <v/>
      </c>
      <c r="AA103" s="316" t="str">
        <f t="shared" ca="1" si="53"/>
        <v/>
      </c>
      <c r="AC103" s="310" t="e">
        <f t="shared" ca="1" si="54"/>
        <v>#N/A</v>
      </c>
      <c r="AD103" s="323" t="e">
        <f t="shared" ca="1" si="55"/>
        <v>#N/A</v>
      </c>
      <c r="AE103" s="324">
        <f t="shared" ca="1" si="34"/>
        <v>35.730248663432661</v>
      </c>
      <c r="AG103" s="306">
        <f t="shared" ca="1" si="56"/>
        <v>86.664410396505119</v>
      </c>
      <c r="AH103" s="304">
        <f t="shared" ca="1" si="57"/>
        <v>96.045188413490266</v>
      </c>
    </row>
    <row r="104" spans="1:34" x14ac:dyDescent="0.2">
      <c r="A104" s="347">
        <f t="shared" ca="1" si="35"/>
        <v>0.01</v>
      </c>
      <c r="B104" s="304">
        <f t="shared" ca="1" si="36"/>
        <v>1.0000000000000007</v>
      </c>
      <c r="D104" s="306">
        <f t="shared" ca="1" si="37"/>
        <v>28.158760093217484</v>
      </c>
      <c r="E104" s="307">
        <f t="shared" ca="1" si="38"/>
        <v>82.108711763030399</v>
      </c>
      <c r="F104" s="304">
        <f t="shared" ca="1" si="39"/>
        <v>86.80297412745594</v>
      </c>
      <c r="G104" s="306">
        <f t="shared" ca="1" si="40"/>
        <v>23.523591755868893</v>
      </c>
      <c r="H104" s="307">
        <f t="shared" ca="1" si="41"/>
        <v>76.690020040829751</v>
      </c>
      <c r="I104" s="304">
        <f t="shared" ca="1" si="42"/>
        <v>80.216697407457829</v>
      </c>
      <c r="J104" s="306">
        <f t="shared" ca="1" si="43"/>
        <v>10.609762541825125</v>
      </c>
      <c r="K104" s="307">
        <f t="shared" ca="1" si="44"/>
        <v>36.493043428252804</v>
      </c>
      <c r="L104" s="304">
        <f t="shared" ca="1" si="29"/>
        <v>38.004069253834658</v>
      </c>
      <c r="M104" s="306">
        <f t="shared" ca="1" si="45"/>
        <v>1.2731712087943594</v>
      </c>
      <c r="N104" s="304">
        <f t="shared" ca="1" si="46"/>
        <v>72.947336861486122</v>
      </c>
      <c r="P104" s="310">
        <f t="shared" ca="1" si="47"/>
        <v>8</v>
      </c>
      <c r="Q104" s="304">
        <f t="shared" ca="1" si="48"/>
        <v>1864.5460890585243</v>
      </c>
      <c r="R104" s="306">
        <f t="shared" ca="1" si="49"/>
        <v>1.1212897947248481</v>
      </c>
      <c r="S104" s="307">
        <f t="shared" ca="1" si="50"/>
        <v>18.942453580711675</v>
      </c>
      <c r="T104" s="304">
        <f t="shared" ca="1" si="30"/>
        <v>185.82546962678154</v>
      </c>
      <c r="U104" s="311">
        <f t="shared" ca="1" si="31"/>
        <v>0</v>
      </c>
      <c r="V104" s="306">
        <f t="shared" ca="1" si="32"/>
        <v>1.2205377442446923</v>
      </c>
      <c r="W104" s="304">
        <f t="shared" ca="1" si="33"/>
        <v>44.463894070992453</v>
      </c>
      <c r="Y104" s="314" t="str">
        <f t="shared" ca="1" si="51"/>
        <v/>
      </c>
      <c r="Z104" s="315" t="str">
        <f t="shared" ca="1" si="52"/>
        <v/>
      </c>
      <c r="AA104" s="316" t="str">
        <f t="shared" ca="1" si="53"/>
        <v/>
      </c>
      <c r="AC104" s="310">
        <f t="shared" ca="1" si="54"/>
        <v>1.0000000000000007</v>
      </c>
      <c r="AD104" s="323">
        <f t="shared" ca="1" si="55"/>
        <v>10.609762541825125</v>
      </c>
      <c r="AE104" s="324">
        <f t="shared" ca="1" si="34"/>
        <v>36.493043428252804</v>
      </c>
      <c r="AG104" s="306">
        <f t="shared" ca="1" si="56"/>
        <v>86.755401717004403</v>
      </c>
      <c r="AH104" s="304">
        <f t="shared" ca="1" si="57"/>
        <v>96.135141036784461</v>
      </c>
    </row>
    <row r="105" spans="1:34" x14ac:dyDescent="0.2">
      <c r="A105" s="347">
        <f t="shared" ca="1" si="35"/>
        <v>0.01</v>
      </c>
      <c r="B105" s="304">
        <f t="shared" ca="1" si="36"/>
        <v>1.0100000000000007</v>
      </c>
      <c r="D105" s="306">
        <f t="shared" ca="1" si="37"/>
        <v>28.217934655916295</v>
      </c>
      <c r="E105" s="307">
        <f t="shared" ca="1" si="38"/>
        <v>82.184198706204853</v>
      </c>
      <c r="F105" s="304">
        <f t="shared" ca="1" si="39"/>
        <v>86.893580621508079</v>
      </c>
      <c r="G105" s="306">
        <f t="shared" ca="1" si="40"/>
        <v>23.805771102428057</v>
      </c>
      <c r="H105" s="307">
        <f t="shared" ca="1" si="41"/>
        <v>77.511862027891794</v>
      </c>
      <c r="I105" s="304">
        <f t="shared" ca="1" si="42"/>
        <v>81.085161976850813</v>
      </c>
      <c r="J105" s="306">
        <f t="shared" ca="1" si="43"/>
        <v>10.84640935611661</v>
      </c>
      <c r="K105" s="307">
        <f t="shared" ca="1" si="44"/>
        <v>37.264052838596413</v>
      </c>
      <c r="L105" s="304">
        <f t="shared" ca="1" si="29"/>
        <v>38.810491234692705</v>
      </c>
      <c r="M105" s="306">
        <f t="shared" ca="1" si="45"/>
        <v>1.2728164227863001</v>
      </c>
      <c r="N105" s="304">
        <f t="shared" ca="1" si="46"/>
        <v>72.927009120594022</v>
      </c>
      <c r="P105" s="310">
        <f t="shared" ca="1" si="47"/>
        <v>8</v>
      </c>
      <c r="Q105" s="304">
        <f t="shared" ca="1" si="48"/>
        <v>1866.1151094147585</v>
      </c>
      <c r="R105" s="306">
        <f t="shared" ca="1" si="49"/>
        <v>1.1222333629871106</v>
      </c>
      <c r="S105" s="307">
        <f t="shared" ca="1" si="50"/>
        <v>18.931231247081804</v>
      </c>
      <c r="T105" s="304">
        <f t="shared" ca="1" si="30"/>
        <v>185.7153785338725</v>
      </c>
      <c r="U105" s="311">
        <f t="shared" ca="1" si="31"/>
        <v>0</v>
      </c>
      <c r="V105" s="306">
        <f t="shared" ca="1" si="32"/>
        <v>1.2204436429437768</v>
      </c>
      <c r="W105" s="304">
        <f t="shared" ca="1" si="33"/>
        <v>45.428378116034267</v>
      </c>
      <c r="Y105" s="314" t="str">
        <f t="shared" ca="1" si="51"/>
        <v/>
      </c>
      <c r="Z105" s="315" t="str">
        <f t="shared" ca="1" si="52"/>
        <v/>
      </c>
      <c r="AA105" s="316" t="str">
        <f t="shared" ca="1" si="53"/>
        <v/>
      </c>
      <c r="AC105" s="310" t="e">
        <f t="shared" ca="1" si="54"/>
        <v>#N/A</v>
      </c>
      <c r="AD105" s="323" t="e">
        <f t="shared" ca="1" si="55"/>
        <v>#N/A</v>
      </c>
      <c r="AE105" s="324">
        <f t="shared" ca="1" si="34"/>
        <v>37.264052838596413</v>
      </c>
      <c r="AG105" s="306">
        <f t="shared" ca="1" si="56"/>
        <v>86.845946617222154</v>
      </c>
      <c r="AH105" s="304">
        <f t="shared" ca="1" si="57"/>
        <v>96.22465604948799</v>
      </c>
    </row>
    <row r="106" spans="1:34" x14ac:dyDescent="0.2">
      <c r="A106" s="347">
        <f t="shared" ca="1" si="35"/>
        <v>0.01</v>
      </c>
      <c r="B106" s="304">
        <f t="shared" ca="1" si="36"/>
        <v>1.0200000000000007</v>
      </c>
      <c r="D106" s="306">
        <f t="shared" ca="1" si="37"/>
        <v>28.276722802215321</v>
      </c>
      <c r="E106" s="307">
        <f t="shared" ca="1" si="38"/>
        <v>82.259331718589252</v>
      </c>
      <c r="F106" s="304">
        <f t="shared" ca="1" si="39"/>
        <v>86.98373817686975</v>
      </c>
      <c r="G106" s="306">
        <f t="shared" ca="1" si="40"/>
        <v>24.088538330450209</v>
      </c>
      <c r="H106" s="307">
        <f t="shared" ca="1" si="41"/>
        <v>78.334455345077686</v>
      </c>
      <c r="I106" s="304">
        <f t="shared" ca="1" si="42"/>
        <v>81.954527471687243</v>
      </c>
      <c r="J106" s="306">
        <f t="shared" ca="1" si="43"/>
        <v>11.085880903281002</v>
      </c>
      <c r="K106" s="307">
        <f t="shared" ca="1" si="44"/>
        <v>38.043284425461259</v>
      </c>
      <c r="L106" s="304">
        <f t="shared" ca="1" si="29"/>
        <v>39.625600882236142</v>
      </c>
      <c r="M106" s="306">
        <f t="shared" ca="1" si="45"/>
        <v>1.2724649943253479</v>
      </c>
      <c r="N106" s="304">
        <f t="shared" ca="1" si="46"/>
        <v>72.906873752980687</v>
      </c>
      <c r="P106" s="310">
        <f t="shared" ca="1" si="47"/>
        <v>8</v>
      </c>
      <c r="Q106" s="304">
        <f t="shared" ca="1" si="48"/>
        <v>1867.6841297709925</v>
      </c>
      <c r="R106" s="306">
        <f t="shared" ca="1" si="49"/>
        <v>1.1231769312493727</v>
      </c>
      <c r="S106" s="307">
        <f t="shared" ca="1" si="50"/>
        <v>18.919999477769309</v>
      </c>
      <c r="T106" s="304">
        <f t="shared" ca="1" si="30"/>
        <v>185.60519487691693</v>
      </c>
      <c r="U106" s="311">
        <f t="shared" ca="1" si="31"/>
        <v>0</v>
      </c>
      <c r="V106" s="306">
        <f t="shared" ca="1" si="32"/>
        <v>1.2203485454882304</v>
      </c>
      <c r="W106" s="304">
        <f t="shared" ca="1" si="33"/>
        <v>46.4041171157767</v>
      </c>
      <c r="Y106" s="314" t="str">
        <f t="shared" ca="1" si="51"/>
        <v/>
      </c>
      <c r="Z106" s="315" t="str">
        <f t="shared" ca="1" si="52"/>
        <v/>
      </c>
      <c r="AA106" s="316" t="str">
        <f t="shared" ca="1" si="53"/>
        <v/>
      </c>
      <c r="AC106" s="310" t="e">
        <f t="shared" ca="1" si="54"/>
        <v>#N/A</v>
      </c>
      <c r="AD106" s="323" t="e">
        <f t="shared" ca="1" si="55"/>
        <v>#N/A</v>
      </c>
      <c r="AE106" s="324">
        <f t="shared" ca="1" si="34"/>
        <v>38.043284425461259</v>
      </c>
      <c r="AG106" s="306">
        <f t="shared" ca="1" si="56"/>
        <v>86.93604340639682</v>
      </c>
      <c r="AH106" s="304">
        <f t="shared" ca="1" si="57"/>
        <v>96.31373160427826</v>
      </c>
    </row>
    <row r="107" spans="1:34" x14ac:dyDescent="0.2">
      <c r="A107" s="347">
        <f t="shared" ca="1" si="35"/>
        <v>0.01</v>
      </c>
      <c r="B107" s="304">
        <f t="shared" ca="1" si="36"/>
        <v>1.0300000000000007</v>
      </c>
      <c r="D107" s="306">
        <f t="shared" ca="1" si="37"/>
        <v>28.335128721465558</v>
      </c>
      <c r="E107" s="307">
        <f t="shared" ca="1" si="38"/>
        <v>82.334107918862998</v>
      </c>
      <c r="F107" s="304">
        <f t="shared" ca="1" si="39"/>
        <v>87.073445127989515</v>
      </c>
      <c r="G107" s="306">
        <f t="shared" ca="1" si="40"/>
        <v>24.371889617664866</v>
      </c>
      <c r="H107" s="307">
        <f t="shared" ca="1" si="41"/>
        <v>79.157796424266309</v>
      </c>
      <c r="I107" s="304">
        <f t="shared" ca="1" si="42"/>
        <v>82.824789394729081</v>
      </c>
      <c r="J107" s="306">
        <f t="shared" ca="1" si="43"/>
        <v>11.328183043021577</v>
      </c>
      <c r="K107" s="307">
        <f t="shared" ca="1" si="44"/>
        <v>38.830745684307978</v>
      </c>
      <c r="L107" s="304">
        <f t="shared" ca="1" si="29"/>
        <v>40.449407182993475</v>
      </c>
      <c r="M107" s="306">
        <f t="shared" ca="1" si="45"/>
        <v>1.2721168605390272</v>
      </c>
      <c r="N107" s="304">
        <f t="shared" ca="1" si="46"/>
        <v>72.886927156318592</v>
      </c>
      <c r="P107" s="310">
        <f t="shared" ca="1" si="47"/>
        <v>8</v>
      </c>
      <c r="Q107" s="304">
        <f t="shared" ca="1" si="48"/>
        <v>1869.2531501272267</v>
      </c>
      <c r="R107" s="306">
        <f t="shared" ca="1" si="49"/>
        <v>1.124120499511635</v>
      </c>
      <c r="S107" s="307">
        <f t="shared" ca="1" si="50"/>
        <v>18.908758272774193</v>
      </c>
      <c r="T107" s="304">
        <f t="shared" ca="1" si="30"/>
        <v>185.49491865591486</v>
      </c>
      <c r="U107" s="311">
        <f t="shared" ca="1" si="31"/>
        <v>0</v>
      </c>
      <c r="V107" s="306">
        <f t="shared" ca="1" si="32"/>
        <v>1.2202524511966828</v>
      </c>
      <c r="W107" s="304">
        <f t="shared" ca="1" si="33"/>
        <v>47.391133289470325</v>
      </c>
      <c r="Y107" s="314" t="str">
        <f t="shared" ca="1" si="51"/>
        <v/>
      </c>
      <c r="Z107" s="315" t="str">
        <f t="shared" ca="1" si="52"/>
        <v/>
      </c>
      <c r="AA107" s="316" t="str">
        <f t="shared" ca="1" si="53"/>
        <v/>
      </c>
      <c r="AC107" s="310" t="e">
        <f t="shared" ca="1" si="54"/>
        <v>#N/A</v>
      </c>
      <c r="AD107" s="323" t="e">
        <f t="shared" ca="1" si="55"/>
        <v>#N/A</v>
      </c>
      <c r="AE107" s="324">
        <f t="shared" ca="1" si="34"/>
        <v>38.830745684307978</v>
      </c>
      <c r="AG107" s="306">
        <f t="shared" ca="1" si="56"/>
        <v>87.025690397838986</v>
      </c>
      <c r="AH107" s="304">
        <f t="shared" ca="1" si="57"/>
        <v>96.402365862177334</v>
      </c>
    </row>
    <row r="108" spans="1:34" x14ac:dyDescent="0.2">
      <c r="A108" s="347">
        <f t="shared" ca="1" si="35"/>
        <v>0.01</v>
      </c>
      <c r="B108" s="304">
        <f t="shared" ca="1" si="36"/>
        <v>1.0400000000000007</v>
      </c>
      <c r="D108" s="306">
        <f t="shared" ca="1" si="37"/>
        <v>28.393156461460528</v>
      </c>
      <c r="E108" s="307">
        <f t="shared" ca="1" si="38"/>
        <v>82.408524467204444</v>
      </c>
      <c r="F108" s="304">
        <f t="shared" ca="1" si="39"/>
        <v>87.162699813089844</v>
      </c>
      <c r="G108" s="306">
        <f t="shared" ca="1" si="40"/>
        <v>24.655821182279471</v>
      </c>
      <c r="H108" s="307">
        <f t="shared" ca="1" si="41"/>
        <v>79.981881668938357</v>
      </c>
      <c r="I108" s="304">
        <f t="shared" ca="1" si="42"/>
        <v>83.695943231895058</v>
      </c>
      <c r="J108" s="306">
        <f t="shared" ca="1" si="43"/>
        <v>11.573321597021298</v>
      </c>
      <c r="K108" s="307">
        <f t="shared" ca="1" si="44"/>
        <v>39.626444074774</v>
      </c>
      <c r="L108" s="304">
        <f t="shared" ca="1" si="29"/>
        <v>41.281919078444879</v>
      </c>
      <c r="M108" s="306">
        <f t="shared" ca="1" si="45"/>
        <v>1.2717719603200233</v>
      </c>
      <c r="N108" s="304">
        <f t="shared" ca="1" si="46"/>
        <v>72.867165829416535</v>
      </c>
      <c r="P108" s="310">
        <f t="shared" ca="1" si="47"/>
        <v>8</v>
      </c>
      <c r="Q108" s="304">
        <f t="shared" ca="1" si="48"/>
        <v>1870.8221704834607</v>
      </c>
      <c r="R108" s="306">
        <f t="shared" ca="1" si="49"/>
        <v>1.1250640677738972</v>
      </c>
      <c r="S108" s="307">
        <f t="shared" ca="1" si="50"/>
        <v>18.897507632096453</v>
      </c>
      <c r="T108" s="304">
        <f t="shared" ca="1" si="30"/>
        <v>185.38454987086621</v>
      </c>
      <c r="U108" s="311">
        <f t="shared" ca="1" si="31"/>
        <v>0</v>
      </c>
      <c r="V108" s="306">
        <f t="shared" ca="1" si="32"/>
        <v>1.2201553593948404</v>
      </c>
      <c r="W108" s="304">
        <f t="shared" ca="1" si="33"/>
        <v>48.389448587329355</v>
      </c>
      <c r="Y108" s="314" t="str">
        <f t="shared" ca="1" si="51"/>
        <v/>
      </c>
      <c r="Z108" s="315" t="str">
        <f t="shared" ca="1" si="52"/>
        <v/>
      </c>
      <c r="AA108" s="316" t="str">
        <f t="shared" ca="1" si="53"/>
        <v/>
      </c>
      <c r="AC108" s="310" t="e">
        <f t="shared" ca="1" si="54"/>
        <v>#N/A</v>
      </c>
      <c r="AD108" s="323" t="e">
        <f t="shared" ca="1" si="55"/>
        <v>#N/A</v>
      </c>
      <c r="AE108" s="324">
        <f t="shared" ca="1" si="34"/>
        <v>39.626444074774</v>
      </c>
      <c r="AG108" s="306">
        <f t="shared" ca="1" si="56"/>
        <v>87.114885909195166</v>
      </c>
      <c r="AH108" s="304">
        <f t="shared" ca="1" si="57"/>
        <v>96.490556992657901</v>
      </c>
    </row>
    <row r="109" spans="1:34" x14ac:dyDescent="0.2">
      <c r="A109" s="347">
        <f t="shared" ca="1" si="35"/>
        <v>0.01</v>
      </c>
      <c r="B109" s="304">
        <f t="shared" ca="1" si="36"/>
        <v>1.0500000000000007</v>
      </c>
      <c r="D109" s="306">
        <f t="shared" ca="1" si="37"/>
        <v>28.450809934029174</v>
      </c>
      <c r="E109" s="307">
        <f t="shared" ca="1" si="38"/>
        <v>82.482578564142528</v>
      </c>
      <c r="F109" s="304">
        <f t="shared" ca="1" si="39"/>
        <v>87.25150057444398</v>
      </c>
      <c r="G109" s="306">
        <f t="shared" ca="1" si="40"/>
        <v>24.940329281619764</v>
      </c>
      <c r="H109" s="307">
        <f t="shared" ca="1" si="41"/>
        <v>80.806707454579779</v>
      </c>
      <c r="I109" s="304">
        <f t="shared" ca="1" si="42"/>
        <v>84.56798445230713</v>
      </c>
      <c r="J109" s="306">
        <f t="shared" ca="1" si="43"/>
        <v>11.821302349340794</v>
      </c>
      <c r="K109" s="307">
        <f t="shared" ca="1" si="44"/>
        <v>40.430387020391592</v>
      </c>
      <c r="L109" s="304">
        <f t="shared" ca="1" si="29"/>
        <v>42.12314546485316</v>
      </c>
      <c r="M109" s="306">
        <f t="shared" ca="1" si="45"/>
        <v>1.2714302342599753</v>
      </c>
      <c r="N109" s="304">
        <f t="shared" ca="1" si="46"/>
        <v>72.84758636842615</v>
      </c>
      <c r="P109" s="310">
        <f t="shared" ca="1" si="47"/>
        <v>8</v>
      </c>
      <c r="Q109" s="304">
        <f t="shared" ca="1" si="48"/>
        <v>1872.3911908396949</v>
      </c>
      <c r="R109" s="306">
        <f t="shared" ca="1" si="49"/>
        <v>1.1260076360361595</v>
      </c>
      <c r="S109" s="307">
        <f t="shared" ca="1" si="50"/>
        <v>18.886247555736091</v>
      </c>
      <c r="T109" s="304">
        <f t="shared" ca="1" si="30"/>
        <v>185.27408852177106</v>
      </c>
      <c r="U109" s="311">
        <f t="shared" ca="1" si="31"/>
        <v>0</v>
      </c>
      <c r="V109" s="306">
        <f t="shared" ca="1" si="32"/>
        <v>1.2200572694155256</v>
      </c>
      <c r="W109" s="304">
        <f t="shared" ca="1" si="33"/>
        <v>49.399084688840908</v>
      </c>
      <c r="Y109" s="314" t="str">
        <f t="shared" ca="1" si="51"/>
        <v/>
      </c>
      <c r="Z109" s="315" t="str">
        <f t="shared" ca="1" si="52"/>
        <v/>
      </c>
      <c r="AA109" s="316" t="str">
        <f t="shared" ca="1" si="53"/>
        <v/>
      </c>
      <c r="AC109" s="310" t="e">
        <f t="shared" ca="1" si="54"/>
        <v>#N/A</v>
      </c>
      <c r="AD109" s="323" t="e">
        <f t="shared" ca="1" si="55"/>
        <v>#N/A</v>
      </c>
      <c r="AE109" s="324">
        <f t="shared" ca="1" si="34"/>
        <v>40.430387020391592</v>
      </c>
      <c r="AG109" s="306">
        <f t="shared" ca="1" si="56"/>
        <v>87.203628262704598</v>
      </c>
      <c r="AH109" s="304">
        <f t="shared" ca="1" si="57"/>
        <v>96.578303173749504</v>
      </c>
    </row>
    <row r="110" spans="1:34" x14ac:dyDescent="0.2">
      <c r="A110" s="347">
        <f t="shared" ca="1" si="35"/>
        <v>0.01</v>
      </c>
      <c r="B110" s="304">
        <f t="shared" ca="1" si="36"/>
        <v>1.0600000000000007</v>
      </c>
      <c r="D110" s="306">
        <f t="shared" ca="1" si="37"/>
        <v>28.508092920364081</v>
      </c>
      <c r="E110" s="307">
        <f t="shared" ca="1" si="38"/>
        <v>82.556267449465935</v>
      </c>
      <c r="F110" s="304">
        <f t="shared" ca="1" si="39"/>
        <v>87.339845758644785</v>
      </c>
      <c r="G110" s="306">
        <f t="shared" ca="1" si="40"/>
        <v>25.225410210823405</v>
      </c>
      <c r="H110" s="307">
        <f t="shared" ca="1" si="41"/>
        <v>81.632270129074442</v>
      </c>
      <c r="I110" s="304">
        <f t="shared" ca="1" si="42"/>
        <v>85.440908508339803</v>
      </c>
      <c r="J110" s="306">
        <f t="shared" ca="1" si="43"/>
        <v>12.07213104680301</v>
      </c>
      <c r="K110" s="307">
        <f t="shared" ca="1" si="44"/>
        <v>41.242581908309866</v>
      </c>
      <c r="L110" s="304">
        <f t="shared" ca="1" si="29"/>
        <v>42.973095193095332</v>
      </c>
      <c r="M110" s="306">
        <f t="shared" ca="1" si="45"/>
        <v>1.2710916245863679</v>
      </c>
      <c r="N110" s="304">
        <f t="shared" ca="1" si="46"/>
        <v>72.828185463226148</v>
      </c>
      <c r="P110" s="310">
        <f t="shared" ca="1" si="47"/>
        <v>8</v>
      </c>
      <c r="Q110" s="304">
        <f t="shared" ca="1" si="48"/>
        <v>1873.9602111959289</v>
      </c>
      <c r="R110" s="306">
        <f t="shared" ca="1" si="49"/>
        <v>1.1269512042984218</v>
      </c>
      <c r="S110" s="307">
        <f t="shared" ca="1" si="50"/>
        <v>18.874978043693108</v>
      </c>
      <c r="T110" s="304">
        <f t="shared" ca="1" si="30"/>
        <v>185.16353460862939</v>
      </c>
      <c r="U110" s="311">
        <f t="shared" ca="1" si="31"/>
        <v>0</v>
      </c>
      <c r="V110" s="306">
        <f t="shared" ca="1" si="32"/>
        <v>1.2199581805987132</v>
      </c>
      <c r="W110" s="304">
        <f t="shared" ca="1" si="33"/>
        <v>50.420063001084571</v>
      </c>
      <c r="Y110" s="314" t="str">
        <f t="shared" ca="1" si="51"/>
        <v/>
      </c>
      <c r="Z110" s="315" t="str">
        <f t="shared" ca="1" si="52"/>
        <v/>
      </c>
      <c r="AA110" s="316" t="str">
        <f t="shared" ca="1" si="53"/>
        <v/>
      </c>
      <c r="AC110" s="310" t="e">
        <f t="shared" ca="1" si="54"/>
        <v>#N/A</v>
      </c>
      <c r="AD110" s="323" t="e">
        <f t="shared" ca="1" si="55"/>
        <v>#N/A</v>
      </c>
      <c r="AE110" s="324">
        <f t="shared" ca="1" si="34"/>
        <v>41.242581908309866</v>
      </c>
      <c r="AG110" s="306">
        <f t="shared" ca="1" si="56"/>
        <v>87.291915785448765</v>
      </c>
      <c r="AH110" s="304">
        <f t="shared" ca="1" si="57"/>
        <v>96.665602592144339</v>
      </c>
    </row>
    <row r="111" spans="1:34" x14ac:dyDescent="0.2">
      <c r="A111" s="347">
        <f t="shared" ca="1" si="35"/>
        <v>0.01</v>
      </c>
      <c r="B111" s="304">
        <f t="shared" ca="1" si="36"/>
        <v>1.0700000000000007</v>
      </c>
      <c r="D111" s="306">
        <f t="shared" ca="1" si="37"/>
        <v>28.565009076099575</v>
      </c>
      <c r="E111" s="307">
        <f t="shared" ca="1" si="38"/>
        <v>82.629588401187306</v>
      </c>
      <c r="F111" s="304">
        <f t="shared" ca="1" si="39"/>
        <v>87.427733716866285</v>
      </c>
      <c r="G111" s="306">
        <f t="shared" ca="1" si="40"/>
        <v>25.511060301584401</v>
      </c>
      <c r="H111" s="307">
        <f t="shared" ca="1" si="41"/>
        <v>82.458566013086312</v>
      </c>
      <c r="I111" s="304">
        <f t="shared" ca="1" si="42"/>
        <v>86.314710835671505</v>
      </c>
      <c r="J111" s="306">
        <f t="shared" ca="1" si="43"/>
        <v>12.32581339936505</v>
      </c>
      <c r="K111" s="307">
        <f t="shared" ca="1" si="44"/>
        <v>42.06303608902067</v>
      </c>
      <c r="L111" s="304">
        <f t="shared" ca="1" si="29"/>
        <v>43.831777068494752</v>
      </c>
      <c r="M111" s="306">
        <f t="shared" ca="1" si="45"/>
        <v>1.2707560751023452</v>
      </c>
      <c r="N111" s="304">
        <f t="shared" ca="1" si="46"/>
        <v>72.808959893973849</v>
      </c>
      <c r="P111" s="310">
        <f t="shared" ca="1" si="47"/>
        <v>8</v>
      </c>
      <c r="Q111" s="304">
        <f t="shared" ca="1" si="48"/>
        <v>1875.5292315521631</v>
      </c>
      <c r="R111" s="306">
        <f t="shared" ca="1" si="49"/>
        <v>1.127894772560684</v>
      </c>
      <c r="S111" s="307">
        <f t="shared" ca="1" si="50"/>
        <v>18.863699095967501</v>
      </c>
      <c r="T111" s="304">
        <f t="shared" ca="1" si="30"/>
        <v>185.05288813144119</v>
      </c>
      <c r="U111" s="311">
        <f t="shared" ca="1" si="31"/>
        <v>0</v>
      </c>
      <c r="V111" s="306">
        <f t="shared" ca="1" si="32"/>
        <v>1.2198580922915703</v>
      </c>
      <c r="W111" s="304">
        <f t="shared" ca="1" si="33"/>
        <v>51.452404657062061</v>
      </c>
      <c r="Y111" s="314" t="str">
        <f t="shared" ca="1" si="51"/>
        <v/>
      </c>
      <c r="Z111" s="315" t="str">
        <f t="shared" ca="1" si="52"/>
        <v/>
      </c>
      <c r="AA111" s="316" t="str">
        <f t="shared" ca="1" si="53"/>
        <v/>
      </c>
      <c r="AC111" s="310" t="e">
        <f t="shared" ca="1" si="54"/>
        <v>#N/A</v>
      </c>
      <c r="AD111" s="323" t="e">
        <f t="shared" ca="1" si="55"/>
        <v>#N/A</v>
      </c>
      <c r="AE111" s="324">
        <f t="shared" ca="1" si="34"/>
        <v>42.06303608902067</v>
      </c>
      <c r="AG111" s="306">
        <f t="shared" ca="1" si="56"/>
        <v>87.379746809594536</v>
      </c>
      <c r="AH111" s="304">
        <f t="shared" ca="1" si="57"/>
        <v>96.75245344330331</v>
      </c>
    </row>
    <row r="112" spans="1:34" x14ac:dyDescent="0.2">
      <c r="A112" s="347">
        <f t="shared" ca="1" si="35"/>
        <v>0.01</v>
      </c>
      <c r="B112" s="304">
        <f t="shared" ca="1" si="36"/>
        <v>1.0800000000000007</v>
      </c>
      <c r="D112" s="306">
        <f t="shared" ca="1" si="37"/>
        <v>28.621561936153967</v>
      </c>
      <c r="E112" s="307">
        <f t="shared" ca="1" si="38"/>
        <v>82.702538734558743</v>
      </c>
      <c r="F112" s="304">
        <f t="shared" ca="1" si="39"/>
        <v>87.515162805117882</v>
      </c>
      <c r="G112" s="306">
        <f t="shared" ca="1" si="40"/>
        <v>25.797275920945939</v>
      </c>
      <c r="H112" s="307">
        <f t="shared" ca="1" si="41"/>
        <v>83.285591400431898</v>
      </c>
      <c r="I112" s="304">
        <f t="shared" ca="1" si="42"/>
        <v>87.189386853338476</v>
      </c>
      <c r="J112" s="306">
        <f t="shared" ca="1" si="43"/>
        <v>12.582355080477701</v>
      </c>
      <c r="K112" s="307">
        <f t="shared" ca="1" si="44"/>
        <v>42.891756876088259</v>
      </c>
      <c r="L112" s="304">
        <f t="shared" ca="1" si="29"/>
        <v>44.699199850653791</v>
      </c>
      <c r="M112" s="306">
        <f t="shared" ca="1" si="45"/>
        <v>1.2704235311292835</v>
      </c>
      <c r="N112" s="304">
        <f t="shared" ca="1" si="46"/>
        <v>72.789906527814907</v>
      </c>
      <c r="P112" s="310">
        <f t="shared" ca="1" si="47"/>
        <v>8</v>
      </c>
      <c r="Q112" s="304">
        <f t="shared" ca="1" si="48"/>
        <v>1877.0982519083973</v>
      </c>
      <c r="R112" s="306">
        <f t="shared" ca="1" si="49"/>
        <v>1.1288383408229463</v>
      </c>
      <c r="S112" s="307">
        <f t="shared" ca="1" si="50"/>
        <v>18.852410712559273</v>
      </c>
      <c r="T112" s="304">
        <f t="shared" ca="1" si="30"/>
        <v>184.94214909020647</v>
      </c>
      <c r="U112" s="311">
        <f t="shared" ca="1" si="31"/>
        <v>0</v>
      </c>
      <c r="V112" s="306">
        <f t="shared" ca="1" si="32"/>
        <v>1.2197570038484908</v>
      </c>
      <c r="W112" s="304">
        <f t="shared" ca="1" si="33"/>
        <v>52.496130514037517</v>
      </c>
      <c r="Y112" s="314" t="str">
        <f t="shared" ca="1" si="51"/>
        <v/>
      </c>
      <c r="Z112" s="315" t="str">
        <f t="shared" ca="1" si="52"/>
        <v/>
      </c>
      <c r="AA112" s="316" t="str">
        <f t="shared" ca="1" si="53"/>
        <v/>
      </c>
      <c r="AC112" s="310" t="e">
        <f t="shared" ca="1" si="54"/>
        <v>#N/A</v>
      </c>
      <c r="AD112" s="323" t="e">
        <f t="shared" ca="1" si="55"/>
        <v>#N/A</v>
      </c>
      <c r="AE112" s="324">
        <f t="shared" ca="1" si="34"/>
        <v>42.891756876088259</v>
      </c>
      <c r="AG112" s="306">
        <f t="shared" ca="1" si="56"/>
        <v>87.46711967263073</v>
      </c>
      <c r="AH112" s="304">
        <f t="shared" ca="1" si="57"/>
        <v>96.83885393156163</v>
      </c>
    </row>
    <row r="113" spans="1:34" x14ac:dyDescent="0.2">
      <c r="A113" s="347">
        <f t="shared" ca="1" si="35"/>
        <v>0.01</v>
      </c>
      <c r="B113" s="304">
        <f t="shared" ca="1" si="36"/>
        <v>1.0900000000000007</v>
      </c>
      <c r="D113" s="306">
        <f t="shared" ca="1" si="37"/>
        <v>28.677754919349205</v>
      </c>
      <c r="E113" s="307">
        <f t="shared" ca="1" si="38"/>
        <v>82.775115801136252</v>
      </c>
      <c r="F113" s="304">
        <f t="shared" ca="1" si="39"/>
        <v>87.602131384491869</v>
      </c>
      <c r="G113" s="306">
        <f t="shared" ca="1" si="40"/>
        <v>26.08405347013943</v>
      </c>
      <c r="H113" s="307">
        <f t="shared" ca="1" si="41"/>
        <v>84.113342558443264</v>
      </c>
      <c r="I113" s="304">
        <f t="shared" ca="1" si="42"/>
        <v>88.064931963790883</v>
      </c>
      <c r="J113" s="306">
        <f t="shared" ca="1" si="43"/>
        <v>12.841761727433127</v>
      </c>
      <c r="K113" s="307">
        <f t="shared" ca="1" si="44"/>
        <v>43.728751545882638</v>
      </c>
      <c r="L113" s="304">
        <f t="shared" ca="1" si="29"/>
        <v>45.575372253287185</v>
      </c>
      <c r="M113" s="306">
        <f t="shared" ca="1" si="45"/>
        <v>1.270093939451977</v>
      </c>
      <c r="N113" s="304">
        <f t="shared" ca="1" si="46"/>
        <v>72.771022315742599</v>
      </c>
      <c r="P113" s="310">
        <f t="shared" ca="1" si="47"/>
        <v>8</v>
      </c>
      <c r="Q113" s="304">
        <f t="shared" ca="1" si="48"/>
        <v>1878.6672722646313</v>
      </c>
      <c r="R113" s="306">
        <f t="shared" ca="1" si="49"/>
        <v>1.1297819090852086</v>
      </c>
      <c r="S113" s="307">
        <f t="shared" ca="1" si="50"/>
        <v>18.84111289346842</v>
      </c>
      <c r="T113" s="304">
        <f t="shared" ca="1" si="30"/>
        <v>184.83131748492522</v>
      </c>
      <c r="U113" s="311">
        <f t="shared" ca="1" si="31"/>
        <v>0</v>
      </c>
      <c r="V113" s="306">
        <f t="shared" ca="1" si="32"/>
        <v>1.219654914631134</v>
      </c>
      <c r="W113" s="304">
        <f t="shared" ca="1" si="33"/>
        <v>53.551261151888475</v>
      </c>
      <c r="Y113" s="314" t="str">
        <f t="shared" ca="1" si="51"/>
        <v/>
      </c>
      <c r="Z113" s="315" t="str">
        <f t="shared" ca="1" si="52"/>
        <v/>
      </c>
      <c r="AA113" s="316" t="str">
        <f t="shared" ca="1" si="53"/>
        <v/>
      </c>
      <c r="AC113" s="310" t="e">
        <f t="shared" ca="1" si="54"/>
        <v>#N/A</v>
      </c>
      <c r="AD113" s="323" t="e">
        <f t="shared" ca="1" si="55"/>
        <v>#N/A</v>
      </c>
      <c r="AE113" s="324">
        <f t="shared" ca="1" si="34"/>
        <v>43.728751545882638</v>
      </c>
      <c r="AG113" s="306">
        <f t="shared" ca="1" si="56"/>
        <v>87.554032717598901</v>
      </c>
      <c r="AH113" s="304">
        <f t="shared" ca="1" si="57"/>
        <v>96.924802270234565</v>
      </c>
    </row>
    <row r="114" spans="1:34" x14ac:dyDescent="0.2">
      <c r="A114" s="347">
        <f t="shared" ca="1" si="35"/>
        <v>0.01</v>
      </c>
      <c r="B114" s="304">
        <f t="shared" ca="1" si="36"/>
        <v>1.1000000000000008</v>
      </c>
      <c r="D114" s="306">
        <f t="shared" ca="1" si="37"/>
        <v>28.733591332819856</v>
      </c>
      <c r="E114" s="307">
        <f t="shared" ca="1" si="38"/>
        <v>82.847316987890451</v>
      </c>
      <c r="F114" s="304">
        <f t="shared" ca="1" si="39"/>
        <v>87.688637821404782</v>
      </c>
      <c r="G114" s="306">
        <f t="shared" ca="1" si="40"/>
        <v>26.37138938346763</v>
      </c>
      <c r="H114" s="307">
        <f t="shared" ca="1" si="41"/>
        <v>84.941815728322169</v>
      </c>
      <c r="I114" s="304">
        <f t="shared" ca="1" si="42"/>
        <v>88.941341552951116</v>
      </c>
      <c r="J114" s="306">
        <f t="shared" ca="1" si="43"/>
        <v>13.104038941701162</v>
      </c>
      <c r="K114" s="307">
        <f t="shared" ca="1" si="44"/>
        <v>44.574027337316465</v>
      </c>
      <c r="L114" s="304">
        <f t="shared" ca="1" si="29"/>
        <v>46.460302944055975</v>
      </c>
      <c r="M114" s="306">
        <f t="shared" ca="1" si="45"/>
        <v>1.2697672482662887</v>
      </c>
      <c r="N114" s="304">
        <f t="shared" ca="1" si="46"/>
        <v>72.752304289598541</v>
      </c>
      <c r="P114" s="310">
        <f t="shared" ca="1" si="47"/>
        <v>8</v>
      </c>
      <c r="Q114" s="304">
        <f t="shared" ca="1" si="48"/>
        <v>1880.2362926208655</v>
      </c>
      <c r="R114" s="306">
        <f t="shared" ca="1" si="49"/>
        <v>1.1307254773474709</v>
      </c>
      <c r="S114" s="307">
        <f t="shared" ca="1" si="50"/>
        <v>18.829805638694946</v>
      </c>
      <c r="T114" s="304">
        <f t="shared" ca="1" si="30"/>
        <v>184.72039331559742</v>
      </c>
      <c r="U114" s="311">
        <f t="shared" ca="1" si="31"/>
        <v>0</v>
      </c>
      <c r="V114" s="306">
        <f t="shared" ca="1" si="32"/>
        <v>1.2195518240084582</v>
      </c>
      <c r="W114" s="304">
        <f t="shared" ca="1" si="33"/>
        <v>54.617816871467788</v>
      </c>
      <c r="Y114" s="314" t="str">
        <f t="shared" ca="1" si="51"/>
        <v/>
      </c>
      <c r="Z114" s="315" t="str">
        <f t="shared" ca="1" si="52"/>
        <v/>
      </c>
      <c r="AA114" s="316" t="str">
        <f t="shared" ca="1" si="53"/>
        <v/>
      </c>
      <c r="AC114" s="310" t="e">
        <f t="shared" ca="1" si="54"/>
        <v>#N/A</v>
      </c>
      <c r="AD114" s="323" t="e">
        <f t="shared" ca="1" si="55"/>
        <v>#N/A</v>
      </c>
      <c r="AE114" s="324">
        <f t="shared" ca="1" si="34"/>
        <v>44.574027337316465</v>
      </c>
      <c r="AG114" s="306">
        <f t="shared" ca="1" si="56"/>
        <v>87.640484293318465</v>
      </c>
      <c r="AH114" s="304">
        <f t="shared" ca="1" si="57"/>
        <v>97.010296681722977</v>
      </c>
    </row>
    <row r="115" spans="1:34" x14ac:dyDescent="0.2">
      <c r="A115" s="347">
        <f t="shared" ca="1" si="35"/>
        <v>0.01</v>
      </c>
      <c r="B115" s="304">
        <f t="shared" ca="1" si="36"/>
        <v>1.1100000000000008</v>
      </c>
      <c r="D115" s="306">
        <f t="shared" ca="1" si="37"/>
        <v>28.789074376223311</v>
      </c>
      <c r="E115" s="307">
        <f t="shared" ca="1" si="38"/>
        <v>82.919139716360718</v>
      </c>
      <c r="F115" s="304">
        <f t="shared" ca="1" si="39"/>
        <v>87.774680487832399</v>
      </c>
      <c r="G115" s="306">
        <f t="shared" ca="1" si="40"/>
        <v>26.659280127229863</v>
      </c>
      <c r="H115" s="307">
        <f t="shared" ca="1" si="41"/>
        <v>85.771007125485781</v>
      </c>
      <c r="I115" s="304">
        <f t="shared" ca="1" si="42"/>
        <v>89.818610990274422</v>
      </c>
      <c r="J115" s="306">
        <f t="shared" ca="1" si="43"/>
        <v>13.36919228925465</v>
      </c>
      <c r="K115" s="307">
        <f t="shared" ca="1" si="44"/>
        <v>45.427591451585506</v>
      </c>
      <c r="L115" s="304">
        <f t="shared" ca="1" si="29"/>
        <v>47.354000544402062</v>
      </c>
      <c r="M115" s="306">
        <f t="shared" ca="1" si="45"/>
        <v>1.2694434071291392</v>
      </c>
      <c r="N115" s="304">
        <f t="shared" ca="1" si="46"/>
        <v>72.733749559207155</v>
      </c>
      <c r="P115" s="310">
        <f t="shared" ca="1" si="47"/>
        <v>8</v>
      </c>
      <c r="Q115" s="304">
        <f t="shared" ca="1" si="48"/>
        <v>1881.8053129770994</v>
      </c>
      <c r="R115" s="306">
        <f t="shared" ca="1" si="49"/>
        <v>1.1316690456097331</v>
      </c>
      <c r="S115" s="307">
        <f t="shared" ca="1" si="50"/>
        <v>18.818488948238848</v>
      </c>
      <c r="T115" s="304">
        <f t="shared" ca="1" si="30"/>
        <v>184.60937658222309</v>
      </c>
      <c r="U115" s="311">
        <f t="shared" ca="1" si="31"/>
        <v>0</v>
      </c>
      <c r="V115" s="306">
        <f t="shared" ca="1" si="32"/>
        <v>1.2194477313567587</v>
      </c>
      <c r="W115" s="304">
        <f t="shared" ca="1" si="33"/>
        <v>55.695817692976824</v>
      </c>
      <c r="Y115" s="314" t="str">
        <f t="shared" ca="1" si="51"/>
        <v/>
      </c>
      <c r="Z115" s="315" t="str">
        <f t="shared" ca="1" si="52"/>
        <v/>
      </c>
      <c r="AA115" s="316" t="str">
        <f t="shared" ca="1" si="53"/>
        <v/>
      </c>
      <c r="AC115" s="310" t="e">
        <f t="shared" ca="1" si="54"/>
        <v>#N/A</v>
      </c>
      <c r="AD115" s="323" t="e">
        <f t="shared" ca="1" si="55"/>
        <v>#N/A</v>
      </c>
      <c r="AE115" s="324">
        <f t="shared" ca="1" si="34"/>
        <v>45.427591451585506</v>
      </c>
      <c r="AG115" s="306">
        <f t="shared" ca="1" si="56"/>
        <v>87.726472754606405</v>
      </c>
      <c r="AH115" s="304">
        <f t="shared" ca="1" si="57"/>
        <v>97.095335397618697</v>
      </c>
    </row>
    <row r="116" spans="1:34" x14ac:dyDescent="0.2">
      <c r="A116" s="347">
        <f t="shared" ca="1" si="35"/>
        <v>0.01</v>
      </c>
      <c r="B116" s="304">
        <f t="shared" ca="1" si="36"/>
        <v>1.1200000000000008</v>
      </c>
      <c r="D116" s="306">
        <f t="shared" ca="1" si="37"/>
        <v>28.844207145761693</v>
      </c>
      <c r="E116" s="307">
        <f t="shared" ca="1" si="38"/>
        <v>82.990581441850949</v>
      </c>
      <c r="F116" s="304">
        <f t="shared" ca="1" si="39"/>
        <v>87.860257761539174</v>
      </c>
      <c r="G116" s="306">
        <f t="shared" ca="1" si="40"/>
        <v>26.94772219868748</v>
      </c>
      <c r="H116" s="307">
        <f t="shared" ca="1" si="41"/>
        <v>86.600912939904291</v>
      </c>
      <c r="I116" s="304">
        <f t="shared" ca="1" si="42"/>
        <v>90.696735628811453</v>
      </c>
      <c r="J116" s="306">
        <f t="shared" ca="1" si="43"/>
        <v>13.637227300884238</v>
      </c>
      <c r="K116" s="307">
        <f t="shared" ca="1" si="44"/>
        <v>46.289451051912458</v>
      </c>
      <c r="L116" s="304">
        <f t="shared" ca="1" si="29"/>
        <v>48.256473629383464</v>
      </c>
      <c r="M116" s="306">
        <f t="shared" ca="1" si="45"/>
        <v>1.2691223669107041</v>
      </c>
      <c r="N116" s="304">
        <f t="shared" ca="1" si="46"/>
        <v>72.715355309636863</v>
      </c>
      <c r="P116" s="310">
        <f t="shared" ca="1" si="47"/>
        <v>8</v>
      </c>
      <c r="Q116" s="304">
        <f t="shared" ca="1" si="48"/>
        <v>1883.3743333333337</v>
      </c>
      <c r="R116" s="306">
        <f t="shared" ca="1" si="49"/>
        <v>1.1326126138719954</v>
      </c>
      <c r="S116" s="307">
        <f t="shared" ca="1" si="50"/>
        <v>18.807162822100128</v>
      </c>
      <c r="T116" s="304">
        <f t="shared" ca="1" si="30"/>
        <v>184.49826728480227</v>
      </c>
      <c r="U116" s="311">
        <f t="shared" ca="1" si="31"/>
        <v>0</v>
      </c>
      <c r="V116" s="306">
        <f t="shared" ca="1" si="32"/>
        <v>1.2193426360597008</v>
      </c>
      <c r="W116" s="304">
        <f t="shared" ca="1" si="33"/>
        <v>56.785283354349865</v>
      </c>
      <c r="Y116" s="314" t="str">
        <f t="shared" ca="1" si="51"/>
        <v/>
      </c>
      <c r="Z116" s="315" t="str">
        <f t="shared" ca="1" si="52"/>
        <v/>
      </c>
      <c r="AA116" s="316" t="str">
        <f t="shared" ca="1" si="53"/>
        <v/>
      </c>
      <c r="AC116" s="310" t="e">
        <f t="shared" ca="1" si="54"/>
        <v>#N/A</v>
      </c>
      <c r="AD116" s="323" t="e">
        <f t="shared" ca="1" si="55"/>
        <v>#N/A</v>
      </c>
      <c r="AE116" s="324">
        <f t="shared" ca="1" si="34"/>
        <v>46.289451051912458</v>
      </c>
      <c r="AG116" s="306">
        <f t="shared" ca="1" si="56"/>
        <v>87.811996462491891</v>
      </c>
      <c r="AH116" s="304">
        <f t="shared" ca="1" si="57"/>
        <v>97.179916658809816</v>
      </c>
    </row>
    <row r="117" spans="1:34" x14ac:dyDescent="0.2">
      <c r="A117" s="347">
        <f t="shared" ca="1" si="35"/>
        <v>0.01</v>
      </c>
      <c r="B117" s="304">
        <f t="shared" ca="1" si="36"/>
        <v>1.1300000000000008</v>
      </c>
      <c r="D117" s="306">
        <f t="shared" ca="1" si="37"/>
        <v>28.898992638025746</v>
      </c>
      <c r="E117" s="307">
        <f t="shared" ca="1" si="38"/>
        <v>83.061639652664141</v>
      </c>
      <c r="F117" s="304">
        <f t="shared" ca="1" si="39"/>
        <v>87.945368026301963</v>
      </c>
      <c r="G117" s="306">
        <f t="shared" ca="1" si="40"/>
        <v>27.236712125067736</v>
      </c>
      <c r="H117" s="307">
        <f t="shared" ca="1" si="41"/>
        <v>87.431529336430927</v>
      </c>
      <c r="I117" s="304">
        <f t="shared" ca="1" si="42"/>
        <v>91.575710805273005</v>
      </c>
      <c r="J117" s="306">
        <f t="shared" ca="1" si="43"/>
        <v>13.908149472503014</v>
      </c>
      <c r="K117" s="307">
        <f t="shared" ca="1" si="44"/>
        <v>47.159613263294133</v>
      </c>
      <c r="L117" s="304">
        <f t="shared" ca="1" si="29"/>
        <v>49.167730727510232</v>
      </c>
      <c r="M117" s="306">
        <f t="shared" ca="1" si="45"/>
        <v>1.2688040797487077</v>
      </c>
      <c r="N117" s="304">
        <f t="shared" ca="1" si="46"/>
        <v>72.697118798581272</v>
      </c>
      <c r="P117" s="310">
        <f t="shared" ca="1" si="47"/>
        <v>8</v>
      </c>
      <c r="Q117" s="304">
        <f t="shared" ca="1" si="48"/>
        <v>1884.9433536895676</v>
      </c>
      <c r="R117" s="306">
        <f t="shared" ca="1" si="49"/>
        <v>1.1335561821342577</v>
      </c>
      <c r="S117" s="307">
        <f t="shared" ca="1" si="50"/>
        <v>18.795827260278784</v>
      </c>
      <c r="T117" s="304">
        <f t="shared" ca="1" si="30"/>
        <v>184.38706542333489</v>
      </c>
      <c r="U117" s="311">
        <f t="shared" ca="1" si="31"/>
        <v>0</v>
      </c>
      <c r="V117" s="306">
        <f t="shared" ca="1" si="32"/>
        <v>1.2192365375083545</v>
      </c>
      <c r="W117" s="304">
        <f t="shared" ca="1" si="33"/>
        <v>57.886233309650059</v>
      </c>
      <c r="Y117" s="314" t="str">
        <f t="shared" ca="1" si="51"/>
        <v/>
      </c>
      <c r="Z117" s="315" t="str">
        <f t="shared" ca="1" si="52"/>
        <v/>
      </c>
      <c r="AA117" s="316" t="str">
        <f t="shared" ca="1" si="53"/>
        <v/>
      </c>
      <c r="AC117" s="310" t="e">
        <f t="shared" ca="1" si="54"/>
        <v>#N/A</v>
      </c>
      <c r="AD117" s="323" t="e">
        <f t="shared" ca="1" si="55"/>
        <v>#N/A</v>
      </c>
      <c r="AE117" s="324">
        <f t="shared" ca="1" si="34"/>
        <v>47.159613263294133</v>
      </c>
      <c r="AG117" s="306">
        <f t="shared" ca="1" si="56"/>
        <v>87.89705378442595</v>
      </c>
      <c r="AH117" s="304">
        <f t="shared" ca="1" si="57"/>
        <v>97.264038715585755</v>
      </c>
    </row>
    <row r="118" spans="1:34" x14ac:dyDescent="0.2">
      <c r="A118" s="347">
        <f t="shared" ca="1" si="35"/>
        <v>0.01</v>
      </c>
      <c r="B118" s="304">
        <f t="shared" ca="1" si="36"/>
        <v>1.1400000000000008</v>
      </c>
      <c r="D118" s="306">
        <f t="shared" ca="1" si="37"/>
        <v>28.953433753670094</v>
      </c>
      <c r="E118" s="307">
        <f t="shared" ca="1" si="38"/>
        <v>83.132311869374348</v>
      </c>
      <c r="F118" s="304">
        <f t="shared" ca="1" si="39"/>
        <v>88.030009672128756</v>
      </c>
      <c r="G118" s="306">
        <f t="shared" ca="1" si="40"/>
        <v>27.526246462604437</v>
      </c>
      <c r="H118" s="307">
        <f t="shared" ca="1" si="41"/>
        <v>88.262852455124673</v>
      </c>
      <c r="I118" s="304">
        <f t="shared" ca="1" si="42"/>
        <v>92.455531840096782</v>
      </c>
      <c r="J118" s="306">
        <f t="shared" ca="1" si="43"/>
        <v>14.181964265441374</v>
      </c>
      <c r="K118" s="307">
        <f t="shared" ca="1" si="44"/>
        <v>48.038085172251911</v>
      </c>
      <c r="L118" s="304">
        <f t="shared" ca="1" si="29"/>
        <v>50.087780320581039</v>
      </c>
      <c r="M118" s="306">
        <f t="shared" ca="1" si="45"/>
        <v>1.2684884990046996</v>
      </c>
      <c r="N118" s="304">
        <f t="shared" ca="1" si="46"/>
        <v>72.679037353854014</v>
      </c>
      <c r="P118" s="310">
        <f t="shared" ca="1" si="47"/>
        <v>8</v>
      </c>
      <c r="Q118" s="304">
        <f t="shared" ca="1" si="48"/>
        <v>1886.5123740458018</v>
      </c>
      <c r="R118" s="306">
        <f t="shared" ca="1" si="49"/>
        <v>1.13449975039652</v>
      </c>
      <c r="S118" s="307">
        <f t="shared" ca="1" si="50"/>
        <v>18.784482262774819</v>
      </c>
      <c r="T118" s="304">
        <f t="shared" ca="1" si="30"/>
        <v>184.27577099782098</v>
      </c>
      <c r="U118" s="311">
        <f t="shared" ca="1" si="31"/>
        <v>0</v>
      </c>
      <c r="V118" s="306">
        <f t="shared" ca="1" si="32"/>
        <v>1.2191294351012303</v>
      </c>
      <c r="W118" s="304">
        <f t="shared" ca="1" si="33"/>
        <v>58.998686727477448</v>
      </c>
      <c r="Y118" s="314" t="str">
        <f t="shared" ca="1" si="51"/>
        <v/>
      </c>
      <c r="Z118" s="315" t="str">
        <f t="shared" ca="1" si="52"/>
        <v/>
      </c>
      <c r="AA118" s="316" t="str">
        <f t="shared" ca="1" si="53"/>
        <v/>
      </c>
      <c r="AC118" s="310" t="e">
        <f t="shared" ca="1" si="54"/>
        <v>#N/A</v>
      </c>
      <c r="AD118" s="323" t="e">
        <f t="shared" ca="1" si="55"/>
        <v>#N/A</v>
      </c>
      <c r="AE118" s="324">
        <f t="shared" ca="1" si="34"/>
        <v>48.038085172251911</v>
      </c>
      <c r="AG118" s="306">
        <f t="shared" ca="1" si="56"/>
        <v>87.981643094486728</v>
      </c>
      <c r="AH118" s="304">
        <f t="shared" ca="1" si="57"/>
        <v>97.347699827742247</v>
      </c>
    </row>
    <row r="119" spans="1:34" x14ac:dyDescent="0.2">
      <c r="A119" s="347">
        <f t="shared" ca="1" si="35"/>
        <v>0.01</v>
      </c>
      <c r="B119" s="304">
        <f t="shared" ca="1" si="36"/>
        <v>1.1500000000000008</v>
      </c>
      <c r="D119" s="306">
        <f t="shared" ca="1" si="37"/>
        <v>29.007533300928785</v>
      </c>
      <c r="E119" s="307">
        <f t="shared" ca="1" si="38"/>
        <v>83.202595644133709</v>
      </c>
      <c r="F119" s="304">
        <f t="shared" ca="1" si="39"/>
        <v>88.114181095472418</v>
      </c>
      <c r="G119" s="306">
        <f t="shared" ca="1" si="40"/>
        <v>27.816321795613725</v>
      </c>
      <c r="H119" s="307">
        <f t="shared" ca="1" si="41"/>
        <v>89.094878411566015</v>
      </c>
      <c r="I119" s="304">
        <f t="shared" ca="1" si="42"/>
        <v>93.336194037516165</v>
      </c>
      <c r="J119" s="306">
        <f t="shared" ca="1" si="43"/>
        <v>14.458677106732464</v>
      </c>
      <c r="K119" s="307">
        <f t="shared" ca="1" si="44"/>
        <v>48.924873826585362</v>
      </c>
      <c r="L119" s="304">
        <f t="shared" ca="1" si="29"/>
        <v>51.016630843520495</v>
      </c>
      <c r="M119" s="306">
        <f t="shared" ca="1" si="45"/>
        <v>1.268175579222214</v>
      </c>
      <c r="N119" s="304">
        <f t="shared" ca="1" si="46"/>
        <v>72.661108370991442</v>
      </c>
      <c r="P119" s="310">
        <f t="shared" ca="1" si="47"/>
        <v>8</v>
      </c>
      <c r="Q119" s="304">
        <f t="shared" ca="1" si="48"/>
        <v>1888.0813944020358</v>
      </c>
      <c r="R119" s="306">
        <f t="shared" ca="1" si="49"/>
        <v>1.135443318658782</v>
      </c>
      <c r="S119" s="307">
        <f t="shared" ca="1" si="50"/>
        <v>18.77312782958823</v>
      </c>
      <c r="T119" s="304">
        <f t="shared" ca="1" si="30"/>
        <v>184.16438400826055</v>
      </c>
      <c r="U119" s="311">
        <f t="shared" ca="1" si="31"/>
        <v>0</v>
      </c>
      <c r="V119" s="306">
        <f t="shared" ca="1" si="32"/>
        <v>1.2190213282443083</v>
      </c>
      <c r="W119" s="304">
        <f t="shared" ca="1" si="33"/>
        <v>60.12266248938856</v>
      </c>
      <c r="Y119" s="314" t="str">
        <f t="shared" ca="1" si="51"/>
        <v/>
      </c>
      <c r="Z119" s="315" t="str">
        <f t="shared" ca="1" si="52"/>
        <v/>
      </c>
      <c r="AA119" s="316" t="str">
        <f t="shared" ca="1" si="53"/>
        <v/>
      </c>
      <c r="AC119" s="310" t="e">
        <f t="shared" ca="1" si="54"/>
        <v>#N/A</v>
      </c>
      <c r="AD119" s="323" t="e">
        <f t="shared" ca="1" si="55"/>
        <v>#N/A</v>
      </c>
      <c r="AE119" s="324">
        <f t="shared" ca="1" si="34"/>
        <v>48.924873826585362</v>
      </c>
      <c r="AG119" s="306">
        <f t="shared" ca="1" si="56"/>
        <v>88.06576277358009</v>
      </c>
      <c r="AH119" s="304">
        <f t="shared" ca="1" si="57"/>
        <v>97.430898264686107</v>
      </c>
    </row>
    <row r="120" spans="1:34" x14ac:dyDescent="0.2">
      <c r="A120" s="347">
        <f t="shared" ca="1" si="35"/>
        <v>0.01</v>
      </c>
      <c r="B120" s="304">
        <f t="shared" ca="1" si="36"/>
        <v>1.1600000000000008</v>
      </c>
      <c r="D120" s="306">
        <f t="shared" ca="1" si="37"/>
        <v>29.061293998979437</v>
      </c>
      <c r="E120" s="307">
        <f t="shared" ca="1" si="38"/>
        <v>83.272488560012647</v>
      </c>
      <c r="F120" s="304">
        <f t="shared" ca="1" si="39"/>
        <v>88.197880699439452</v>
      </c>
      <c r="G120" s="306">
        <f t="shared" ca="1" si="40"/>
        <v>28.10693473560352</v>
      </c>
      <c r="H120" s="307">
        <f t="shared" ca="1" si="41"/>
        <v>89.927603297166144</v>
      </c>
      <c r="I120" s="304">
        <f t="shared" ca="1" si="42"/>
        <v>94.21769268563078</v>
      </c>
      <c r="J120" s="306">
        <f t="shared" ca="1" si="43"/>
        <v>14.73829338938855</v>
      </c>
      <c r="K120" s="307">
        <f t="shared" ca="1" si="44"/>
        <v>49.819986235129022</v>
      </c>
      <c r="L120" s="304">
        <f t="shared" ca="1" si="29"/>
        <v>51.954290684217213</v>
      </c>
      <c r="M120" s="306">
        <f t="shared" ca="1" si="45"/>
        <v>1.2678652760867137</v>
      </c>
      <c r="N120" s="304">
        <f t="shared" ca="1" si="46"/>
        <v>72.643329310957597</v>
      </c>
      <c r="P120" s="310">
        <f t="shared" ca="1" si="47"/>
        <v>8</v>
      </c>
      <c r="Q120" s="304">
        <f t="shared" ca="1" si="48"/>
        <v>1889.65041475827</v>
      </c>
      <c r="R120" s="306">
        <f t="shared" ca="1" si="49"/>
        <v>1.1363868869210445</v>
      </c>
      <c r="S120" s="307">
        <f t="shared" ca="1" si="50"/>
        <v>18.761763960719019</v>
      </c>
      <c r="T120" s="304">
        <f t="shared" ca="1" si="30"/>
        <v>184.0529044546536</v>
      </c>
      <c r="U120" s="311">
        <f t="shared" ca="1" si="31"/>
        <v>0</v>
      </c>
      <c r="V120" s="306">
        <f t="shared" ca="1" si="32"/>
        <v>1.2189122163510764</v>
      </c>
      <c r="W120" s="304">
        <f t="shared" ca="1" si="33"/>
        <v>61.258179188328405</v>
      </c>
      <c r="Y120" s="314" t="str">
        <f t="shared" ca="1" si="51"/>
        <v/>
      </c>
      <c r="Z120" s="315" t="str">
        <f t="shared" ca="1" si="52"/>
        <v/>
      </c>
      <c r="AA120" s="316" t="str">
        <f t="shared" ca="1" si="53"/>
        <v/>
      </c>
      <c r="AC120" s="310" t="e">
        <f t="shared" ca="1" si="54"/>
        <v>#N/A</v>
      </c>
      <c r="AD120" s="323" t="e">
        <f t="shared" ca="1" si="55"/>
        <v>#N/A</v>
      </c>
      <c r="AE120" s="324">
        <f t="shared" ca="1" si="34"/>
        <v>49.819986235129022</v>
      </c>
      <c r="AG120" s="306">
        <f t="shared" ca="1" si="56"/>
        <v>88.149411209636128</v>
      </c>
      <c r="AH120" s="304">
        <f t="shared" ca="1" si="57"/>
        <v>97.513632305539744</v>
      </c>
    </row>
    <row r="121" spans="1:34" x14ac:dyDescent="0.2">
      <c r="A121" s="347">
        <f t="shared" ca="1" si="35"/>
        <v>0.01</v>
      </c>
      <c r="B121" s="304">
        <f t="shared" ca="1" si="36"/>
        <v>1.1700000000000008</v>
      </c>
      <c r="D121" s="306">
        <f t="shared" ca="1" si="37"/>
        <v>29.114718481163816</v>
      </c>
      <c r="E121" s="307">
        <f t="shared" ca="1" si="38"/>
        <v>83.341988230371953</v>
      </c>
      <c r="F121" s="304">
        <f t="shared" ca="1" si="39"/>
        <v>88.281106893994476</v>
      </c>
      <c r="G121" s="306">
        <f t="shared" ca="1" si="40"/>
        <v>28.398081920415159</v>
      </c>
      <c r="H121" s="307">
        <f t="shared" ca="1" si="41"/>
        <v>90.761023179469859</v>
      </c>
      <c r="I121" s="304">
        <f t="shared" ca="1" si="42"/>
        <v>95.100023056479188</v>
      </c>
      <c r="J121" s="306">
        <f t="shared" ca="1" si="43"/>
        <v>15.020818472668644</v>
      </c>
      <c r="K121" s="307">
        <f t="shared" ca="1" si="44"/>
        <v>50.723429367512203</v>
      </c>
      <c r="L121" s="304">
        <f t="shared" ca="1" si="29"/>
        <v>52.900768183362544</v>
      </c>
      <c r="M121" s="306">
        <f t="shared" ca="1" si="45"/>
        <v>1.2675575463872271</v>
      </c>
      <c r="N121" s="304">
        <f t="shared" ca="1" si="46"/>
        <v>72.62569769794618</v>
      </c>
      <c r="P121" s="310">
        <f t="shared" ca="1" si="47"/>
        <v>8</v>
      </c>
      <c r="Q121" s="304">
        <f t="shared" ca="1" si="48"/>
        <v>1891.219435114504</v>
      </c>
      <c r="R121" s="306">
        <f t="shared" ca="1" si="49"/>
        <v>1.1373304551833066</v>
      </c>
      <c r="S121" s="307">
        <f t="shared" ca="1" si="50"/>
        <v>18.750390656167188</v>
      </c>
      <c r="T121" s="304">
        <f t="shared" ca="1" si="30"/>
        <v>183.94133233700012</v>
      </c>
      <c r="U121" s="311">
        <f t="shared" ca="1" si="31"/>
        <v>0</v>
      </c>
      <c r="V121" s="306">
        <f t="shared" ca="1" si="32"/>
        <v>1.218802098842559</v>
      </c>
      <c r="W121" s="304">
        <f t="shared" ca="1" si="33"/>
        <v>62.405255127074966</v>
      </c>
      <c r="Y121" s="314" t="str">
        <f t="shared" ca="1" si="51"/>
        <v/>
      </c>
      <c r="Z121" s="315" t="str">
        <f t="shared" ca="1" si="52"/>
        <v/>
      </c>
      <c r="AA121" s="316" t="str">
        <f t="shared" ca="1" si="53"/>
        <v/>
      </c>
      <c r="AC121" s="310" t="e">
        <f t="shared" ca="1" si="54"/>
        <v>#N/A</v>
      </c>
      <c r="AD121" s="323" t="e">
        <f t="shared" ca="1" si="55"/>
        <v>#N/A</v>
      </c>
      <c r="AE121" s="324">
        <f t="shared" ca="1" si="34"/>
        <v>50.723429367512203</v>
      </c>
      <c r="AG121" s="306">
        <f t="shared" ca="1" si="56"/>
        <v>88.232586797801673</v>
      </c>
      <c r="AH121" s="304">
        <f t="shared" ca="1" si="57"/>
        <v>97.595900239245594</v>
      </c>
    </row>
    <row r="122" spans="1:34" x14ac:dyDescent="0.2">
      <c r="A122" s="347">
        <f t="shared" ca="1" si="35"/>
        <v>0.01</v>
      </c>
      <c r="B122" s="304">
        <f t="shared" ca="1" si="36"/>
        <v>1.1800000000000008</v>
      </c>
      <c r="D122" s="306">
        <f t="shared" ca="1" si="37"/>
        <v>29.167809298072402</v>
      </c>
      <c r="E122" s="307">
        <f t="shared" ca="1" si="38"/>
        <v>83.411092298264805</v>
      </c>
      <c r="F122" s="304">
        <f t="shared" ca="1" si="39"/>
        <v>88.363858096160385</v>
      </c>
      <c r="G122" s="306">
        <f t="shared" ca="1" si="40"/>
        <v>28.689760013395883</v>
      </c>
      <c r="H122" s="307">
        <f t="shared" ca="1" si="41"/>
        <v>91.595134102452505</v>
      </c>
      <c r="I122" s="304">
        <f t="shared" ca="1" si="42"/>
        <v>95.983180406113391</v>
      </c>
      <c r="J122" s="306">
        <f t="shared" ca="1" si="43"/>
        <v>15.3062576823377</v>
      </c>
      <c r="K122" s="307">
        <f t="shared" ca="1" si="44"/>
        <v>51.635210153921818</v>
      </c>
      <c r="L122" s="304">
        <f t="shared" ca="1" si="29"/>
        <v>53.85607163429016</v>
      </c>
      <c r="M122" s="306">
        <f t="shared" ca="1" si="45"/>
        <v>1.2672523479795947</v>
      </c>
      <c r="N122" s="304">
        <f t="shared" ca="1" si="46"/>
        <v>72.608211117274735</v>
      </c>
      <c r="P122" s="310">
        <f t="shared" ca="1" si="47"/>
        <v>8</v>
      </c>
      <c r="Q122" s="304">
        <f t="shared" ca="1" si="48"/>
        <v>1892.7884554707382</v>
      </c>
      <c r="R122" s="306">
        <f t="shared" ca="1" si="49"/>
        <v>1.1382740234455688</v>
      </c>
      <c r="S122" s="307">
        <f t="shared" ca="1" si="50"/>
        <v>18.739007915932731</v>
      </c>
      <c r="T122" s="304">
        <f t="shared" ca="1" si="30"/>
        <v>183.82966765530011</v>
      </c>
      <c r="U122" s="311">
        <f t="shared" ca="1" si="31"/>
        <v>0</v>
      </c>
      <c r="V122" s="306">
        <f t="shared" ca="1" si="32"/>
        <v>1.2186909751473511</v>
      </c>
      <c r="W122" s="304">
        <f t="shared" ca="1" si="33"/>
        <v>63.563908316696143</v>
      </c>
      <c r="Y122" s="314" t="str">
        <f t="shared" ca="1" si="51"/>
        <v/>
      </c>
      <c r="Z122" s="315" t="str">
        <f t="shared" ca="1" si="52"/>
        <v/>
      </c>
      <c r="AA122" s="316" t="str">
        <f t="shared" ca="1" si="53"/>
        <v/>
      </c>
      <c r="AC122" s="310" t="e">
        <f t="shared" ca="1" si="54"/>
        <v>#N/A</v>
      </c>
      <c r="AD122" s="323" t="e">
        <f t="shared" ca="1" si="55"/>
        <v>#N/A</v>
      </c>
      <c r="AE122" s="324">
        <f t="shared" ca="1" si="34"/>
        <v>51.635210153921818</v>
      </c>
      <c r="AG122" s="306">
        <f t="shared" ca="1" si="56"/>
        <v>88.315287940629005</v>
      </c>
      <c r="AH122" s="304">
        <f t="shared" ca="1" si="57"/>
        <v>97.677700364670358</v>
      </c>
    </row>
    <row r="123" spans="1:34" x14ac:dyDescent="0.2">
      <c r="A123" s="347">
        <f t="shared" ca="1" si="35"/>
        <v>0.01</v>
      </c>
      <c r="B123" s="304">
        <f t="shared" ca="1" si="36"/>
        <v>1.1900000000000008</v>
      </c>
      <c r="D123" s="306">
        <f t="shared" ca="1" si="37"/>
        <v>29.220568920499428</v>
      </c>
      <c r="E123" s="307">
        <f t="shared" ca="1" si="38"/>
        <v>83.479798435867067</v>
      </c>
      <c r="F123" s="304">
        <f t="shared" ca="1" si="39"/>
        <v>88.446132730214103</v>
      </c>
      <c r="G123" s="306">
        <f t="shared" ca="1" si="40"/>
        <v>28.981965702600878</v>
      </c>
      <c r="H123" s="307">
        <f t="shared" ca="1" si="41"/>
        <v>92.429932086811178</v>
      </c>
      <c r="I123" s="304">
        <f t="shared" ca="1" si="42"/>
        <v>96.867159974674905</v>
      </c>
      <c r="J123" s="306">
        <f t="shared" ca="1" si="43"/>
        <v>15.594616310917683</v>
      </c>
      <c r="K123" s="307">
        <f t="shared" ca="1" si="44"/>
        <v>52.555335484868138</v>
      </c>
      <c r="L123" s="304">
        <f t="shared" ca="1" si="29"/>
        <v>54.820209282816315</v>
      </c>
      <c r="M123" s="306">
        <f t="shared" ca="1" si="45"/>
        <v>1.2669496397512436</v>
      </c>
      <c r="N123" s="304">
        <f t="shared" ca="1" si="46"/>
        <v>72.590867213366337</v>
      </c>
      <c r="P123" s="310">
        <f t="shared" ca="1" si="47"/>
        <v>8</v>
      </c>
      <c r="Q123" s="304">
        <f t="shared" ca="1" si="48"/>
        <v>1894.3574758269722</v>
      </c>
      <c r="R123" s="306">
        <f t="shared" ca="1" si="49"/>
        <v>1.1392175917078311</v>
      </c>
      <c r="S123" s="307">
        <f t="shared" ca="1" si="50"/>
        <v>18.727615740015654</v>
      </c>
      <c r="T123" s="304">
        <f t="shared" ca="1" si="30"/>
        <v>183.71791040955358</v>
      </c>
      <c r="U123" s="311">
        <f t="shared" ca="1" si="31"/>
        <v>0</v>
      </c>
      <c r="V123" s="306">
        <f t="shared" ca="1" si="32"/>
        <v>1.2185788447016492</v>
      </c>
      <c r="W123" s="304">
        <f t="shared" ca="1" si="33"/>
        <v>64.734156475019233</v>
      </c>
      <c r="Y123" s="314" t="str">
        <f t="shared" ca="1" si="51"/>
        <v/>
      </c>
      <c r="Z123" s="315" t="str">
        <f t="shared" ca="1" si="52"/>
        <v/>
      </c>
      <c r="AA123" s="316" t="str">
        <f t="shared" ca="1" si="53"/>
        <v/>
      </c>
      <c r="AC123" s="310" t="e">
        <f t="shared" ca="1" si="54"/>
        <v>#N/A</v>
      </c>
      <c r="AD123" s="323" t="e">
        <f t="shared" ca="1" si="55"/>
        <v>#N/A</v>
      </c>
      <c r="AE123" s="324">
        <f t="shared" ca="1" si="34"/>
        <v>52.555335484868138</v>
      </c>
      <c r="AG123" s="306">
        <f t="shared" ca="1" si="56"/>
        <v>88.397513048260734</v>
      </c>
      <c r="AH123" s="304">
        <f t="shared" ca="1" si="57"/>
        <v>97.759030990708794</v>
      </c>
    </row>
    <row r="124" spans="1:34" x14ac:dyDescent="0.2">
      <c r="A124" s="347">
        <f t="shared" ca="1" si="35"/>
        <v>0.01</v>
      </c>
      <c r="B124" s="304">
        <f t="shared" ca="1" si="36"/>
        <v>1.2000000000000008</v>
      </c>
      <c r="D124" s="306">
        <f t="shared" ca="1" si="37"/>
        <v>29.272999742275449</v>
      </c>
      <c r="E124" s="307">
        <f t="shared" ca="1" si="38"/>
        <v>83.548104343935123</v>
      </c>
      <c r="F124" s="304">
        <f t="shared" ca="1" si="39"/>
        <v>88.527929227878872</v>
      </c>
      <c r="G124" s="306">
        <f t="shared" ca="1" si="40"/>
        <v>29.274695700023631</v>
      </c>
      <c r="H124" s="307">
        <f t="shared" ca="1" si="41"/>
        <v>93.265413130250522</v>
      </c>
      <c r="I124" s="304">
        <f t="shared" ca="1" si="42"/>
        <v>97.751956986473104</v>
      </c>
      <c r="J124" s="306">
        <f t="shared" ca="1" si="43"/>
        <v>15.885899617930805</v>
      </c>
      <c r="K124" s="307">
        <f t="shared" ca="1" si="44"/>
        <v>53.483812210953445</v>
      </c>
      <c r="L124" s="304">
        <f t="shared" ca="1" si="29"/>
        <v>55.793189327081016</v>
      </c>
      <c r="M124" s="306">
        <f t="shared" ca="1" si="45"/>
        <v>1.2666493815874111</v>
      </c>
      <c r="N124" s="304">
        <f t="shared" ca="1" si="46"/>
        <v>72.573663687814388</v>
      </c>
      <c r="P124" s="310">
        <f t="shared" ca="1" si="47"/>
        <v>8</v>
      </c>
      <c r="Q124" s="304">
        <f t="shared" ca="1" si="48"/>
        <v>1895.9264961832064</v>
      </c>
      <c r="R124" s="306">
        <f t="shared" ca="1" si="49"/>
        <v>1.1401611599700934</v>
      </c>
      <c r="S124" s="307">
        <f t="shared" ca="1" si="50"/>
        <v>18.716214128415952</v>
      </c>
      <c r="T124" s="304">
        <f t="shared" ca="1" si="30"/>
        <v>183.6060605997605</v>
      </c>
      <c r="U124" s="311">
        <f t="shared" ca="1" si="31"/>
        <v>0</v>
      </c>
      <c r="V124" s="306">
        <f t="shared" ca="1" si="32"/>
        <v>1.218465706949281</v>
      </c>
      <c r="W124" s="304">
        <f t="shared" ca="1" si="33"/>
        <v>65.916017025113931</v>
      </c>
      <c r="Y124" s="314" t="str">
        <f t="shared" ca="1" si="51"/>
        <v/>
      </c>
      <c r="Z124" s="315" t="str">
        <f t="shared" ca="1" si="52"/>
        <v/>
      </c>
      <c r="AA124" s="316" t="str">
        <f t="shared" ca="1" si="53"/>
        <v/>
      </c>
      <c r="AC124" s="310" t="e">
        <f t="shared" ca="1" si="54"/>
        <v>#N/A</v>
      </c>
      <c r="AD124" s="323" t="e">
        <f t="shared" ca="1" si="55"/>
        <v>#N/A</v>
      </c>
      <c r="AE124" s="324">
        <f t="shared" ca="1" si="34"/>
        <v>53.483812210953445</v>
      </c>
      <c r="AG124" s="306">
        <f t="shared" ca="1" si="56"/>
        <v>88.479260538611371</v>
      </c>
      <c r="AH124" s="304">
        <f t="shared" ca="1" si="57"/>
        <v>97.839890436387634</v>
      </c>
    </row>
    <row r="125" spans="1:34" x14ac:dyDescent="0.2">
      <c r="A125" s="347">
        <f t="shared" ca="1" si="35"/>
        <v>0.01</v>
      </c>
      <c r="B125" s="304">
        <f t="shared" ca="1" si="36"/>
        <v>1.2100000000000009</v>
      </c>
      <c r="D125" s="306">
        <f t="shared" ca="1" si="37"/>
        <v>29.325104082983284</v>
      </c>
      <c r="E125" s="307">
        <f t="shared" ca="1" si="38"/>
        <v>83.616007751288947</v>
      </c>
      <c r="F125" s="304">
        <f t="shared" ca="1" si="39"/>
        <v>88.60924602851226</v>
      </c>
      <c r="G125" s="306">
        <f t="shared" ca="1" si="40"/>
        <v>29.567946740853465</v>
      </c>
      <c r="H125" s="307">
        <f t="shared" ca="1" si="41"/>
        <v>94.101573207763408</v>
      </c>
      <c r="I125" s="304">
        <f t="shared" ca="1" si="42"/>
        <v>98.63756665006494</v>
      </c>
      <c r="J125" s="306">
        <f t="shared" ca="1" si="43"/>
        <v>16.18011283013519</v>
      </c>
      <c r="K125" s="307">
        <f t="shared" ca="1" si="44"/>
        <v>54.420647142643517</v>
      </c>
      <c r="L125" s="304">
        <f t="shared" ca="1" si="29"/>
        <v>56.775019917389898</v>
      </c>
      <c r="M125" s="306">
        <f t="shared" ca="1" si="45"/>
        <v>1.2663515343387521</v>
      </c>
      <c r="N125" s="304">
        <f t="shared" ca="1" si="46"/>
        <v>72.556598297526634</v>
      </c>
      <c r="P125" s="310">
        <f t="shared" ca="1" si="47"/>
        <v>8</v>
      </c>
      <c r="Q125" s="304">
        <f t="shared" ca="1" si="48"/>
        <v>1897.4955165394404</v>
      </c>
      <c r="R125" s="306">
        <f t="shared" ca="1" si="49"/>
        <v>1.1411047282323556</v>
      </c>
      <c r="S125" s="307">
        <f t="shared" ca="1" si="50"/>
        <v>18.70480308113363</v>
      </c>
      <c r="T125" s="304">
        <f t="shared" ca="1" si="30"/>
        <v>183.49411822592091</v>
      </c>
      <c r="U125" s="311">
        <f t="shared" ca="1" si="31"/>
        <v>0</v>
      </c>
      <c r="V125" s="306">
        <f t="shared" ca="1" si="32"/>
        <v>1.2183515613417397</v>
      </c>
      <c r="W125" s="304">
        <f t="shared" ca="1" si="33"/>
        <v>67.109507093788096</v>
      </c>
      <c r="Y125" s="314" t="str">
        <f t="shared" ca="1" si="51"/>
        <v/>
      </c>
      <c r="Z125" s="315" t="str">
        <f t="shared" ca="1" si="52"/>
        <v/>
      </c>
      <c r="AA125" s="316" t="str">
        <f t="shared" ca="1" si="53"/>
        <v/>
      </c>
      <c r="AC125" s="310" t="e">
        <f t="shared" ca="1" si="54"/>
        <v>#N/A</v>
      </c>
      <c r="AD125" s="323" t="e">
        <f t="shared" ca="1" si="55"/>
        <v>#N/A</v>
      </c>
      <c r="AE125" s="324">
        <f t="shared" ca="1" si="34"/>
        <v>54.420647142643517</v>
      </c>
      <c r="AG125" s="306">
        <f t="shared" ca="1" si="56"/>
        <v>88.560528837545405</v>
      </c>
      <c r="AH125" s="304">
        <f t="shared" ca="1" si="57"/>
        <v>97.920277030968947</v>
      </c>
    </row>
    <row r="126" spans="1:34" x14ac:dyDescent="0.2">
      <c r="A126" s="347">
        <f t="shared" ca="1" si="35"/>
        <v>0.01</v>
      </c>
      <c r="B126" s="304">
        <f t="shared" ca="1" si="36"/>
        <v>1.2200000000000009</v>
      </c>
      <c r="D126" s="306">
        <f t="shared" ca="1" si="37"/>
        <v>29.37688419056304</v>
      </c>
      <c r="E126" s="307">
        <f t="shared" ca="1" si="38"/>
        <v>83.68350641431995</v>
      </c>
      <c r="F126" s="304">
        <f t="shared" ca="1" si="39"/>
        <v>88.690081579290933</v>
      </c>
      <c r="G126" s="306">
        <f t="shared" ca="1" si="40"/>
        <v>29.861715582759096</v>
      </c>
      <c r="H126" s="307">
        <f t="shared" ca="1" si="41"/>
        <v>94.93840827190661</v>
      </c>
      <c r="I126" s="304">
        <f t="shared" ca="1" si="42"/>
        <v>99.523984158336546</v>
      </c>
      <c r="J126" s="306">
        <f t="shared" ca="1" si="43"/>
        <v>16.477261141753253</v>
      </c>
      <c r="K126" s="307">
        <f t="shared" ca="1" si="44"/>
        <v>55.365847050041864</v>
      </c>
      <c r="L126" s="304">
        <f t="shared" ca="1" si="29"/>
        <v>57.765709156056943</v>
      </c>
      <c r="M126" s="306">
        <f t="shared" ca="1" si="45"/>
        <v>1.2660560597902577</v>
      </c>
      <c r="N126" s="304">
        <f t="shared" ca="1" si="46"/>
        <v>72.539668852944374</v>
      </c>
      <c r="P126" s="310">
        <f t="shared" ca="1" si="47"/>
        <v>8</v>
      </c>
      <c r="Q126" s="304">
        <f t="shared" ca="1" si="48"/>
        <v>1899.0645368956746</v>
      </c>
      <c r="R126" s="306">
        <f t="shared" ca="1" si="49"/>
        <v>1.1420482964946179</v>
      </c>
      <c r="S126" s="307">
        <f t="shared" ca="1" si="50"/>
        <v>18.693382598168682</v>
      </c>
      <c r="T126" s="304">
        <f t="shared" ca="1" si="30"/>
        <v>183.38208328803478</v>
      </c>
      <c r="U126" s="311">
        <f t="shared" ca="1" si="31"/>
        <v>0</v>
      </c>
      <c r="V126" s="306">
        <f t="shared" ca="1" si="32"/>
        <v>1.2182364073382113</v>
      </c>
      <c r="W126" s="304">
        <f t="shared" ca="1" si="33"/>
        <v>68.314643510097028</v>
      </c>
      <c r="Y126" s="314" t="str">
        <f t="shared" ca="1" si="51"/>
        <v/>
      </c>
      <c r="Z126" s="315" t="str">
        <f t="shared" ca="1" si="52"/>
        <v/>
      </c>
      <c r="AA126" s="316" t="str">
        <f t="shared" ca="1" si="53"/>
        <v/>
      </c>
      <c r="AC126" s="310" t="e">
        <f t="shared" ca="1" si="54"/>
        <v>#N/A</v>
      </c>
      <c r="AD126" s="323" t="e">
        <f t="shared" ca="1" si="55"/>
        <v>#N/A</v>
      </c>
      <c r="AE126" s="324">
        <f t="shared" ca="1" si="34"/>
        <v>55.365847050041864</v>
      </c>
      <c r="AG126" s="306">
        <f t="shared" ca="1" si="56"/>
        <v>88.641316379052213</v>
      </c>
      <c r="AH126" s="304">
        <f t="shared" ca="1" si="57"/>
        <v>98.000189114053441</v>
      </c>
    </row>
    <row r="127" spans="1:34" x14ac:dyDescent="0.2">
      <c r="A127" s="347">
        <f t="shared" ca="1" si="35"/>
        <v>0.01</v>
      </c>
      <c r="B127" s="304">
        <f t="shared" ca="1" si="36"/>
        <v>1.2300000000000009</v>
      </c>
      <c r="D127" s="306">
        <f t="shared" ca="1" si="37"/>
        <v>29.428342243811858</v>
      </c>
      <c r="E127" s="307">
        <f t="shared" ca="1" si="38"/>
        <v>83.750598116521971</v>
      </c>
      <c r="F127" s="304">
        <f t="shared" ca="1" si="39"/>
        <v>88.770434335391727</v>
      </c>
      <c r="G127" s="306">
        <f t="shared" ca="1" si="40"/>
        <v>30.155999005197216</v>
      </c>
      <c r="H127" s="307">
        <f t="shared" ca="1" si="41"/>
        <v>95.775914253071832</v>
      </c>
      <c r="I127" s="304">
        <f t="shared" ca="1" si="42"/>
        <v>100.41120468858654</v>
      </c>
      <c r="J127" s="306">
        <f t="shared" ca="1" si="43"/>
        <v>16.777349714693035</v>
      </c>
      <c r="K127" s="307">
        <f t="shared" ca="1" si="44"/>
        <v>56.319418662666756</v>
      </c>
      <c r="L127" s="304">
        <f t="shared" ca="1" si="29"/>
        <v>58.765265097248111</v>
      </c>
      <c r="M127" s="306">
        <f t="shared" ca="1" si="45"/>
        <v>1.2657629206314223</v>
      </c>
      <c r="N127" s="304">
        <f t="shared" ca="1" si="46"/>
        <v>72.522873216333096</v>
      </c>
      <c r="P127" s="310">
        <f t="shared" ca="1" si="47"/>
        <v>8</v>
      </c>
      <c r="Q127" s="304">
        <f t="shared" ca="1" si="48"/>
        <v>1900.6335572519088</v>
      </c>
      <c r="R127" s="306">
        <f t="shared" ca="1" si="49"/>
        <v>1.1429918647568802</v>
      </c>
      <c r="S127" s="307">
        <f t="shared" ca="1" si="50"/>
        <v>18.681952679521114</v>
      </c>
      <c r="T127" s="304">
        <f t="shared" ca="1" si="30"/>
        <v>183.26995578610214</v>
      </c>
      <c r="U127" s="311">
        <f t="shared" ca="1" si="31"/>
        <v>0</v>
      </c>
      <c r="V127" s="306">
        <f t="shared" ca="1" si="32"/>
        <v>1.2181202444056043</v>
      </c>
      <c r="W127" s="304">
        <f t="shared" ca="1" si="33"/>
        <v>69.531442803866184</v>
      </c>
      <c r="Y127" s="314" t="str">
        <f t="shared" ca="1" si="51"/>
        <v/>
      </c>
      <c r="Z127" s="315" t="str">
        <f t="shared" ca="1" si="52"/>
        <v/>
      </c>
      <c r="AA127" s="316" t="str">
        <f t="shared" ca="1" si="53"/>
        <v/>
      </c>
      <c r="AC127" s="310" t="e">
        <f t="shared" ca="1" si="54"/>
        <v>#N/A</v>
      </c>
      <c r="AD127" s="323" t="e">
        <f t="shared" ca="1" si="55"/>
        <v>#N/A</v>
      </c>
      <c r="AE127" s="324">
        <f t="shared" ca="1" si="34"/>
        <v>56.319418662666756</v>
      </c>
      <c r="AG127" s="306">
        <f t="shared" ca="1" si="56"/>
        <v>88.721621605417894</v>
      </c>
      <c r="AH127" s="304">
        <f t="shared" ca="1" si="57"/>
        <v>98.079625035683407</v>
      </c>
    </row>
    <row r="128" spans="1:34" x14ac:dyDescent="0.2">
      <c r="A128" s="347">
        <f t="shared" ca="1" si="35"/>
        <v>0.01</v>
      </c>
      <c r="B128" s="304">
        <f t="shared" ca="1" si="36"/>
        <v>1.2400000000000009</v>
      </c>
      <c r="D128" s="306">
        <f t="shared" ca="1" si="37"/>
        <v>29.479480354783561</v>
      </c>
      <c r="E128" s="307">
        <f t="shared" ca="1" si="38"/>
        <v>83.817280668044361</v>
      </c>
      <c r="F128" s="304">
        <f t="shared" ca="1" si="39"/>
        <v>88.850302760169555</v>
      </c>
      <c r="G128" s="306">
        <f t="shared" ca="1" si="40"/>
        <v>30.45079380874505</v>
      </c>
      <c r="H128" s="307">
        <f t="shared" ca="1" si="41"/>
        <v>96.614087059752279</v>
      </c>
      <c r="I128" s="304">
        <f t="shared" ca="1" si="42"/>
        <v>101.29922340261103</v>
      </c>
      <c r="J128" s="306">
        <f t="shared" ca="1" si="43"/>
        <v>17.080383678762747</v>
      </c>
      <c r="K128" s="307">
        <f t="shared" ca="1" si="44"/>
        <v>57.281368669230879</v>
      </c>
      <c r="L128" s="304">
        <f t="shared" ca="1" si="29"/>
        <v>59.773695746825709</v>
      </c>
      <c r="M128" s="306">
        <f t="shared" ca="1" si="45"/>
        <v>1.2654720804276007</v>
      </c>
      <c r="N128" s="304">
        <f t="shared" ca="1" si="46"/>
        <v>72.506209300141393</v>
      </c>
      <c r="P128" s="310">
        <f t="shared" ca="1" si="47"/>
        <v>8</v>
      </c>
      <c r="Q128" s="304">
        <f t="shared" ca="1" si="48"/>
        <v>1902.2025776081427</v>
      </c>
      <c r="R128" s="306">
        <f t="shared" ca="1" si="49"/>
        <v>1.1439354330191425</v>
      </c>
      <c r="S128" s="307">
        <f t="shared" ca="1" si="50"/>
        <v>18.670513325190921</v>
      </c>
      <c r="T128" s="304">
        <f t="shared" ca="1" si="30"/>
        <v>183.15773572012296</v>
      </c>
      <c r="U128" s="311">
        <f t="shared" ca="1" si="31"/>
        <v>0</v>
      </c>
      <c r="V128" s="306">
        <f t="shared" ca="1" si="32"/>
        <v>1.2180030720185819</v>
      </c>
      <c r="W128" s="304">
        <f t="shared" ca="1" si="33"/>
        <v>70.759921204227936</v>
      </c>
      <c r="Y128" s="314" t="str">
        <f t="shared" ca="1" si="51"/>
        <v/>
      </c>
      <c r="Z128" s="315" t="str">
        <f t="shared" ca="1" si="52"/>
        <v/>
      </c>
      <c r="AA128" s="316" t="str">
        <f t="shared" ca="1" si="53"/>
        <v/>
      </c>
      <c r="AC128" s="310" t="e">
        <f t="shared" ca="1" si="54"/>
        <v>#N/A</v>
      </c>
      <c r="AD128" s="323" t="e">
        <f t="shared" ca="1" si="55"/>
        <v>#N/A</v>
      </c>
      <c r="AE128" s="324">
        <f t="shared" ca="1" si="34"/>
        <v>57.281368669230879</v>
      </c>
      <c r="AG128" s="306">
        <f t="shared" ca="1" si="56"/>
        <v>88.801442967394138</v>
      </c>
      <c r="AH128" s="304">
        <f t="shared" ca="1" si="57"/>
        <v>98.158583156445488</v>
      </c>
    </row>
    <row r="129" spans="1:34" x14ac:dyDescent="0.2">
      <c r="A129" s="347">
        <f t="shared" ca="1" si="35"/>
        <v>0.01</v>
      </c>
      <c r="B129" s="304">
        <f t="shared" ca="1" si="36"/>
        <v>1.2500000000000009</v>
      </c>
      <c r="D129" s="306">
        <f t="shared" ca="1" si="37"/>
        <v>29.53030057109282</v>
      </c>
      <c r="E129" s="307">
        <f t="shared" ca="1" si="38"/>
        <v>83.883551905266202</v>
      </c>
      <c r="F129" s="304">
        <f t="shared" ca="1" si="39"/>
        <v>88.929685325332017</v>
      </c>
      <c r="G129" s="306">
        <f t="shared" ca="1" si="40"/>
        <v>30.746096814455978</v>
      </c>
      <c r="H129" s="307">
        <f t="shared" ca="1" si="41"/>
        <v>97.452922578804944</v>
      </c>
      <c r="I129" s="304">
        <f t="shared" ca="1" si="42"/>
        <v>102.18803544679021</v>
      </c>
      <c r="J129" s="306">
        <f t="shared" ca="1" si="43"/>
        <v>17.386368131878751</v>
      </c>
      <c r="K129" s="307">
        <f t="shared" ca="1" si="44"/>
        <v>58.251703717423666</v>
      </c>
      <c r="L129" s="304">
        <f t="shared" ca="1" si="29"/>
        <v>60.791009062193723</v>
      </c>
      <c r="M129" s="306">
        <f t="shared" ca="1" si="45"/>
        <v>1.2651835035924994</v>
      </c>
      <c r="N129" s="304">
        <f t="shared" ca="1" si="46"/>
        <v>72.489675065424848</v>
      </c>
      <c r="P129" s="310">
        <f t="shared" ca="1" si="47"/>
        <v>8</v>
      </c>
      <c r="Q129" s="304">
        <f t="shared" ca="1" si="48"/>
        <v>1903.771597964377</v>
      </c>
      <c r="R129" s="306">
        <f t="shared" ca="1" si="49"/>
        <v>1.1448790012814047</v>
      </c>
      <c r="S129" s="307">
        <f t="shared" ca="1" si="50"/>
        <v>18.659064535178107</v>
      </c>
      <c r="T129" s="304">
        <f t="shared" ca="1" si="30"/>
        <v>183.04542309009724</v>
      </c>
      <c r="U129" s="311">
        <f t="shared" ca="1" si="31"/>
        <v>0</v>
      </c>
      <c r="V129" s="306">
        <f t="shared" ca="1" si="32"/>
        <v>1.2178848896595893</v>
      </c>
      <c r="W129" s="304">
        <f t="shared" ca="1" si="33"/>
        <v>72.000094638171987</v>
      </c>
      <c r="Y129" s="314" t="str">
        <f t="shared" ca="1" si="51"/>
        <v/>
      </c>
      <c r="Z129" s="315" t="str">
        <f t="shared" ca="1" si="52"/>
        <v/>
      </c>
      <c r="AA129" s="316" t="str">
        <f t="shared" ca="1" si="53"/>
        <v/>
      </c>
      <c r="AC129" s="310" t="e">
        <f t="shared" ca="1" si="54"/>
        <v>#N/A</v>
      </c>
      <c r="AD129" s="323" t="e">
        <f t="shared" ca="1" si="55"/>
        <v>#N/A</v>
      </c>
      <c r="AE129" s="324">
        <f t="shared" ca="1" si="34"/>
        <v>58.251703717423666</v>
      </c>
      <c r="AG129" s="306">
        <f t="shared" ca="1" si="56"/>
        <v>88.880778924364208</v>
      </c>
      <c r="AH129" s="304">
        <f t="shared" ca="1" si="57"/>
        <v>98.237061847573074</v>
      </c>
    </row>
    <row r="130" spans="1:34" x14ac:dyDescent="0.2">
      <c r="A130" s="347">
        <f t="shared" ca="1" si="35"/>
        <v>0.01</v>
      </c>
      <c r="B130" s="304">
        <f t="shared" ca="1" si="36"/>
        <v>1.2600000000000009</v>
      </c>
      <c r="D130" s="306">
        <f t="shared" ca="1" si="37"/>
        <v>29.58080487812845</v>
      </c>
      <c r="E130" s="307">
        <f t="shared" ca="1" si="38"/>
        <v>83.949409690390453</v>
      </c>
      <c r="F130" s="304">
        <f t="shared" ca="1" si="39"/>
        <v>89.008580511111006</v>
      </c>
      <c r="G130" s="306">
        <f t="shared" ca="1" si="40"/>
        <v>31.041904863237264</v>
      </c>
      <c r="H130" s="307">
        <f t="shared" ca="1" si="41"/>
        <v>98.29241667570885</v>
      </c>
      <c r="I130" s="304">
        <f t="shared" ca="1" si="42"/>
        <v>103.07763595217655</v>
      </c>
      <c r="J130" s="306">
        <f t="shared" ca="1" si="43"/>
        <v>17.695308140267215</v>
      </c>
      <c r="K130" s="307">
        <f t="shared" ca="1" si="44"/>
        <v>59.230430413696233</v>
      </c>
      <c r="L130" s="304">
        <f t="shared" ca="1" si="29"/>
        <v>61.81721295214399</v>
      </c>
      <c r="M130" s="306">
        <f t="shared" ca="1" si="45"/>
        <v>1.2648971553617434</v>
      </c>
      <c r="N130" s="304">
        <f t="shared" ca="1" si="46"/>
        <v>72.473268520331487</v>
      </c>
      <c r="P130" s="310">
        <f t="shared" ca="1" si="47"/>
        <v>8</v>
      </c>
      <c r="Q130" s="304">
        <f t="shared" ca="1" si="48"/>
        <v>1905.3406183206109</v>
      </c>
      <c r="R130" s="306">
        <f t="shared" ca="1" si="49"/>
        <v>1.145822569543667</v>
      </c>
      <c r="S130" s="307">
        <f t="shared" ca="1" si="50"/>
        <v>18.647606309482672</v>
      </c>
      <c r="T130" s="304">
        <f t="shared" ca="1" si="30"/>
        <v>182.93301789602504</v>
      </c>
      <c r="U130" s="311">
        <f t="shared" ca="1" si="31"/>
        <v>0</v>
      </c>
      <c r="V130" s="306">
        <f t="shared" ca="1" si="32"/>
        <v>1.2177656968188804</v>
      </c>
      <c r="W130" s="304">
        <f t="shared" ca="1" si="33"/>
        <v>73.251978729109851</v>
      </c>
      <c r="Y130" s="314" t="str">
        <f t="shared" ca="1" si="51"/>
        <v/>
      </c>
      <c r="Z130" s="315" t="str">
        <f t="shared" ca="1" si="52"/>
        <v/>
      </c>
      <c r="AA130" s="316" t="str">
        <f t="shared" ca="1" si="53"/>
        <v/>
      </c>
      <c r="AC130" s="310" t="e">
        <f t="shared" ca="1" si="54"/>
        <v>#N/A</v>
      </c>
      <c r="AD130" s="323" t="e">
        <f t="shared" ca="1" si="55"/>
        <v>#N/A</v>
      </c>
      <c r="AE130" s="324">
        <f t="shared" ca="1" si="34"/>
        <v>59.230430413696233</v>
      </c>
      <c r="AG130" s="306">
        <f t="shared" ca="1" si="56"/>
        <v>88.959627944506195</v>
      </c>
      <c r="AH130" s="304">
        <f t="shared" ca="1" si="57"/>
        <v>98.31505949104843</v>
      </c>
    </row>
    <row r="131" spans="1:34" x14ac:dyDescent="0.2">
      <c r="A131" s="347">
        <f t="shared" ca="1" si="35"/>
        <v>0.01</v>
      </c>
      <c r="B131" s="304">
        <f t="shared" ca="1" si="36"/>
        <v>1.2700000000000009</v>
      </c>
      <c r="D131" s="306">
        <f t="shared" ca="1" si="37"/>
        <v>29.630995201180539</v>
      </c>
      <c r="E131" s="307">
        <f t="shared" ca="1" si="38"/>
        <v>84.014851911057349</v>
      </c>
      <c r="F131" s="304">
        <f t="shared" ca="1" si="39"/>
        <v>89.086986806431398</v>
      </c>
      <c r="G131" s="306">
        <f t="shared" ca="1" si="40"/>
        <v>31.338214815249071</v>
      </c>
      <c r="H131" s="307">
        <f t="shared" ca="1" si="41"/>
        <v>99.132565194819421</v>
      </c>
      <c r="I131" s="304">
        <f t="shared" ca="1" si="42"/>
        <v>103.96802003458475</v>
      </c>
      <c r="J131" s="306">
        <f t="shared" ca="1" si="43"/>
        <v>18.007208738659646</v>
      </c>
      <c r="K131" s="307">
        <f t="shared" ca="1" si="44"/>
        <v>60.217555323048877</v>
      </c>
      <c r="L131" s="304">
        <f t="shared" ca="1" si="29"/>
        <v>62.852315276703308</v>
      </c>
      <c r="M131" s="306">
        <f t="shared" ca="1" si="45"/>
        <v>1.2646130017674742</v>
      </c>
      <c r="N131" s="304">
        <f t="shared" ca="1" si="46"/>
        <v>72.456987718646388</v>
      </c>
      <c r="P131" s="310">
        <f t="shared" ca="1" si="47"/>
        <v>8</v>
      </c>
      <c r="Q131" s="304">
        <f t="shared" ca="1" si="48"/>
        <v>1906.9096386768451</v>
      </c>
      <c r="R131" s="306">
        <f t="shared" ca="1" si="49"/>
        <v>1.1467661378059293</v>
      </c>
      <c r="S131" s="307">
        <f t="shared" ca="1" si="50"/>
        <v>18.636138648104613</v>
      </c>
      <c r="T131" s="304">
        <f t="shared" ca="1" si="30"/>
        <v>182.82052013790627</v>
      </c>
      <c r="U131" s="311">
        <f t="shared" ca="1" si="31"/>
        <v>0</v>
      </c>
      <c r="V131" s="306">
        <f t="shared" ca="1" si="32"/>
        <v>1.2176454929945504</v>
      </c>
      <c r="W131" s="304">
        <f t="shared" ca="1" si="33"/>
        <v>74.515588795454207</v>
      </c>
      <c r="Y131" s="314" t="str">
        <f t="shared" ca="1" si="51"/>
        <v/>
      </c>
      <c r="Z131" s="315" t="str">
        <f t="shared" ca="1" si="52"/>
        <v/>
      </c>
      <c r="AA131" s="316" t="str">
        <f t="shared" ca="1" si="53"/>
        <v/>
      </c>
      <c r="AC131" s="310" t="e">
        <f t="shared" ca="1" si="54"/>
        <v>#N/A</v>
      </c>
      <c r="AD131" s="323" t="e">
        <f t="shared" ca="1" si="55"/>
        <v>#N/A</v>
      </c>
      <c r="AE131" s="324">
        <f t="shared" ca="1" si="34"/>
        <v>60.217555323048877</v>
      </c>
      <c r="AG131" s="306">
        <f t="shared" ca="1" si="56"/>
        <v>89.037988504953802</v>
      </c>
      <c r="AH131" s="304">
        <f t="shared" ca="1" si="57"/>
        <v>98.392574479704649</v>
      </c>
    </row>
    <row r="132" spans="1:34" x14ac:dyDescent="0.2">
      <c r="A132" s="347">
        <f t="shared" ca="1" si="35"/>
        <v>0.01</v>
      </c>
      <c r="B132" s="304">
        <f t="shared" ca="1" si="36"/>
        <v>1.2800000000000009</v>
      </c>
      <c r="D132" s="306">
        <f t="shared" ca="1" si="37"/>
        <v>29.680873407484892</v>
      </c>
      <c r="E132" s="307">
        <f t="shared" ca="1" si="38"/>
        <v>84.079876479975653</v>
      </c>
      <c r="F132" s="304">
        <f t="shared" ca="1" si="39"/>
        <v>89.164902709076671</v>
      </c>
      <c r="G132" s="306">
        <f t="shared" ca="1" si="40"/>
        <v>31.635023549323918</v>
      </c>
      <c r="H132" s="307">
        <f t="shared" ca="1" si="41"/>
        <v>99.973363959619178</v>
      </c>
      <c r="I132" s="304">
        <f t="shared" ca="1" si="42"/>
        <v>104.85918279468309</v>
      </c>
      <c r="J132" s="306">
        <f t="shared" ca="1" si="43"/>
        <v>18.322074930482511</v>
      </c>
      <c r="K132" s="307">
        <f t="shared" ca="1" si="44"/>
        <v>61.213084968821072</v>
      </c>
      <c r="L132" s="304">
        <f t="shared" ref="L132:L195" ca="1" si="58">SQRT(pos_x^2+pos_z^2)</f>
        <v>63.896323846981403</v>
      </c>
      <c r="M132" s="306">
        <f t="shared" ca="1" si="45"/>
        <v>1.2643310096139273</v>
      </c>
      <c r="N132" s="304">
        <f t="shared" ca="1" si="46"/>
        <v>72.440830758392352</v>
      </c>
      <c r="P132" s="310">
        <f t="shared" ca="1" si="47"/>
        <v>8</v>
      </c>
      <c r="Q132" s="304">
        <f t="shared" ca="1" si="48"/>
        <v>1908.4786590330791</v>
      </c>
      <c r="R132" s="306">
        <f t="shared" ca="1" si="49"/>
        <v>1.1477097060681916</v>
      </c>
      <c r="S132" s="307">
        <f t="shared" ca="1" si="50"/>
        <v>18.624661551043932</v>
      </c>
      <c r="T132" s="304">
        <f t="shared" ref="T132:T195" ca="1" si="59">m*g</f>
        <v>182.70792981574098</v>
      </c>
      <c r="U132" s="311">
        <f t="shared" ref="U132:U195" ca="1" si="60">IF(pos_xz&lt;L_rampe,Poids*COS(Beta),0)</f>
        <v>0</v>
      </c>
      <c r="V132" s="306">
        <f t="shared" ref="V132:V195" ca="1" si="61">Rho_moyen*(20000-Alt_rampe-pos_z)/(20000+Alt_rampe+pos_z)</f>
        <v>1.2175242776925599</v>
      </c>
      <c r="W132" s="304">
        <f t="shared" ref="W132:W195" ca="1" si="62">1/2*Rho*Sref*Cx*vit_xz^2</f>
        <v>75.790939849212066</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61.213084968821072</v>
      </c>
      <c r="AG132" s="306">
        <f t="shared" ca="1" si="56"/>
        <v>89.115859091954192</v>
      </c>
      <c r="AH132" s="304">
        <f t="shared" ca="1" si="57"/>
        <v>98.469605217326986</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29.73044130818915</v>
      </c>
      <c r="E133" s="307">
        <f t="shared" ref="E133:E196" ca="1" si="67">IF(AND(L132&lt;L_rampe,Poussee&lt;Poids*SIN(M132)),0,(-W132+Poussee)/m*SIN(M132)+U132/m*COS(M132)-Poids/m)</f>
        <v>84.144481334571708</v>
      </c>
      <c r="F133" s="304">
        <f t="shared" ref="F133:F196" ca="1" si="68">SQRT(acc_x^2+acc_z^2)</f>
        <v>89.242326725852266</v>
      </c>
      <c r="G133" s="306">
        <f t="shared" ref="G133:G196" ca="1" si="69">G132+acc_x*pas</f>
        <v>31.932327962405811</v>
      </c>
      <c r="H133" s="307">
        <f t="shared" ref="H133:H196" ca="1" si="70">H132+acc_z*pas</f>
        <v>100.81480877296489</v>
      </c>
      <c r="I133" s="304">
        <f t="shared" ref="I133:I196" ca="1" si="71">SQRT(vit_x^2+vit_z^2)</f>
        <v>105.7511193180863</v>
      </c>
      <c r="J133" s="306">
        <f t="shared" ref="J133:J196" ca="1" si="72">J132+0.5*(vit_x+G132)*pas*(K132&gt;=0)</f>
        <v>18.63991168804116</v>
      </c>
      <c r="K133" s="307">
        <f t="shared" ref="K133:K196" ca="1" si="73">K132+0.5*(vit_z+H132)*pas</f>
        <v>62.217025832483991</v>
      </c>
      <c r="L133" s="304">
        <f t="shared" ca="1" si="58"/>
        <v>64.949246425019851</v>
      </c>
      <c r="M133" s="306">
        <f t="shared" ref="M133:M196" ca="1" si="74">IF(AND(L132&gt;L_rampe,G133&gt;0),ATAN2(G133,H133),$M$4)</f>
        <v>1.2640511464539452</v>
      </c>
      <c r="N133" s="304">
        <f t="shared" ref="N133:N196" ca="1" si="75">DEGREES(Beta)</f>
        <v>72.424795780484175</v>
      </c>
      <c r="P133" s="310">
        <f t="shared" ref="P133:P196" ca="1" si="76">MATCH(t-pas/2-T_ini,CdP_t)</f>
        <v>8</v>
      </c>
      <c r="Q133" s="304">
        <f t="shared" ref="Q133:Q196" ca="1" si="77">(INDEX(CdP,2,i_P+1)-INDEX(CdP,2,i_P+0))/(INDEX(CdP,1,i_P+1)-INDEX(CdP,1,i_P+0))*(t-pas/2-T_ini-INDEX(CdP,1,i_P+0))+INDEX(CdP,2,i_P+0)</f>
        <v>1910.0476793893133</v>
      </c>
      <c r="R133" s="306">
        <f t="shared" ref="R133:R196" ca="1" si="78">Poussee/(g*ISP)</f>
        <v>1.1486532743304538</v>
      </c>
      <c r="S133" s="307">
        <f t="shared" ref="S133:S196" ca="1" si="79">S132-Débit*pas</f>
        <v>18.613175018300627</v>
      </c>
      <c r="T133" s="304">
        <f t="shared" ca="1" si="59"/>
        <v>182.59524692952917</v>
      </c>
      <c r="U133" s="311">
        <f t="shared" ca="1" si="60"/>
        <v>0</v>
      </c>
      <c r="V133" s="306">
        <f t="shared" ca="1" si="61"/>
        <v>1.2174020504267644</v>
      </c>
      <c r="W133" s="304">
        <f t="shared" ca="1" si="62"/>
        <v>77.078046594592962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62.217025832483991</v>
      </c>
      <c r="AG133" s="306">
        <f t="shared" ref="AG133:AG196" ca="1" si="85">IF(AND(L132&lt;L_rampe,Poussee&lt;Poids*SIN(M132)),0,(-W132+Poussee)/m-Poids*SIN(M132)/m)</f>
        <v>89.193238201023902</v>
      </c>
      <c r="AH133" s="304">
        <f t="shared" ref="AH133:AH196" ca="1" si="86">IF(AND(L132&lt;L_rampe,Poussee&lt;Poids*SIN(M132)), g*SIN(M132), (-W132+Poussee)/m)</f>
        <v>98.546150118754326</v>
      </c>
    </row>
    <row r="134" spans="1:34" x14ac:dyDescent="0.2">
      <c r="A134" s="347">
        <f t="shared" ca="1" si="64"/>
        <v>0.01</v>
      </c>
      <c r="B134" s="304">
        <f t="shared" ca="1" si="65"/>
        <v>1.3000000000000009</v>
      </c>
      <c r="D134" s="306">
        <f t="shared" ca="1" si="66"/>
        <v>29.779700660243936</v>
      </c>
      <c r="E134" s="307">
        <f t="shared" ca="1" si="67"/>
        <v>84.208664436654402</v>
      </c>
      <c r="F134" s="304">
        <f t="shared" ca="1" si="68"/>
        <v>89.319257372745753</v>
      </c>
      <c r="G134" s="306">
        <f t="shared" ca="1" si="69"/>
        <v>32.230124969008251</v>
      </c>
      <c r="H134" s="307">
        <f t="shared" ca="1" si="70"/>
        <v>101.65689541733144</v>
      </c>
      <c r="I134" s="304">
        <f t="shared" ca="1" si="71"/>
        <v>106.64382467545015</v>
      </c>
      <c r="J134" s="306">
        <f t="shared" ca="1" si="72"/>
        <v>18.960723952698231</v>
      </c>
      <c r="K134" s="307">
        <f t="shared" ca="1" si="73"/>
        <v>63.229384353435471</v>
      </c>
      <c r="L134" s="304">
        <f t="shared" ca="1" si="58"/>
        <v>66.011090723641999</v>
      </c>
      <c r="M134" s="306">
        <f t="shared" ca="1" si="74"/>
        <v>1.2637733805663827</v>
      </c>
      <c r="N134" s="304">
        <f t="shared" ca="1" si="75"/>
        <v>72.408880967434143</v>
      </c>
      <c r="P134" s="310">
        <f t="shared" ca="1" si="76"/>
        <v>8</v>
      </c>
      <c r="Q134" s="304">
        <f t="shared" ca="1" si="77"/>
        <v>1911.6166997455473</v>
      </c>
      <c r="R134" s="306">
        <f t="shared" ca="1" si="78"/>
        <v>1.1495968425927159</v>
      </c>
      <c r="S134" s="307">
        <f t="shared" ca="1" si="79"/>
        <v>18.601679049874701</v>
      </c>
      <c r="T134" s="304">
        <f t="shared" ca="1" si="59"/>
        <v>182.48247147927083</v>
      </c>
      <c r="U134" s="311">
        <f t="shared" ca="1" si="60"/>
        <v>0</v>
      </c>
      <c r="V134" s="306">
        <f t="shared" ca="1" si="61"/>
        <v>1.2172788107189403</v>
      </c>
      <c r="W134" s="304">
        <f t="shared" ca="1" si="62"/>
        <v>78.376923426632118</v>
      </c>
      <c r="Y134" s="314" t="str">
        <f t="shared" ca="1" si="80"/>
        <v/>
      </c>
      <c r="Z134" s="315" t="str">
        <f t="shared" ca="1" si="81"/>
        <v/>
      </c>
      <c r="AA134" s="316" t="str">
        <f t="shared" ca="1" si="82"/>
        <v/>
      </c>
      <c r="AC134" s="310" t="e">
        <f t="shared" ca="1" si="83"/>
        <v>#N/A</v>
      </c>
      <c r="AD134" s="323" t="e">
        <f t="shared" ca="1" si="84"/>
        <v>#N/A</v>
      </c>
      <c r="AE134" s="324">
        <f t="shared" ca="1" si="63"/>
        <v>63.229384353435471</v>
      </c>
      <c r="AG134" s="306">
        <f t="shared" ca="1" si="85"/>
        <v>89.270124337101933</v>
      </c>
      <c r="AH134" s="304">
        <f t="shared" ca="1" si="86"/>
        <v>98.622207609979796</v>
      </c>
    </row>
    <row r="135" spans="1:34" x14ac:dyDescent="0.2">
      <c r="A135" s="347">
        <f t="shared" ca="1" si="64"/>
        <v>0.01</v>
      </c>
      <c r="B135" s="304">
        <f t="shared" ca="1" si="65"/>
        <v>1.3100000000000009</v>
      </c>
      <c r="D135" s="306">
        <f t="shared" ca="1" si="66"/>
        <v>29.828653168222658</v>
      </c>
      <c r="E135" s="307">
        <f t="shared" ca="1" si="67"/>
        <v>84.27242377209646</v>
      </c>
      <c r="F135" s="304">
        <f t="shared" ca="1" si="68"/>
        <v>89.395693175084944</v>
      </c>
      <c r="G135" s="306">
        <f t="shared" ca="1" si="69"/>
        <v>32.528411500690481</v>
      </c>
      <c r="H135" s="307">
        <f t="shared" ca="1" si="70"/>
        <v>102.4996196550524</v>
      </c>
      <c r="I135" s="304">
        <f t="shared" ca="1" si="71"/>
        <v>107.53729392256743</v>
      </c>
      <c r="J135" s="306">
        <f t="shared" ca="1" si="72"/>
        <v>19.284516635046725</v>
      </c>
      <c r="K135" s="307">
        <f t="shared" ca="1" si="73"/>
        <v>64.250166928797384</v>
      </c>
      <c r="L135" s="304">
        <f t="shared" ca="1" si="58"/>
        <v>67.081864406303751</v>
      </c>
      <c r="M135" s="306">
        <f t="shared" ca="1" si="74"/>
        <v>1.2634976809343637</v>
      </c>
      <c r="N135" s="304">
        <f t="shared" ca="1" si="75"/>
        <v>72.393084542106138</v>
      </c>
      <c r="P135" s="310">
        <f t="shared" ca="1" si="76"/>
        <v>8</v>
      </c>
      <c r="Q135" s="304">
        <f t="shared" ca="1" si="77"/>
        <v>1913.1857201017815</v>
      </c>
      <c r="R135" s="306">
        <f t="shared" ca="1" si="78"/>
        <v>1.1505404108549784</v>
      </c>
      <c r="S135" s="307">
        <f t="shared" ca="1" si="79"/>
        <v>18.59017364576615</v>
      </c>
      <c r="T135" s="304">
        <f t="shared" ca="1" si="59"/>
        <v>182.36960346496593</v>
      </c>
      <c r="U135" s="311">
        <f t="shared" ca="1" si="60"/>
        <v>0</v>
      </c>
      <c r="V135" s="306">
        <f t="shared" ca="1" si="61"/>
        <v>1.2171545580988117</v>
      </c>
      <c r="W135" s="304">
        <f t="shared" ca="1" si="62"/>
        <v>79.687584429828433</v>
      </c>
      <c r="Y135" s="314" t="str">
        <f t="shared" ca="1" si="80"/>
        <v/>
      </c>
      <c r="Z135" s="315" t="str">
        <f t="shared" ca="1" si="81"/>
        <v/>
      </c>
      <c r="AA135" s="316" t="str">
        <f t="shared" ca="1" si="82"/>
        <v/>
      </c>
      <c r="AC135" s="310" t="e">
        <f t="shared" ca="1" si="83"/>
        <v>#N/A</v>
      </c>
      <c r="AD135" s="323" t="e">
        <f t="shared" ca="1" si="84"/>
        <v>#N/A</v>
      </c>
      <c r="AE135" s="324">
        <f t="shared" ca="1" si="63"/>
        <v>64.250166928797384</v>
      </c>
      <c r="AG135" s="306">
        <f t="shared" ca="1" si="85"/>
        <v>89.346516014700939</v>
      </c>
      <c r="AH135" s="304">
        <f t="shared" ca="1" si="86"/>
        <v>98.697776128251547</v>
      </c>
    </row>
    <row r="136" spans="1:34" x14ac:dyDescent="0.2">
      <c r="A136" s="347">
        <f t="shared" ca="1" si="64"/>
        <v>0.01</v>
      </c>
      <c r="B136" s="304">
        <f t="shared" ca="1" si="65"/>
        <v>1.320000000000001</v>
      </c>
      <c r="D136" s="306">
        <f t="shared" ca="1" si="66"/>
        <v>29.877300486073093</v>
      </c>
      <c r="E136" s="307">
        <f t="shared" ca="1" si="67"/>
        <v>84.335757350530244</v>
      </c>
      <c r="F136" s="304">
        <f t="shared" ca="1" si="68"/>
        <v>89.471632667693171</v>
      </c>
      <c r="G136" s="306">
        <f t="shared" ca="1" si="69"/>
        <v>32.827184505551209</v>
      </c>
      <c r="H136" s="307">
        <f t="shared" ca="1" si="70"/>
        <v>103.3429772285577</v>
      </c>
      <c r="I136" s="304">
        <f t="shared" ca="1" si="71"/>
        <v>108.43152210046532</v>
      </c>
      <c r="J136" s="306">
        <f t="shared" ca="1" si="72"/>
        <v>19.611294615077934</v>
      </c>
      <c r="K136" s="307">
        <f t="shared" ca="1" si="73"/>
        <v>65.279379913215436</v>
      </c>
      <c r="L136" s="304">
        <f t="shared" ca="1" si="58"/>
        <v>68.161575086945419</v>
      </c>
      <c r="M136" s="306">
        <f t="shared" ca="1" si="74"/>
        <v>1.2632240172243525</v>
      </c>
      <c r="N136" s="304">
        <f t="shared" ca="1" si="75"/>
        <v>72.377404766516605</v>
      </c>
      <c r="P136" s="310">
        <f t="shared" ca="1" si="76"/>
        <v>8</v>
      </c>
      <c r="Q136" s="304">
        <f t="shared" ca="1" si="77"/>
        <v>1914.7547404580155</v>
      </c>
      <c r="R136" s="306">
        <f t="shared" ca="1" si="78"/>
        <v>1.1514839791172404</v>
      </c>
      <c r="S136" s="307">
        <f t="shared" ca="1" si="79"/>
        <v>18.578658805974978</v>
      </c>
      <c r="T136" s="304">
        <f t="shared" ca="1" si="59"/>
        <v>182.25664288661454</v>
      </c>
      <c r="U136" s="311">
        <f t="shared" ca="1" si="60"/>
        <v>0</v>
      </c>
      <c r="V136" s="306">
        <f t="shared" ca="1" si="61"/>
        <v>1.2170292921040768</v>
      </c>
      <c r="W136" s="304">
        <f t="shared" ca="1" si="62"/>
        <v>81.010043376797825</v>
      </c>
      <c r="Y136" s="314" t="str">
        <f t="shared" ca="1" si="80"/>
        <v/>
      </c>
      <c r="Z136" s="315" t="str">
        <f t="shared" ca="1" si="81"/>
        <v/>
      </c>
      <c r="AA136" s="316" t="str">
        <f t="shared" ca="1" si="82"/>
        <v/>
      </c>
      <c r="AC136" s="310" t="e">
        <f t="shared" ca="1" si="83"/>
        <v>#N/A</v>
      </c>
      <c r="AD136" s="323" t="e">
        <f t="shared" ca="1" si="84"/>
        <v>#N/A</v>
      </c>
      <c r="AE136" s="324">
        <f t="shared" ca="1" si="63"/>
        <v>65.279379913215436</v>
      </c>
      <c r="AG136" s="306">
        <f t="shared" ca="1" si="85"/>
        <v>89.422411758055887</v>
      </c>
      <c r="AH136" s="304">
        <f t="shared" ca="1" si="86"/>
        <v>98.772854122172774</v>
      </c>
    </row>
    <row r="137" spans="1:34" x14ac:dyDescent="0.2">
      <c r="A137" s="347">
        <f t="shared" ca="1" si="64"/>
        <v>0.01</v>
      </c>
      <c r="B137" s="304">
        <f t="shared" ca="1" si="65"/>
        <v>1.330000000000001</v>
      </c>
      <c r="D137" s="306">
        <f t="shared" ca="1" si="66"/>
        <v>29.925644218803971</v>
      </c>
      <c r="E137" s="307">
        <f t="shared" ca="1" si="67"/>
        <v>84.398663205058199</v>
      </c>
      <c r="F137" s="304">
        <f t="shared" ca="1" si="68"/>
        <v>89.547074395042529</v>
      </c>
      <c r="G137" s="306">
        <f t="shared" ca="1" si="69"/>
        <v>33.126440947739248</v>
      </c>
      <c r="H137" s="307">
        <f t="shared" ca="1" si="70"/>
        <v>104.18696386060829</v>
      </c>
      <c r="I137" s="304">
        <f t="shared" ca="1" si="71"/>
        <v>109.32650423550437</v>
      </c>
      <c r="J137" s="306">
        <f t="shared" ca="1" si="72"/>
        <v>19.941062742344386</v>
      </c>
      <c r="K137" s="307">
        <f t="shared" ca="1" si="73"/>
        <v>66.317029618661266</v>
      </c>
      <c r="L137" s="304">
        <f t="shared" ca="1" si="58"/>
        <v>69.25023032984447</v>
      </c>
      <c r="M137" s="306">
        <f t="shared" ca="1" si="74"/>
        <v>1.2629523597660008</v>
      </c>
      <c r="N137" s="304">
        <f t="shared" ca="1" si="75"/>
        <v>72.361839940679801</v>
      </c>
      <c r="P137" s="310">
        <f t="shared" ca="1" si="76"/>
        <v>8</v>
      </c>
      <c r="Q137" s="304">
        <f t="shared" ca="1" si="77"/>
        <v>1916.3237608142497</v>
      </c>
      <c r="R137" s="306">
        <f t="shared" ca="1" si="78"/>
        <v>1.1524275473795027</v>
      </c>
      <c r="S137" s="307">
        <f t="shared" ca="1" si="79"/>
        <v>18.567134530501182</v>
      </c>
      <c r="T137" s="304">
        <f t="shared" ca="1" si="59"/>
        <v>182.1435897442166</v>
      </c>
      <c r="U137" s="311">
        <f t="shared" ca="1" si="60"/>
        <v>0</v>
      </c>
      <c r="V137" s="306">
        <f t="shared" ca="1" si="61"/>
        <v>1.216903012280435</v>
      </c>
      <c r="W137" s="304">
        <f t="shared" ca="1" si="62"/>
        <v>82.344313726942062</v>
      </c>
      <c r="Y137" s="314" t="str">
        <f t="shared" ca="1" si="80"/>
        <v/>
      </c>
      <c r="Z137" s="315" t="str">
        <f t="shared" ca="1" si="81"/>
        <v/>
      </c>
      <c r="AA137" s="316" t="str">
        <f t="shared" ca="1" si="82"/>
        <v/>
      </c>
      <c r="AC137" s="310" t="e">
        <f t="shared" ca="1" si="83"/>
        <v>#N/A</v>
      </c>
      <c r="AD137" s="323" t="e">
        <f t="shared" ca="1" si="84"/>
        <v>#N/A</v>
      </c>
      <c r="AE137" s="324">
        <f t="shared" ca="1" si="63"/>
        <v>66.317029618661266</v>
      </c>
      <c r="AG137" s="306">
        <f t="shared" ca="1" si="85"/>
        <v>89.497810101270872</v>
      </c>
      <c r="AH137" s="304">
        <f t="shared" ca="1" si="86"/>
        <v>98.847440051801655</v>
      </c>
    </row>
    <row r="138" spans="1:34" x14ac:dyDescent="0.2">
      <c r="A138" s="347">
        <f t="shared" ca="1" si="64"/>
        <v>0.01</v>
      </c>
      <c r="B138" s="304">
        <f t="shared" ca="1" si="65"/>
        <v>1.340000000000001</v>
      </c>
      <c r="D138" s="306">
        <f t="shared" ca="1" si="66"/>
        <v>29.973685924109411</v>
      </c>
      <c r="E138" s="307">
        <f t="shared" ca="1" si="67"/>
        <v>84.461139391976644</v>
      </c>
      <c r="F138" s="304">
        <f t="shared" ca="1" si="68"/>
        <v>89.622016911404444</v>
      </c>
      <c r="G138" s="306">
        <f t="shared" ca="1" si="69"/>
        <v>33.426177806980341</v>
      </c>
      <c r="H138" s="307">
        <f t="shared" ca="1" si="70"/>
        <v>105.03157525452805</v>
      </c>
      <c r="I138" s="304">
        <f t="shared" ca="1" si="71"/>
        <v>110.22223533947881</v>
      </c>
      <c r="J138" s="306">
        <f t="shared" ca="1" si="72"/>
        <v>20.273825836117982</v>
      </c>
      <c r="K138" s="307">
        <f t="shared" ca="1" si="73"/>
        <v>67.363122314236946</v>
      </c>
      <c r="L138" s="304">
        <f t="shared" ca="1" si="58"/>
        <v>70.347837649469312</v>
      </c>
      <c r="M138" s="306">
        <f t="shared" ca="1" si="74"/>
        <v>1.262682679532739</v>
      </c>
      <c r="N138" s="304">
        <f t="shared" ca="1" si="75"/>
        <v>72.346388401495801</v>
      </c>
      <c r="P138" s="310">
        <f t="shared" ca="1" si="76"/>
        <v>8</v>
      </c>
      <c r="Q138" s="304">
        <f t="shared" ca="1" si="77"/>
        <v>1917.8927811704837</v>
      </c>
      <c r="R138" s="306">
        <f t="shared" ca="1" si="78"/>
        <v>1.153371115641765</v>
      </c>
      <c r="S138" s="307">
        <f t="shared" ca="1" si="79"/>
        <v>18.555600819344765</v>
      </c>
      <c r="T138" s="304">
        <f t="shared" ca="1" si="59"/>
        <v>182.03044403777216</v>
      </c>
      <c r="U138" s="311">
        <f t="shared" ca="1" si="60"/>
        <v>0</v>
      </c>
      <c r="V138" s="306">
        <f t="shared" ca="1" si="61"/>
        <v>1.2167757181816101</v>
      </c>
      <c r="W138" s="304">
        <f t="shared" ca="1" si="62"/>
        <v>83.690408625132875</v>
      </c>
      <c r="Y138" s="314" t="str">
        <f t="shared" ca="1" si="80"/>
        <v/>
      </c>
      <c r="Z138" s="315" t="str">
        <f t="shared" ca="1" si="81"/>
        <v/>
      </c>
      <c r="AA138" s="316" t="str">
        <f t="shared" ca="1" si="82"/>
        <v/>
      </c>
      <c r="AC138" s="310" t="e">
        <f t="shared" ca="1" si="83"/>
        <v>#N/A</v>
      </c>
      <c r="AD138" s="323" t="e">
        <f t="shared" ca="1" si="84"/>
        <v>#N/A</v>
      </c>
      <c r="AE138" s="324">
        <f t="shared" ca="1" si="63"/>
        <v>67.363122314236946</v>
      </c>
      <c r="AG138" s="306">
        <f t="shared" ca="1" si="85"/>
        <v>89.572709588463567</v>
      </c>
      <c r="AH138" s="304">
        <f t="shared" ca="1" si="86"/>
        <v>98.921532388750663</v>
      </c>
    </row>
    <row r="139" spans="1:34" x14ac:dyDescent="0.2">
      <c r="A139" s="347">
        <f t="shared" ca="1" si="64"/>
        <v>0.01</v>
      </c>
      <c r="B139" s="304">
        <f t="shared" ca="1" si="65"/>
        <v>1.350000000000001</v>
      </c>
      <c r="D139" s="306">
        <f t="shared" ca="1" si="66"/>
        <v>30.021427113933942</v>
      </c>
      <c r="E139" s="307">
        <f t="shared" ca="1" si="67"/>
        <v>84.52318399051309</v>
      </c>
      <c r="F139" s="304">
        <f t="shared" ca="1" si="68"/>
        <v>89.696458780998583</v>
      </c>
      <c r="G139" s="306">
        <f t="shared" ca="1" si="69"/>
        <v>33.72639207811968</v>
      </c>
      <c r="H139" s="307">
        <f t="shared" ca="1" si="70"/>
        <v>105.87680709443318</v>
      </c>
      <c r="I139" s="304">
        <f t="shared" ca="1" si="71"/>
        <v>111.11871040971845</v>
      </c>
      <c r="J139" s="306">
        <f t="shared" ca="1" si="72"/>
        <v>20.609588685543482</v>
      </c>
      <c r="K139" s="307">
        <f t="shared" ca="1" si="73"/>
        <v>68.417664225981753</v>
      </c>
      <c r="L139" s="304">
        <f t="shared" ca="1" si="58"/>
        <v>71.454404510334172</v>
      </c>
      <c r="M139" s="306">
        <f t="shared" ca="1" si="74"/>
        <v>1.2624149481230751</v>
      </c>
      <c r="N139" s="304">
        <f t="shared" ca="1" si="75"/>
        <v>72.331048521678966</v>
      </c>
      <c r="P139" s="310">
        <f t="shared" ca="1" si="76"/>
        <v>8</v>
      </c>
      <c r="Q139" s="304">
        <f t="shared" ca="1" si="77"/>
        <v>1919.4618015267179</v>
      </c>
      <c r="R139" s="306">
        <f t="shared" ca="1" si="78"/>
        <v>1.1543146839040272</v>
      </c>
      <c r="S139" s="307">
        <f t="shared" ca="1" si="79"/>
        <v>18.544057672505723</v>
      </c>
      <c r="T139" s="304">
        <f t="shared" ca="1" si="59"/>
        <v>181.91720576728116</v>
      </c>
      <c r="U139" s="311">
        <f t="shared" ca="1" si="60"/>
        <v>0</v>
      </c>
      <c r="V139" s="306">
        <f t="shared" ca="1" si="61"/>
        <v>1.2166474093693767</v>
      </c>
      <c r="W139" s="304">
        <f t="shared" ca="1" si="62"/>
        <v>85.048340900412384</v>
      </c>
      <c r="Y139" s="314" t="str">
        <f t="shared" ca="1" si="80"/>
        <v/>
      </c>
      <c r="Z139" s="315" t="str">
        <f t="shared" ca="1" si="81"/>
        <v/>
      </c>
      <c r="AA139" s="316" t="str">
        <f t="shared" ca="1" si="82"/>
        <v/>
      </c>
      <c r="AC139" s="310" t="e">
        <f t="shared" ca="1" si="83"/>
        <v>#N/A</v>
      </c>
      <c r="AD139" s="323" t="e">
        <f t="shared" ca="1" si="84"/>
        <v>#N/A</v>
      </c>
      <c r="AE139" s="324">
        <f t="shared" ca="1" si="63"/>
        <v>68.417664225981753</v>
      </c>
      <c r="AG139" s="306">
        <f t="shared" ca="1" si="85"/>
        <v>89.647108773908087</v>
      </c>
      <c r="AH139" s="304">
        <f t="shared" ca="1" si="86"/>
        <v>98.995129616285894</v>
      </c>
    </row>
    <row r="140" spans="1:34" x14ac:dyDescent="0.2">
      <c r="A140" s="347">
        <f t="shared" ca="1" si="64"/>
        <v>0.01</v>
      </c>
      <c r="B140" s="304">
        <f t="shared" ca="1" si="65"/>
        <v>1.360000000000001</v>
      </c>
      <c r="D140" s="306">
        <f t="shared" ca="1" si="66"/>
        <v>30.068869255980925</v>
      </c>
      <c r="E140" s="307">
        <f t="shared" ca="1" si="67"/>
        <v>84.584795102575285</v>
      </c>
      <c r="F140" s="304">
        <f t="shared" ca="1" si="68"/>
        <v>89.770398578138881</v>
      </c>
      <c r="G140" s="306">
        <f t="shared" ca="1" si="69"/>
        <v>34.02708077067949</v>
      </c>
      <c r="H140" s="307">
        <f t="shared" ca="1" si="70"/>
        <v>106.72265504545892</v>
      </c>
      <c r="I140" s="304">
        <f t="shared" ca="1" si="71"/>
        <v>112.0159244291916</v>
      </c>
      <c r="J140" s="306">
        <f t="shared" ca="1" si="72"/>
        <v>20.948356049787478</v>
      </c>
      <c r="K140" s="307">
        <f t="shared" ca="1" si="73"/>
        <v>69.480661536681211</v>
      </c>
      <c r="L140" s="304">
        <f t="shared" ca="1" si="58"/>
        <v>72.569938326854881</v>
      </c>
      <c r="M140" s="306">
        <f t="shared" ca="1" si="74"/>
        <v>1.2621491377425742</v>
      </c>
      <c r="N140" s="304">
        <f t="shared" ca="1" si="75"/>
        <v>72.315818708725502</v>
      </c>
      <c r="P140" s="310">
        <f t="shared" ca="1" si="76"/>
        <v>8</v>
      </c>
      <c r="Q140" s="304">
        <f t="shared" ca="1" si="77"/>
        <v>1921.0308218829518</v>
      </c>
      <c r="R140" s="306">
        <f t="shared" ca="1" si="78"/>
        <v>1.1552582521662895</v>
      </c>
      <c r="S140" s="307">
        <f t="shared" ca="1" si="79"/>
        <v>18.53250508998406</v>
      </c>
      <c r="T140" s="304">
        <f t="shared" ca="1" si="59"/>
        <v>181.80387493274364</v>
      </c>
      <c r="U140" s="311">
        <f t="shared" ca="1" si="60"/>
        <v>0</v>
      </c>
      <c r="V140" s="306">
        <f t="shared" ca="1" si="61"/>
        <v>1.2165180854135849</v>
      </c>
      <c r="W140" s="304">
        <f t="shared" ca="1" si="62"/>
        <v>86.418123064708766</v>
      </c>
      <c r="Y140" s="314" t="str">
        <f t="shared" ca="1" si="80"/>
        <v/>
      </c>
      <c r="Z140" s="315" t="str">
        <f t="shared" ca="1" si="81"/>
        <v/>
      </c>
      <c r="AA140" s="316" t="str">
        <f t="shared" ca="1" si="82"/>
        <v/>
      </c>
      <c r="AC140" s="310" t="e">
        <f t="shared" ca="1" si="83"/>
        <v>#N/A</v>
      </c>
      <c r="AD140" s="323" t="e">
        <f t="shared" ca="1" si="84"/>
        <v>#N/A</v>
      </c>
      <c r="AE140" s="324">
        <f t="shared" ca="1" si="63"/>
        <v>69.480661536681211</v>
      </c>
      <c r="AG140" s="306">
        <f t="shared" ca="1" si="85"/>
        <v>89.721006222175362</v>
      </c>
      <c r="AH140" s="304">
        <f t="shared" ca="1" si="86"/>
        <v>99.068230229425438</v>
      </c>
    </row>
    <row r="141" spans="1:34" x14ac:dyDescent="0.2">
      <c r="A141" s="347">
        <f t="shared" ca="1" si="64"/>
        <v>0.01</v>
      </c>
      <c r="B141" s="304">
        <f t="shared" ca="1" si="65"/>
        <v>1.370000000000001</v>
      </c>
      <c r="D141" s="306">
        <f t="shared" ca="1" si="66"/>
        <v>30.116013775166618</v>
      </c>
      <c r="E141" s="307">
        <f t="shared" ca="1" si="67"/>
        <v>84.645970852512704</v>
      </c>
      <c r="F141" s="304">
        <f t="shared" ca="1" si="68"/>
        <v>89.84383488737808</v>
      </c>
      <c r="G141" s="306">
        <f t="shared" ca="1" si="69"/>
        <v>34.328240908431155</v>
      </c>
      <c r="H141" s="307">
        <f t="shared" ca="1" si="70"/>
        <v>107.56911475398405</v>
      </c>
      <c r="I141" s="304">
        <f t="shared" ca="1" si="71"/>
        <v>112.91387236660992</v>
      </c>
      <c r="J141" s="306">
        <f t="shared" ca="1" si="72"/>
        <v>21.29013265818303</v>
      </c>
      <c r="K141" s="307">
        <f t="shared" ca="1" si="73"/>
        <v>70.552120385678421</v>
      </c>
      <c r="L141" s="304">
        <f t="shared" ca="1" si="58"/>
        <v>73.694446463205708</v>
      </c>
      <c r="M141" s="306">
        <f t="shared" ca="1" si="74"/>
        <v>1.2618852211864864</v>
      </c>
      <c r="N141" s="304">
        <f t="shared" ca="1" si="75"/>
        <v>72.300697403918036</v>
      </c>
      <c r="P141" s="310">
        <f t="shared" ca="1" si="76"/>
        <v>8</v>
      </c>
      <c r="Q141" s="304">
        <f t="shared" ca="1" si="77"/>
        <v>1922.599842239186</v>
      </c>
      <c r="R141" s="306">
        <f t="shared" ca="1" si="78"/>
        <v>1.1562018204285518</v>
      </c>
      <c r="S141" s="307">
        <f t="shared" ca="1" si="79"/>
        <v>18.520943071779776</v>
      </c>
      <c r="T141" s="304">
        <f t="shared" ca="1" si="59"/>
        <v>181.69045153415962</v>
      </c>
      <c r="U141" s="311">
        <f t="shared" ca="1" si="60"/>
        <v>0</v>
      </c>
      <c r="V141" s="306">
        <f t="shared" ca="1" si="61"/>
        <v>1.216387745892185</v>
      </c>
      <c r="W141" s="304">
        <f t="shared" ca="1" si="62"/>
        <v>87.799767311568814</v>
      </c>
      <c r="Y141" s="314" t="str">
        <f t="shared" ca="1" si="80"/>
        <v/>
      </c>
      <c r="Z141" s="315" t="str">
        <f t="shared" ca="1" si="81"/>
        <v/>
      </c>
      <c r="AA141" s="316" t="str">
        <f t="shared" ca="1" si="82"/>
        <v/>
      </c>
      <c r="AC141" s="310" t="e">
        <f t="shared" ca="1" si="83"/>
        <v>#N/A</v>
      </c>
      <c r="AD141" s="323" t="e">
        <f t="shared" ca="1" si="84"/>
        <v>#N/A</v>
      </c>
      <c r="AE141" s="324">
        <f t="shared" ca="1" si="63"/>
        <v>70.552120385678421</v>
      </c>
      <c r="AG141" s="306">
        <f t="shared" ca="1" si="85"/>
        <v>89.794400508272119</v>
      </c>
      <c r="AH141" s="304">
        <f t="shared" ca="1" si="86"/>
        <v>99.140832735037861</v>
      </c>
    </row>
    <row r="142" spans="1:34" x14ac:dyDescent="0.2">
      <c r="A142" s="347">
        <f t="shared" ca="1" si="64"/>
        <v>0.01</v>
      </c>
      <c r="B142" s="304">
        <f t="shared" ca="1" si="65"/>
        <v>1.380000000000001</v>
      </c>
      <c r="D142" s="306">
        <f t="shared" ca="1" si="66"/>
        <v>30.162862055022554</v>
      </c>
      <c r="E142" s="307">
        <f t="shared" ca="1" si="67"/>
        <v>84.706709386889301</v>
      </c>
      <c r="F142" s="304">
        <f t="shared" ca="1" si="68"/>
        <v>89.916766303650178</v>
      </c>
      <c r="G142" s="306">
        <f t="shared" ca="1" si="69"/>
        <v>34.629869528981381</v>
      </c>
      <c r="H142" s="307">
        <f t="shared" ca="1" si="70"/>
        <v>108.41618184785294</v>
      </c>
      <c r="I142" s="304">
        <f t="shared" ca="1" si="71"/>
        <v>113.81254917653409</v>
      </c>
      <c r="J142" s="306">
        <f t="shared" ca="1" si="72"/>
        <v>21.634923210370093</v>
      </c>
      <c r="K142" s="307">
        <f t="shared" ca="1" si="73"/>
        <v>71.63204686868761</v>
      </c>
      <c r="L142" s="304">
        <f t="shared" ca="1" si="58"/>
        <v>74.827936233177439</v>
      </c>
      <c r="M142" s="306">
        <f t="shared" ca="1" si="74"/>
        <v>1.2616231718229964</v>
      </c>
      <c r="N142" s="304">
        <f t="shared" ca="1" si="75"/>
        <v>72.285683081365974</v>
      </c>
      <c r="P142" s="310">
        <f t="shared" ca="1" si="76"/>
        <v>8</v>
      </c>
      <c r="Q142" s="304">
        <f t="shared" ca="1" si="77"/>
        <v>1924.1688625954203</v>
      </c>
      <c r="R142" s="306">
        <f t="shared" ca="1" si="78"/>
        <v>1.1571453886908141</v>
      </c>
      <c r="S142" s="307">
        <f t="shared" ca="1" si="79"/>
        <v>18.509371617892867</v>
      </c>
      <c r="T142" s="304">
        <f t="shared" ca="1" si="59"/>
        <v>181.57693557152905</v>
      </c>
      <c r="U142" s="311">
        <f t="shared" ca="1" si="60"/>
        <v>0</v>
      </c>
      <c r="V142" s="306">
        <f t="shared" ca="1" si="61"/>
        <v>1.2162563903912507</v>
      </c>
      <c r="W142" s="304">
        <f t="shared" ca="1" si="62"/>
        <v>89.193285514905966</v>
      </c>
      <c r="Y142" s="314" t="str">
        <f t="shared" ca="1" si="80"/>
        <v/>
      </c>
      <c r="Z142" s="315" t="str">
        <f t="shared" ca="1" si="81"/>
        <v/>
      </c>
      <c r="AA142" s="316" t="str">
        <f t="shared" ca="1" si="82"/>
        <v/>
      </c>
      <c r="AC142" s="310" t="e">
        <f t="shared" ca="1" si="83"/>
        <v>#N/A</v>
      </c>
      <c r="AD142" s="323" t="e">
        <f t="shared" ca="1" si="84"/>
        <v>#N/A</v>
      </c>
      <c r="AE142" s="324">
        <f t="shared" ca="1" si="63"/>
        <v>71.63204686868761</v>
      </c>
      <c r="AG142" s="306">
        <f t="shared" ca="1" si="85"/>
        <v>89.867290217777878</v>
      </c>
      <c r="AH142" s="304">
        <f t="shared" ca="1" si="86"/>
        <v>99.2129356519401</v>
      </c>
    </row>
    <row r="143" spans="1:34" x14ac:dyDescent="0.2">
      <c r="A143" s="347">
        <f t="shared" ca="1" si="64"/>
        <v>0.01</v>
      </c>
      <c r="B143" s="304">
        <f t="shared" ca="1" si="65"/>
        <v>1.390000000000001</v>
      </c>
      <c r="D143" s="306">
        <f t="shared" ca="1" si="66"/>
        <v>30.20941543904804</v>
      </c>
      <c r="E143" s="307">
        <f t="shared" ca="1" si="67"/>
        <v>84.767008874266679</v>
      </c>
      <c r="F143" s="304">
        <f t="shared" ca="1" si="68"/>
        <v>89.989191432410365</v>
      </c>
      <c r="G143" s="306">
        <f t="shared" ca="1" si="69"/>
        <v>34.931963683371862</v>
      </c>
      <c r="H143" s="307">
        <f t="shared" ca="1" si="70"/>
        <v>109.2638519365956</v>
      </c>
      <c r="I143" s="304">
        <f t="shared" ca="1" si="71"/>
        <v>114.7119497994812</v>
      </c>
      <c r="J143" s="306">
        <f t="shared" ca="1" si="72"/>
        <v>21.982732376431859</v>
      </c>
      <c r="K143" s="307">
        <f t="shared" ca="1" si="73"/>
        <v>72.720447037609858</v>
      </c>
      <c r="L143" s="304">
        <f t="shared" ca="1" si="58"/>
        <v>75.970414900036232</v>
      </c>
      <c r="M143" s="306">
        <f t="shared" ca="1" si="74"/>
        <v>1.2613629635770671</v>
      </c>
      <c r="N143" s="304">
        <f t="shared" ca="1" si="75"/>
        <v>72.270774247079729</v>
      </c>
      <c r="P143" s="310">
        <f t="shared" ca="1" si="76"/>
        <v>8</v>
      </c>
      <c r="Q143" s="304">
        <f t="shared" ca="1" si="77"/>
        <v>1925.7378829516542</v>
      </c>
      <c r="R143" s="306">
        <f t="shared" ca="1" si="78"/>
        <v>1.1580889569530763</v>
      </c>
      <c r="S143" s="307">
        <f t="shared" ca="1" si="79"/>
        <v>18.497790728323338</v>
      </c>
      <c r="T143" s="304">
        <f t="shared" ca="1" si="59"/>
        <v>181.46332704485195</v>
      </c>
      <c r="U143" s="311">
        <f t="shared" ca="1" si="60"/>
        <v>0</v>
      </c>
      <c r="V143" s="306">
        <f t="shared" ca="1" si="61"/>
        <v>1.2161240185050035</v>
      </c>
      <c r="W143" s="304">
        <f t="shared" ca="1" si="62"/>
        <v>90.598689227765519</v>
      </c>
      <c r="Y143" s="314" t="str">
        <f t="shared" ca="1" si="80"/>
        <v/>
      </c>
      <c r="Z143" s="315" t="str">
        <f t="shared" ca="1" si="81"/>
        <v/>
      </c>
      <c r="AA143" s="316" t="str">
        <f t="shared" ca="1" si="82"/>
        <v/>
      </c>
      <c r="AC143" s="310" t="e">
        <f t="shared" ca="1" si="83"/>
        <v>#N/A</v>
      </c>
      <c r="AD143" s="323" t="e">
        <f t="shared" ca="1" si="84"/>
        <v>#N/A</v>
      </c>
      <c r="AE143" s="324">
        <f t="shared" ca="1" si="63"/>
        <v>72.720447037609858</v>
      </c>
      <c r="AG143" s="306">
        <f t="shared" ca="1" si="85"/>
        <v>89.93967394697988</v>
      </c>
      <c r="AH143" s="304">
        <f t="shared" ca="1" si="86"/>
        <v>99.284537510994696</v>
      </c>
    </row>
    <row r="144" spans="1:34" x14ac:dyDescent="0.2">
      <c r="A144" s="347">
        <f t="shared" ca="1" si="64"/>
        <v>0.01</v>
      </c>
      <c r="B144" s="304">
        <f t="shared" ca="1" si="65"/>
        <v>1.400000000000001</v>
      </c>
      <c r="D144" s="306">
        <f t="shared" ca="1" si="66"/>
        <v>30.255675232015552</v>
      </c>
      <c r="E144" s="307">
        <f t="shared" ca="1" si="67"/>
        <v>84.826867504998177</v>
      </c>
      <c r="F144" s="304">
        <f t="shared" ca="1" si="68"/>
        <v>90.061108889773919</v>
      </c>
      <c r="G144" s="306">
        <f t="shared" ca="1" si="69"/>
        <v>35.234520435692019</v>
      </c>
      <c r="H144" s="307">
        <f t="shared" ca="1" si="70"/>
        <v>110.11212061164558</v>
      </c>
      <c r="I144" s="304">
        <f t="shared" ca="1" si="71"/>
        <v>115.61206916203335</v>
      </c>
      <c r="J144" s="306">
        <f t="shared" ca="1" si="72"/>
        <v>22.333564797027179</v>
      </c>
      <c r="K144" s="307">
        <f t="shared" ca="1" si="73"/>
        <v>73.817326900351063</v>
      </c>
      <c r="L144" s="304">
        <f t="shared" ca="1" si="58"/>
        <v>77.121889676383731</v>
      </c>
      <c r="M144" s="306">
        <f t="shared" ca="1" si="74"/>
        <v>1.2611045709148534</v>
      </c>
      <c r="N144" s="304">
        <f t="shared" ca="1" si="75"/>
        <v>72.255969438077727</v>
      </c>
      <c r="P144" s="310">
        <f t="shared" ca="1" si="76"/>
        <v>8</v>
      </c>
      <c r="Q144" s="304">
        <f t="shared" ca="1" si="77"/>
        <v>1927.3069033078884</v>
      </c>
      <c r="R144" s="306">
        <f t="shared" ca="1" si="78"/>
        <v>1.1590325252153386</v>
      </c>
      <c r="S144" s="307">
        <f t="shared" ca="1" si="79"/>
        <v>18.486200403071184</v>
      </c>
      <c r="T144" s="304">
        <f t="shared" ca="1" si="59"/>
        <v>181.34962595412833</v>
      </c>
      <c r="U144" s="311">
        <f t="shared" ca="1" si="60"/>
        <v>0</v>
      </c>
      <c r="V144" s="306">
        <f t="shared" ca="1" si="61"/>
        <v>1.2159906298358356</v>
      </c>
      <c r="W144" s="304">
        <f t="shared" ca="1" si="62"/>
        <v>92.015989681106134</v>
      </c>
      <c r="Y144" s="314" t="str">
        <f t="shared" ca="1" si="80"/>
        <v/>
      </c>
      <c r="Z144" s="315" t="str">
        <f t="shared" ca="1" si="81"/>
        <v/>
      </c>
      <c r="AA144" s="316" t="str">
        <f t="shared" ca="1" si="82"/>
        <v/>
      </c>
      <c r="AC144" s="310" t="e">
        <f t="shared" ca="1" si="83"/>
        <v>#N/A</v>
      </c>
      <c r="AD144" s="323" t="e">
        <f t="shared" ca="1" si="84"/>
        <v>#N/A</v>
      </c>
      <c r="AE144" s="324">
        <f t="shared" ca="1" si="63"/>
        <v>73.817326900351063</v>
      </c>
      <c r="AG144" s="306">
        <f t="shared" ca="1" si="85"/>
        <v>90.0115503030068</v>
      </c>
      <c r="AH144" s="304">
        <f t="shared" ca="1" si="86"/>
        <v>99.355636855207052</v>
      </c>
    </row>
    <row r="145" spans="1:34" x14ac:dyDescent="0.2">
      <c r="A145" s="347">
        <f t="shared" ca="1" si="64"/>
        <v>0.01</v>
      </c>
      <c r="B145" s="304">
        <f t="shared" ca="1" si="65"/>
        <v>1.410000000000001</v>
      </c>
      <c r="D145" s="306">
        <f t="shared" ca="1" si="66"/>
        <v>30.301642701230314</v>
      </c>
      <c r="E145" s="307">
        <f t="shared" ca="1" si="67"/>
        <v>84.88628349103233</v>
      </c>
      <c r="F145" s="304">
        <f t="shared" ca="1" si="68"/>
        <v>90.132517302652388</v>
      </c>
      <c r="G145" s="306">
        <f t="shared" ca="1" si="69"/>
        <v>35.537536862704322</v>
      </c>
      <c r="H145" s="307">
        <f t="shared" ca="1" si="70"/>
        <v>110.9609834465559</v>
      </c>
      <c r="I145" s="304">
        <f t="shared" ca="1" si="71"/>
        <v>116.51290217694743</v>
      </c>
      <c r="J145" s="306">
        <f t="shared" ca="1" si="72"/>
        <v>22.687425083519162</v>
      </c>
      <c r="K145" s="307">
        <f t="shared" ca="1" si="73"/>
        <v>74.922692420642065</v>
      </c>
      <c r="L145" s="304">
        <f t="shared" ca="1" si="58"/>
        <v>78.282367724018357</v>
      </c>
      <c r="M145" s="306">
        <f t="shared" ca="1" si="74"/>
        <v>1.2608479688286607</v>
      </c>
      <c r="N145" s="304">
        <f t="shared" ca="1" si="75"/>
        <v>72.241267221524637</v>
      </c>
      <c r="P145" s="310">
        <f t="shared" ca="1" si="76"/>
        <v>8</v>
      </c>
      <c r="Q145" s="304">
        <f t="shared" ca="1" si="77"/>
        <v>1928.8759236641224</v>
      </c>
      <c r="R145" s="306">
        <f t="shared" ca="1" si="78"/>
        <v>1.1599760934776009</v>
      </c>
      <c r="S145" s="307">
        <f t="shared" ca="1" si="79"/>
        <v>18.474600642136409</v>
      </c>
      <c r="T145" s="304">
        <f t="shared" ca="1" si="59"/>
        <v>181.23583229935818</v>
      </c>
      <c r="U145" s="311">
        <f t="shared" ca="1" si="60"/>
        <v>0</v>
      </c>
      <c r="V145" s="306">
        <f t="shared" ca="1" si="61"/>
        <v>1.2158562239943334</v>
      </c>
      <c r="W145" s="304">
        <f t="shared" ca="1" si="62"/>
        <v>93.445197782597916</v>
      </c>
      <c r="Y145" s="314" t="str">
        <f t="shared" ca="1" si="80"/>
        <v/>
      </c>
      <c r="Z145" s="315" t="str">
        <f t="shared" ca="1" si="81"/>
        <v/>
      </c>
      <c r="AA145" s="316" t="str">
        <f t="shared" ca="1" si="82"/>
        <v/>
      </c>
      <c r="AC145" s="310" t="e">
        <f t="shared" ca="1" si="83"/>
        <v>#N/A</v>
      </c>
      <c r="AD145" s="323" t="e">
        <f t="shared" ca="1" si="84"/>
        <v>#N/A</v>
      </c>
      <c r="AE145" s="324">
        <f t="shared" ca="1" si="63"/>
        <v>74.922692420642065</v>
      </c>
      <c r="AG145" s="306">
        <f t="shared" ca="1" si="85"/>
        <v>90.082917903960279</v>
      </c>
      <c r="AH145" s="304">
        <f t="shared" ca="1" si="86"/>
        <v>99.426232239821829</v>
      </c>
    </row>
    <row r="146" spans="1:34" x14ac:dyDescent="0.2">
      <c r="A146" s="347">
        <f t="shared" ca="1" si="64"/>
        <v>0.01</v>
      </c>
      <c r="B146" s="304">
        <f t="shared" ca="1" si="65"/>
        <v>1.420000000000001</v>
      </c>
      <c r="D146" s="306">
        <f t="shared" ca="1" si="66"/>
        <v>30.347319077746658</v>
      </c>
      <c r="E146" s="307">
        <f t="shared" ca="1" si="67"/>
        <v>84.945255065726201</v>
      </c>
      <c r="F146" s="304">
        <f t="shared" ca="1" si="68"/>
        <v>90.203415308888665</v>
      </c>
      <c r="G146" s="306">
        <f t="shared" ca="1" si="69"/>
        <v>35.841010053481789</v>
      </c>
      <c r="H146" s="307">
        <f t="shared" ca="1" si="70"/>
        <v>111.81043599721316</v>
      </c>
      <c r="I146" s="304">
        <f t="shared" ca="1" si="71"/>
        <v>117.41444374326646</v>
      </c>
      <c r="J146" s="306">
        <f t="shared" ca="1" si="72"/>
        <v>23.044317818100094</v>
      </c>
      <c r="K146" s="307">
        <f t="shared" ca="1" si="73"/>
        <v>76.036549517860905</v>
      </c>
      <c r="L146" s="304">
        <f t="shared" ca="1" si="58"/>
        <v>79.451856153797436</v>
      </c>
      <c r="M146" s="306">
        <f t="shared" ca="1" si="74"/>
        <v>1.2605931328224274</v>
      </c>
      <c r="N146" s="304">
        <f t="shared" ca="1" si="75"/>
        <v>72.22666619389949</v>
      </c>
      <c r="P146" s="310">
        <f t="shared" ca="1" si="76"/>
        <v>8</v>
      </c>
      <c r="Q146" s="304">
        <f t="shared" ca="1" si="77"/>
        <v>1930.4449440203566</v>
      </c>
      <c r="R146" s="306">
        <f t="shared" ca="1" si="78"/>
        <v>1.1609196617398632</v>
      </c>
      <c r="S146" s="307">
        <f t="shared" ca="1" si="79"/>
        <v>18.462991445519009</v>
      </c>
      <c r="T146" s="304">
        <f t="shared" ca="1" si="59"/>
        <v>181.12194608054148</v>
      </c>
      <c r="U146" s="311">
        <f t="shared" ca="1" si="60"/>
        <v>0</v>
      </c>
      <c r="V146" s="306">
        <f t="shared" ca="1" si="61"/>
        <v>1.2157208005992981</v>
      </c>
      <c r="W146" s="304">
        <f t="shared" ca="1" si="62"/>
        <v>94.88632411543793</v>
      </c>
      <c r="Y146" s="314" t="str">
        <f t="shared" ca="1" si="80"/>
        <v/>
      </c>
      <c r="Z146" s="315" t="str">
        <f t="shared" ca="1" si="81"/>
        <v/>
      </c>
      <c r="AA146" s="316" t="str">
        <f t="shared" ca="1" si="82"/>
        <v/>
      </c>
      <c r="AC146" s="310" t="e">
        <f t="shared" ca="1" si="83"/>
        <v>#N/A</v>
      </c>
      <c r="AD146" s="323" t="e">
        <f t="shared" ca="1" si="84"/>
        <v>#N/A</v>
      </c>
      <c r="AE146" s="324">
        <f t="shared" ca="1" si="63"/>
        <v>76.036549517860905</v>
      </c>
      <c r="AG146" s="306">
        <f t="shared" ca="1" si="85"/>
        <v>90.153775379045214</v>
      </c>
      <c r="AH146" s="304">
        <f t="shared" ca="1" si="86"/>
        <v>99.496322232419217</v>
      </c>
    </row>
    <row r="147" spans="1:34" x14ac:dyDescent="0.2">
      <c r="A147" s="347">
        <f t="shared" ca="1" si="64"/>
        <v>0.01</v>
      </c>
      <c r="B147" s="304">
        <f t="shared" ca="1" si="65"/>
        <v>1.430000000000001</v>
      </c>
      <c r="D147" s="306">
        <f t="shared" ca="1" si="66"/>
        <v>30.392705557542371</v>
      </c>
      <c r="E147" s="307">
        <f t="shared" ca="1" si="67"/>
        <v>85.003780483667342</v>
      </c>
      <c r="F147" s="304">
        <f t="shared" ca="1" si="68"/>
        <v>90.273801557389689</v>
      </c>
      <c r="G147" s="306">
        <f t="shared" ca="1" si="69"/>
        <v>36.14493710905721</v>
      </c>
      <c r="H147" s="307">
        <f t="shared" ca="1" si="70"/>
        <v>112.66047380204984</v>
      </c>
      <c r="I147" s="304">
        <f t="shared" ca="1" si="71"/>
        <v>118.31668874643196</v>
      </c>
      <c r="J147" s="306">
        <f t="shared" ca="1" si="72"/>
        <v>23.404247553912789</v>
      </c>
      <c r="K147" s="307">
        <f t="shared" ca="1" si="73"/>
        <v>77.158904066857218</v>
      </c>
      <c r="L147" s="304">
        <f t="shared" ca="1" si="58"/>
        <v>80.630362025500716</v>
      </c>
      <c r="M147" s="306">
        <f t="shared" ca="1" si="74"/>
        <v>1.2603400388977053</v>
      </c>
      <c r="N147" s="304">
        <f t="shared" ca="1" si="75"/>
        <v>72.212164980192526</v>
      </c>
      <c r="P147" s="310">
        <f t="shared" ca="1" si="76"/>
        <v>8</v>
      </c>
      <c r="Q147" s="304">
        <f t="shared" ca="1" si="77"/>
        <v>1932.0139643765906</v>
      </c>
      <c r="R147" s="306">
        <f t="shared" ca="1" si="78"/>
        <v>1.1618632300021254</v>
      </c>
      <c r="S147" s="307">
        <f t="shared" ca="1" si="79"/>
        <v>18.451372813218988</v>
      </c>
      <c r="T147" s="304">
        <f t="shared" ca="1" si="59"/>
        <v>181.00796729767828</v>
      </c>
      <c r="U147" s="311">
        <f t="shared" ca="1" si="60"/>
        <v>0</v>
      </c>
      <c r="V147" s="306">
        <f t="shared" ca="1" si="61"/>
        <v>1.2155843592777706</v>
      </c>
      <c r="W147" s="304">
        <f t="shared" ca="1" si="62"/>
        <v>96.339378937182516</v>
      </c>
      <c r="Y147" s="314" t="str">
        <f t="shared" ca="1" si="80"/>
        <v/>
      </c>
      <c r="Z147" s="315" t="str">
        <f t="shared" ca="1" si="81"/>
        <v/>
      </c>
      <c r="AA147" s="316" t="str">
        <f t="shared" ca="1" si="82"/>
        <v/>
      </c>
      <c r="AC147" s="310" t="e">
        <f t="shared" ca="1" si="83"/>
        <v>#N/A</v>
      </c>
      <c r="AD147" s="323" t="e">
        <f t="shared" ca="1" si="84"/>
        <v>#N/A</v>
      </c>
      <c r="AE147" s="324">
        <f t="shared" ca="1" si="63"/>
        <v>77.158904066857218</v>
      </c>
      <c r="AG147" s="306">
        <f t="shared" ca="1" si="85"/>
        <v>90.224121368697965</v>
      </c>
      <c r="AH147" s="304">
        <f t="shared" ca="1" si="86"/>
        <v>99.565905413010356</v>
      </c>
    </row>
    <row r="148" spans="1:34" x14ac:dyDescent="0.2">
      <c r="A148" s="347">
        <f t="shared" ca="1" si="64"/>
        <v>0.01</v>
      </c>
      <c r="B148" s="304">
        <f t="shared" ca="1" si="65"/>
        <v>1.4400000000000011</v>
      </c>
      <c r="D148" s="306">
        <f t="shared" ca="1" si="66"/>
        <v>30.437803302653563</v>
      </c>
      <c r="E148" s="307">
        <f t="shared" ca="1" si="67"/>
        <v>85.061858020504729</v>
      </c>
      <c r="F148" s="304">
        <f t="shared" ca="1" si="68"/>
        <v>90.343674708257979</v>
      </c>
      <c r="G148" s="306">
        <f t="shared" ca="1" si="69"/>
        <v>36.449315142083748</v>
      </c>
      <c r="H148" s="307">
        <f t="shared" ca="1" si="70"/>
        <v>113.51109238225489</v>
      </c>
      <c r="I148" s="304">
        <f t="shared" ca="1" si="71"/>
        <v>119.21963205839774</v>
      </c>
      <c r="J148" s="306">
        <f t="shared" ca="1" si="72"/>
        <v>23.767218815168494</v>
      </c>
      <c r="K148" s="307">
        <f t="shared" ca="1" si="73"/>
        <v>78.289761897778746</v>
      </c>
      <c r="L148" s="304">
        <f t="shared" ca="1" si="58"/>
        <v>81.81789234769488</v>
      </c>
      <c r="M148" s="306">
        <f t="shared" ca="1" si="74"/>
        <v>1.2600886635401238</v>
      </c>
      <c r="N148" s="304">
        <f t="shared" ca="1" si="75"/>
        <v>72.197762233129509</v>
      </c>
      <c r="P148" s="310">
        <f t="shared" ca="1" si="76"/>
        <v>8</v>
      </c>
      <c r="Q148" s="304">
        <f t="shared" ca="1" si="77"/>
        <v>1933.5829847328248</v>
      </c>
      <c r="R148" s="306">
        <f t="shared" ca="1" si="78"/>
        <v>1.1628067982643877</v>
      </c>
      <c r="S148" s="307">
        <f t="shared" ca="1" si="79"/>
        <v>18.439744745236343</v>
      </c>
      <c r="T148" s="304">
        <f t="shared" ca="1" si="59"/>
        <v>180.89389595076852</v>
      </c>
      <c r="U148" s="311">
        <f t="shared" ca="1" si="60"/>
        <v>0</v>
      </c>
      <c r="V148" s="306">
        <f t="shared" ca="1" si="61"/>
        <v>1.2154468996650525</v>
      </c>
      <c r="W148" s="304">
        <f t="shared" ca="1" si="62"/>
        <v>97.804372178597035</v>
      </c>
      <c r="Y148" s="314" t="str">
        <f t="shared" ca="1" si="80"/>
        <v/>
      </c>
      <c r="Z148" s="315" t="str">
        <f t="shared" ca="1" si="81"/>
        <v/>
      </c>
      <c r="AA148" s="316" t="str">
        <f t="shared" ca="1" si="82"/>
        <v/>
      </c>
      <c r="AC148" s="310" t="e">
        <f t="shared" ca="1" si="83"/>
        <v>#N/A</v>
      </c>
      <c r="AD148" s="323" t="e">
        <f t="shared" ca="1" si="84"/>
        <v>#N/A</v>
      </c>
      <c r="AE148" s="324">
        <f t="shared" ca="1" si="63"/>
        <v>78.289761897778746</v>
      </c>
      <c r="AG148" s="306">
        <f t="shared" ca="1" si="85"/>
        <v>90.293954524713627</v>
      </c>
      <c r="AH148" s="304">
        <f t="shared" ca="1" si="86"/>
        <v>99.634980374132837</v>
      </c>
    </row>
    <row r="149" spans="1:34" x14ac:dyDescent="0.2">
      <c r="A149" s="347">
        <f t="shared" ca="1" si="64"/>
        <v>0.01</v>
      </c>
      <c r="B149" s="304">
        <f t="shared" ca="1" si="65"/>
        <v>1.4500000000000011</v>
      </c>
      <c r="D149" s="306">
        <f t="shared" ca="1" si="66"/>
        <v>30.482613442270711</v>
      </c>
      <c r="E149" s="307">
        <f t="shared" ca="1" si="67"/>
        <v>85.119485972787658</v>
      </c>
      <c r="F149" s="304">
        <f t="shared" ca="1" si="68"/>
        <v>90.41303343292104</v>
      </c>
      <c r="G149" s="306">
        <f t="shared" ca="1" si="69"/>
        <v>36.754141276506452</v>
      </c>
      <c r="H149" s="307">
        <f t="shared" ca="1" si="70"/>
        <v>114.36228724198277</v>
      </c>
      <c r="I149" s="304">
        <f t="shared" ca="1" si="71"/>
        <v>120.12326853774489</v>
      </c>
      <c r="J149" s="306">
        <f t="shared" ca="1" si="72"/>
        <v>24.133236097261445</v>
      </c>
      <c r="K149" s="307">
        <f t="shared" ca="1" si="73"/>
        <v>79.429128795899928</v>
      </c>
      <c r="L149" s="304">
        <f t="shared" ca="1" si="58"/>
        <v>83.014454077599169</v>
      </c>
      <c r="M149" s="306">
        <f t="shared" ca="1" si="74"/>
        <v>1.259838983706312</v>
      </c>
      <c r="N149" s="304">
        <f t="shared" ca="1" si="75"/>
        <v>72.183456632422562</v>
      </c>
      <c r="P149" s="310">
        <f t="shared" ca="1" si="76"/>
        <v>8</v>
      </c>
      <c r="Q149" s="304">
        <f t="shared" ca="1" si="77"/>
        <v>1935.1520050890588</v>
      </c>
      <c r="R149" s="306">
        <f t="shared" ca="1" si="78"/>
        <v>1.1637503665266498</v>
      </c>
      <c r="S149" s="307">
        <f t="shared" ca="1" si="79"/>
        <v>18.428107241571077</v>
      </c>
      <c r="T149" s="304">
        <f t="shared" ca="1" si="59"/>
        <v>180.77973203981227</v>
      </c>
      <c r="U149" s="311">
        <f t="shared" ca="1" si="60"/>
        <v>0</v>
      </c>
      <c r="V149" s="306">
        <f t="shared" ca="1" si="61"/>
        <v>1.2153084214047265</v>
      </c>
      <c r="W149" s="304">
        <f t="shared" ca="1" si="62"/>
        <v>99.281313442523015</v>
      </c>
      <c r="Y149" s="314" t="str">
        <f t="shared" ca="1" si="80"/>
        <v/>
      </c>
      <c r="Z149" s="315" t="str">
        <f t="shared" ca="1" si="81"/>
        <v/>
      </c>
      <c r="AA149" s="316" t="str">
        <f t="shared" ca="1" si="82"/>
        <v/>
      </c>
      <c r="AC149" s="310" t="e">
        <f t="shared" ca="1" si="83"/>
        <v>#N/A</v>
      </c>
      <c r="AD149" s="323" t="e">
        <f t="shared" ca="1" si="84"/>
        <v>#N/A</v>
      </c>
      <c r="AE149" s="324">
        <f t="shared" ca="1" si="63"/>
        <v>79.429128795899928</v>
      </c>
      <c r="AG149" s="306">
        <f t="shared" ca="1" si="85"/>
        <v>90.363273510371016</v>
      </c>
      <c r="AH149" s="304">
        <f t="shared" ca="1" si="86"/>
        <v>99.703545720945115</v>
      </c>
    </row>
    <row r="150" spans="1:34" x14ac:dyDescent="0.2">
      <c r="A150" s="347">
        <f t="shared" ca="1" si="64"/>
        <v>0.01</v>
      </c>
      <c r="B150" s="304">
        <f t="shared" ca="1" si="65"/>
        <v>1.4600000000000011</v>
      </c>
      <c r="D150" s="306">
        <f t="shared" ca="1" si="66"/>
        <v>30.527137073798389</v>
      </c>
      <c r="E150" s="307">
        <f t="shared" ca="1" si="67"/>
        <v>85.176662657812813</v>
      </c>
      <c r="F150" s="304">
        <f t="shared" ca="1" si="68"/>
        <v>90.481876414259446</v>
      </c>
      <c r="G150" s="306">
        <f t="shared" ca="1" si="69"/>
        <v>37.059412647244436</v>
      </c>
      <c r="H150" s="307">
        <f t="shared" ca="1" si="70"/>
        <v>115.2140538685609</v>
      </c>
      <c r="I150" s="304">
        <f t="shared" ca="1" si="71"/>
        <v>121.02759302979793</v>
      </c>
      <c r="J150" s="306">
        <f t="shared" ca="1" si="72"/>
        <v>24.502303866880201</v>
      </c>
      <c r="K150" s="307">
        <f t="shared" ca="1" si="73"/>
        <v>80.577010501452648</v>
      </c>
      <c r="L150" s="304">
        <f t="shared" ca="1" si="58"/>
        <v>84.220054120952341</v>
      </c>
      <c r="M150" s="306">
        <f t="shared" ca="1" si="74"/>
        <v>1.2595909768112634</v>
      </c>
      <c r="N150" s="304">
        <f t="shared" ca="1" si="75"/>
        <v>72.169246884046132</v>
      </c>
      <c r="P150" s="310">
        <f t="shared" ca="1" si="76"/>
        <v>8</v>
      </c>
      <c r="Q150" s="304">
        <f t="shared" ca="1" si="77"/>
        <v>1936.721025445293</v>
      </c>
      <c r="R150" s="306">
        <f t="shared" ca="1" si="78"/>
        <v>1.1646939347889123</v>
      </c>
      <c r="S150" s="307">
        <f t="shared" ca="1" si="79"/>
        <v>18.416460302223186</v>
      </c>
      <c r="T150" s="304">
        <f t="shared" ca="1" si="59"/>
        <v>180.66547556480947</v>
      </c>
      <c r="U150" s="311">
        <f t="shared" ca="1" si="60"/>
        <v>0</v>
      </c>
      <c r="V150" s="306">
        <f t="shared" ca="1" si="61"/>
        <v>1.2151689241486778</v>
      </c>
      <c r="W150" s="304">
        <f t="shared" ca="1" si="62"/>
        <v>100.77021200276258</v>
      </c>
      <c r="Y150" s="314" t="str">
        <f t="shared" ca="1" si="80"/>
        <v/>
      </c>
      <c r="Z150" s="315" t="str">
        <f t="shared" ca="1" si="81"/>
        <v/>
      </c>
      <c r="AA150" s="316" t="str">
        <f t="shared" ca="1" si="82"/>
        <v/>
      </c>
      <c r="AC150" s="310" t="e">
        <f t="shared" ca="1" si="83"/>
        <v>#N/A</v>
      </c>
      <c r="AD150" s="323" t="e">
        <f t="shared" ca="1" si="84"/>
        <v>#N/A</v>
      </c>
      <c r="AE150" s="324">
        <f t="shared" ca="1" si="63"/>
        <v>80.577010501452648</v>
      </c>
      <c r="AG150" s="306">
        <f t="shared" ca="1" si="85"/>
        <v>90.432077000556902</v>
      </c>
      <c r="AH150" s="304">
        <f t="shared" ca="1" si="86"/>
        <v>99.771600071320933</v>
      </c>
    </row>
    <row r="151" spans="1:34" x14ac:dyDescent="0.2">
      <c r="A151" s="347">
        <f t="shared" ca="1" si="64"/>
        <v>0.01</v>
      </c>
      <c r="B151" s="304">
        <f t="shared" ca="1" si="65"/>
        <v>1.4700000000000011</v>
      </c>
      <c r="D151" s="306">
        <f t="shared" ca="1" si="66"/>
        <v>30.571375263879521</v>
      </c>
      <c r="E151" s="307">
        <f t="shared" ca="1" si="67"/>
        <v>85.233386413478513</v>
      </c>
      <c r="F151" s="304">
        <f t="shared" ca="1" si="68"/>
        <v>90.550202346732988</v>
      </c>
      <c r="G151" s="306">
        <f t="shared" ca="1" si="69"/>
        <v>37.365126399883231</v>
      </c>
      <c r="H151" s="307">
        <f t="shared" ca="1" si="70"/>
        <v>116.06638773269569</v>
      </c>
      <c r="I151" s="304">
        <f t="shared" ca="1" si="71"/>
        <v>121.93260036674238</v>
      </c>
      <c r="J151" s="306">
        <f t="shared" ca="1" si="72"/>
        <v>24.87442656211584</v>
      </c>
      <c r="K151" s="307">
        <f t="shared" ca="1" si="73"/>
        <v>81.733412709458932</v>
      </c>
      <c r="L151" s="304">
        <f t="shared" ca="1" si="58"/>
        <v>85.434699331880594</v>
      </c>
      <c r="M151" s="306">
        <f t="shared" ca="1" si="74"/>
        <v>1.2593446207161241</v>
      </c>
      <c r="N151" s="304">
        <f t="shared" ca="1" si="75"/>
        <v>72.155131719537323</v>
      </c>
      <c r="P151" s="310">
        <f t="shared" ca="1" si="76"/>
        <v>8</v>
      </c>
      <c r="Q151" s="304">
        <f t="shared" ca="1" si="77"/>
        <v>1938.290045801527</v>
      </c>
      <c r="R151" s="306">
        <f t="shared" ca="1" si="78"/>
        <v>1.1656375030511743</v>
      </c>
      <c r="S151" s="307">
        <f t="shared" ca="1" si="79"/>
        <v>18.404803927192674</v>
      </c>
      <c r="T151" s="304">
        <f t="shared" ca="1" si="59"/>
        <v>180.55112652576014</v>
      </c>
      <c r="U151" s="311">
        <f t="shared" ca="1" si="60"/>
        <v>0</v>
      </c>
      <c r="V151" s="306">
        <f t="shared" ca="1" si="61"/>
        <v>1.2150284075571167</v>
      </c>
      <c r="W151" s="304">
        <f t="shared" ca="1" si="62"/>
        <v>102.27107680298157</v>
      </c>
      <c r="Y151" s="314" t="str">
        <f t="shared" ca="1" si="80"/>
        <v/>
      </c>
      <c r="Z151" s="315" t="str">
        <f t="shared" ca="1" si="81"/>
        <v/>
      </c>
      <c r="AA151" s="316" t="str">
        <f t="shared" ca="1" si="82"/>
        <v/>
      </c>
      <c r="AC151" s="310" t="e">
        <f t="shared" ca="1" si="83"/>
        <v>#N/A</v>
      </c>
      <c r="AD151" s="323" t="e">
        <f t="shared" ca="1" si="84"/>
        <v>#N/A</v>
      </c>
      <c r="AE151" s="324">
        <f t="shared" ca="1" si="63"/>
        <v>81.733412709458932</v>
      </c>
      <c r="AG151" s="306">
        <f t="shared" ca="1" si="85"/>
        <v>90.500363681888061</v>
      </c>
      <c r="AH151" s="304">
        <f t="shared" ca="1" si="86"/>
        <v>99.839142055942858</v>
      </c>
    </row>
    <row r="152" spans="1:34" x14ac:dyDescent="0.2">
      <c r="A152" s="347">
        <f t="shared" ca="1" si="64"/>
        <v>0.01</v>
      </c>
      <c r="B152" s="304">
        <f t="shared" ca="1" si="65"/>
        <v>1.4800000000000011</v>
      </c>
      <c r="D152" s="306">
        <f t="shared" ca="1" si="66"/>
        <v>30.615329049386109</v>
      </c>
      <c r="E152" s="307">
        <f t="shared" ca="1" si="67"/>
        <v>85.289655598146581</v>
      </c>
      <c r="F152" s="304">
        <f t="shared" ca="1" si="68"/>
        <v>90.618009936505672</v>
      </c>
      <c r="G152" s="306">
        <f t="shared" ca="1" si="69"/>
        <v>37.671279690377091</v>
      </c>
      <c r="H152" s="307">
        <f t="shared" ca="1" si="70"/>
        <v>116.91928428867715</v>
      </c>
      <c r="I152" s="304">
        <f t="shared" ca="1" si="71"/>
        <v>122.83828536774325</v>
      </c>
      <c r="J152" s="306">
        <f t="shared" ca="1" si="72"/>
        <v>25.249608592567142</v>
      </c>
      <c r="K152" s="307">
        <f t="shared" ca="1" si="73"/>
        <v>82.898341069565802</v>
      </c>
      <c r="L152" s="304">
        <f t="shared" ca="1" si="58"/>
        <v>86.658396512766728</v>
      </c>
      <c r="M152" s="306">
        <f t="shared" ca="1" si="74"/>
        <v>1.2590998937163884</v>
      </c>
      <c r="N152" s="304">
        <f t="shared" ca="1" si="75"/>
        <v>72.141109895319573</v>
      </c>
      <c r="P152" s="310">
        <f t="shared" ca="1" si="76"/>
        <v>8</v>
      </c>
      <c r="Q152" s="304">
        <f t="shared" ca="1" si="77"/>
        <v>1939.8590661577612</v>
      </c>
      <c r="R152" s="306">
        <f t="shared" ca="1" si="78"/>
        <v>1.1665810713134366</v>
      </c>
      <c r="S152" s="307">
        <f t="shared" ca="1" si="79"/>
        <v>18.393138116479541</v>
      </c>
      <c r="T152" s="304">
        <f t="shared" ca="1" si="59"/>
        <v>180.43668492266431</v>
      </c>
      <c r="U152" s="311">
        <f t="shared" ca="1" si="60"/>
        <v>0</v>
      </c>
      <c r="V152" s="306">
        <f t="shared" ca="1" si="61"/>
        <v>1.2148868712985967</v>
      </c>
      <c r="W152" s="304">
        <f t="shared" ca="1" si="62"/>
        <v>103.78391645562932</v>
      </c>
      <c r="Y152" s="314" t="str">
        <f t="shared" ca="1" si="80"/>
        <v/>
      </c>
      <c r="Z152" s="315" t="str">
        <f t="shared" ca="1" si="81"/>
        <v/>
      </c>
      <c r="AA152" s="316" t="str">
        <f t="shared" ca="1" si="82"/>
        <v/>
      </c>
      <c r="AC152" s="310" t="e">
        <f t="shared" ca="1" si="83"/>
        <v>#N/A</v>
      </c>
      <c r="AD152" s="323" t="e">
        <f t="shared" ca="1" si="84"/>
        <v>#N/A</v>
      </c>
      <c r="AE152" s="324">
        <f t="shared" ca="1" si="63"/>
        <v>82.898341069565802</v>
      </c>
      <c r="AG152" s="306">
        <f t="shared" ca="1" si="85"/>
        <v>90.568132252832442</v>
      </c>
      <c r="AH152" s="304">
        <f t="shared" ca="1" si="86"/>
        <v>99.906170318395638</v>
      </c>
    </row>
    <row r="153" spans="1:34" x14ac:dyDescent="0.2">
      <c r="A153" s="347">
        <f t="shared" ca="1" si="64"/>
        <v>0.01</v>
      </c>
      <c r="B153" s="304">
        <f t="shared" ca="1" si="65"/>
        <v>1.4900000000000011</v>
      </c>
      <c r="D153" s="306">
        <f t="shared" ca="1" si="66"/>
        <v>30.65899943837724</v>
      </c>
      <c r="E153" s="307">
        <f t="shared" ca="1" si="67"/>
        <v>85.345468590510706</v>
      </c>
      <c r="F153" s="304">
        <f t="shared" ca="1" si="68"/>
        <v>90.685297901568731</v>
      </c>
      <c r="G153" s="306">
        <f t="shared" ca="1" si="69"/>
        <v>37.977869684760861</v>
      </c>
      <c r="H153" s="307">
        <f t="shared" ca="1" si="70"/>
        <v>117.77273897458225</v>
      </c>
      <c r="I153" s="304">
        <f t="shared" ca="1" si="71"/>
        <v>123.74464283906502</v>
      </c>
      <c r="J153" s="306">
        <f t="shared" ca="1" si="72"/>
        <v>25.62785433944283</v>
      </c>
      <c r="K153" s="307">
        <f t="shared" ca="1" si="73"/>
        <v>84.071801185882094</v>
      </c>
      <c r="L153" s="304">
        <f t="shared" ca="1" si="58"/>
        <v>87.89115241412064</v>
      </c>
      <c r="M153" s="306">
        <f t="shared" ca="1" si="74"/>
        <v>1.2588567745304848</v>
      </c>
      <c r="N153" s="304">
        <f t="shared" ca="1" si="75"/>
        <v>72.127180192048641</v>
      </c>
      <c r="P153" s="310">
        <f t="shared" ca="1" si="76"/>
        <v>8</v>
      </c>
      <c r="Q153" s="304">
        <f t="shared" ca="1" si="77"/>
        <v>1941.4280865139951</v>
      </c>
      <c r="R153" s="306">
        <f t="shared" ca="1" si="78"/>
        <v>1.1675246395756989</v>
      </c>
      <c r="S153" s="307">
        <f t="shared" ca="1" si="79"/>
        <v>18.381462870083784</v>
      </c>
      <c r="T153" s="304">
        <f t="shared" ca="1" si="59"/>
        <v>180.32215075552193</v>
      </c>
      <c r="U153" s="311">
        <f t="shared" ca="1" si="60"/>
        <v>0</v>
      </c>
      <c r="V153" s="306">
        <f t="shared" ca="1" si="61"/>
        <v>1.2147443150500365</v>
      </c>
      <c r="W153" s="304">
        <f t="shared" ca="1" si="62"/>
        <v>105.30873924087767</v>
      </c>
      <c r="Y153" s="314" t="str">
        <f t="shared" ca="1" si="80"/>
        <v/>
      </c>
      <c r="Z153" s="315" t="str">
        <f t="shared" ca="1" si="81"/>
        <v/>
      </c>
      <c r="AA153" s="316" t="str">
        <f t="shared" ca="1" si="82"/>
        <v/>
      </c>
      <c r="AC153" s="310" t="e">
        <f t="shared" ca="1" si="83"/>
        <v>#N/A</v>
      </c>
      <c r="AD153" s="323" t="e">
        <f t="shared" ca="1" si="84"/>
        <v>#N/A</v>
      </c>
      <c r="AE153" s="324">
        <f t="shared" ca="1" si="63"/>
        <v>84.071801185882094</v>
      </c>
      <c r="AG153" s="306">
        <f t="shared" ca="1" si="85"/>
        <v>90.635381423828591</v>
      </c>
      <c r="AH153" s="304">
        <f t="shared" ca="1" si="86"/>
        <v>99.972683515258737</v>
      </c>
    </row>
    <row r="154" spans="1:34" x14ac:dyDescent="0.2">
      <c r="A154" s="347">
        <f t="shared" ca="1" si="64"/>
        <v>0.01</v>
      </c>
      <c r="B154" s="304">
        <f t="shared" ca="1" si="65"/>
        <v>1.5000000000000011</v>
      </c>
      <c r="D154" s="306">
        <f t="shared" ca="1" si="66"/>
        <v>30.702387411026216</v>
      </c>
      <c r="E154" s="307">
        <f t="shared" ca="1" si="67"/>
        <v>85.400823789471801</v>
      </c>
      <c r="F154" s="304">
        <f t="shared" ca="1" si="68"/>
        <v>90.752064971862509</v>
      </c>
      <c r="G154" s="306">
        <f t="shared" ca="1" si="69"/>
        <v>38.284893558871126</v>
      </c>
      <c r="H154" s="307">
        <f t="shared" ca="1" si="70"/>
        <v>118.62674721247697</v>
      </c>
      <c r="I154" s="304">
        <f t="shared" ca="1" si="71"/>
        <v>124.65166757419254</v>
      </c>
      <c r="J154" s="306">
        <f t="shared" ca="1" si="72"/>
        <v>26.009168155660991</v>
      </c>
      <c r="K154" s="307">
        <f t="shared" ca="1" si="73"/>
        <v>85.253798616817392</v>
      </c>
      <c r="L154" s="304">
        <f t="shared" ca="1" si="58"/>
        <v>89.132973734450843</v>
      </c>
      <c r="M154" s="306">
        <f t="shared" ca="1" si="74"/>
        <v>1.2586152422887369</v>
      </c>
      <c r="N154" s="304">
        <f t="shared" ca="1" si="75"/>
        <v>72.113341413980152</v>
      </c>
      <c r="P154" s="310">
        <f t="shared" ca="1" si="76"/>
        <v>8</v>
      </c>
      <c r="Q154" s="304">
        <f t="shared" ca="1" si="77"/>
        <v>1942.9971068702293</v>
      </c>
      <c r="R154" s="306">
        <f t="shared" ca="1" si="78"/>
        <v>1.1684682078379611</v>
      </c>
      <c r="S154" s="307">
        <f t="shared" ca="1" si="79"/>
        <v>18.369778188005405</v>
      </c>
      <c r="T154" s="304">
        <f t="shared" ca="1" si="59"/>
        <v>180.20752402433303</v>
      </c>
      <c r="U154" s="311">
        <f t="shared" ca="1" si="60"/>
        <v>0</v>
      </c>
      <c r="V154" s="306">
        <f t="shared" ca="1" si="61"/>
        <v>1.2146007384967381</v>
      </c>
      <c r="W154" s="304">
        <f t="shared" ca="1" si="62"/>
        <v>106.84555310557734</v>
      </c>
      <c r="Y154" s="314" t="str">
        <f t="shared" ca="1" si="80"/>
        <v/>
      </c>
      <c r="Z154" s="315" t="str">
        <f t="shared" ca="1" si="81"/>
        <v/>
      </c>
      <c r="AA154" s="316" t="str">
        <f t="shared" ca="1" si="82"/>
        <v/>
      </c>
      <c r="AC154" s="310" t="e">
        <f t="shared" ca="1" si="83"/>
        <v>#N/A</v>
      </c>
      <c r="AD154" s="323" t="e">
        <f t="shared" ca="1" si="84"/>
        <v>#N/A</v>
      </c>
      <c r="AE154" s="324">
        <f t="shared" ca="1" si="63"/>
        <v>85.253798616817392</v>
      </c>
      <c r="AG154" s="306">
        <f t="shared" ca="1" si="85"/>
        <v>90.702109917403831</v>
      </c>
      <c r="AH154" s="304">
        <f t="shared" ca="1" si="86"/>
        <v>100.03868031619865</v>
      </c>
    </row>
    <row r="155" spans="1:34" x14ac:dyDescent="0.2">
      <c r="A155" s="347">
        <f t="shared" ca="1" si="64"/>
        <v>0.01</v>
      </c>
      <c r="B155" s="304">
        <f t="shared" ca="1" si="65"/>
        <v>1.5100000000000011</v>
      </c>
      <c r="D155" s="306">
        <f t="shared" ca="1" si="66"/>
        <v>30.745493920517596</v>
      </c>
      <c r="E155" s="307">
        <f t="shared" ca="1" si="67"/>
        <v>85.455719614019245</v>
      </c>
      <c r="F155" s="304">
        <f t="shared" ca="1" si="68"/>
        <v>90.818309889396531</v>
      </c>
      <c r="G155" s="306">
        <f t="shared" ca="1" si="69"/>
        <v>38.592348498076305</v>
      </c>
      <c r="H155" s="307">
        <f t="shared" ca="1" si="70"/>
        <v>119.48130440861716</v>
      </c>
      <c r="I155" s="304">
        <f t="shared" ca="1" si="71"/>
        <v>125.5593543539533</v>
      </c>
      <c r="J155" s="306">
        <f t="shared" ca="1" si="72"/>
        <v>26.393554365945729</v>
      </c>
      <c r="K155" s="307">
        <f t="shared" ca="1" si="73"/>
        <v>86.444338874922863</v>
      </c>
      <c r="L155" s="304">
        <f t="shared" ca="1" si="58"/>
        <v>90.383867120137282</v>
      </c>
      <c r="M155" s="306">
        <f t="shared" ca="1" si="74"/>
        <v>1.2583752765226843</v>
      </c>
      <c r="N155" s="304">
        <f t="shared" ca="1" si="75"/>
        <v>72.099592388357721</v>
      </c>
      <c r="P155" s="310">
        <f t="shared" ca="1" si="76"/>
        <v>8</v>
      </c>
      <c r="Q155" s="304">
        <f t="shared" ca="1" si="77"/>
        <v>1944.5661272264633</v>
      </c>
      <c r="R155" s="306">
        <f t="shared" ca="1" si="78"/>
        <v>1.1694117761002234</v>
      </c>
      <c r="S155" s="307">
        <f t="shared" ca="1" si="79"/>
        <v>18.358084070244402</v>
      </c>
      <c r="T155" s="304">
        <f t="shared" ca="1" si="59"/>
        <v>180.09280472909759</v>
      </c>
      <c r="U155" s="311">
        <f t="shared" ca="1" si="60"/>
        <v>0</v>
      </c>
      <c r="V155" s="306">
        <f t="shared" ca="1" si="61"/>
        <v>1.2144561413324075</v>
      </c>
      <c r="W155" s="304">
        <f t="shared" ca="1" si="62"/>
        <v>108.39436566223324</v>
      </c>
      <c r="Y155" s="314" t="str">
        <f t="shared" ca="1" si="80"/>
        <v/>
      </c>
      <c r="Z155" s="315" t="str">
        <f t="shared" ca="1" si="81"/>
        <v/>
      </c>
      <c r="AA155" s="316" t="str">
        <f t="shared" ca="1" si="82"/>
        <v/>
      </c>
      <c r="AC155" s="310" t="e">
        <f t="shared" ca="1" si="83"/>
        <v>#N/A</v>
      </c>
      <c r="AD155" s="323" t="e">
        <f t="shared" ca="1" si="84"/>
        <v>#N/A</v>
      </c>
      <c r="AE155" s="324">
        <f t="shared" ca="1" si="63"/>
        <v>86.444338874922863</v>
      </c>
      <c r="AG155" s="306">
        <f t="shared" ca="1" si="85"/>
        <v>90.768316468290934</v>
      </c>
      <c r="AH155" s="304">
        <f t="shared" ca="1" si="86"/>
        <v>100.10415940406031</v>
      </c>
    </row>
    <row r="156" spans="1:34" x14ac:dyDescent="0.2">
      <c r="A156" s="347">
        <f t="shared" ca="1" si="64"/>
        <v>0.01</v>
      </c>
      <c r="B156" s="304">
        <f t="shared" ca="1" si="65"/>
        <v>1.5200000000000011</v>
      </c>
      <c r="D156" s="306">
        <f t="shared" ca="1" si="66"/>
        <v>30.788319893915709</v>
      </c>
      <c r="E156" s="307">
        <f t="shared" ca="1" si="67"/>
        <v>85.5101545031185</v>
      </c>
      <c r="F156" s="304">
        <f t="shared" ca="1" si="68"/>
        <v>90.884031408368344</v>
      </c>
      <c r="G156" s="306">
        <f t="shared" ca="1" si="69"/>
        <v>38.900231697015464</v>
      </c>
      <c r="H156" s="307">
        <f t="shared" ca="1" si="70"/>
        <v>120.33640595364835</v>
      </c>
      <c r="I156" s="304">
        <f t="shared" ca="1" si="71"/>
        <v>126.46769794664067</v>
      </c>
      <c r="J156" s="306">
        <f t="shared" ca="1" si="72"/>
        <v>26.781017266921186</v>
      </c>
      <c r="K156" s="307">
        <f t="shared" ca="1" si="73"/>
        <v>87.643427426734192</v>
      </c>
      <c r="L156" s="304">
        <f t="shared" ca="1" si="58"/>
        <v>91.643839165305351</v>
      </c>
      <c r="M156" s="306">
        <f t="shared" ca="1" si="74"/>
        <v>1.2581368571547509</v>
      </c>
      <c r="N156" s="304">
        <f t="shared" ca="1" si="75"/>
        <v>72.085931964820958</v>
      </c>
      <c r="P156" s="310">
        <f t="shared" ca="1" si="76"/>
        <v>8</v>
      </c>
      <c r="Q156" s="304">
        <f t="shared" ca="1" si="77"/>
        <v>1946.1351475826975</v>
      </c>
      <c r="R156" s="306">
        <f t="shared" ca="1" si="78"/>
        <v>1.1703553443624857</v>
      </c>
      <c r="S156" s="307">
        <f t="shared" ca="1" si="79"/>
        <v>18.346380516800778</v>
      </c>
      <c r="T156" s="304">
        <f t="shared" ca="1" si="59"/>
        <v>179.97799286981564</v>
      </c>
      <c r="U156" s="311">
        <f t="shared" ca="1" si="60"/>
        <v>0</v>
      </c>
      <c r="V156" s="306">
        <f t="shared" ca="1" si="61"/>
        <v>1.2143105232591733</v>
      </c>
      <c r="W156" s="304">
        <f t="shared" ca="1" si="62"/>
        <v>109.95518418799801</v>
      </c>
      <c r="Y156" s="314" t="str">
        <f t="shared" ca="1" si="80"/>
        <v/>
      </c>
      <c r="Z156" s="315" t="str">
        <f t="shared" ca="1" si="81"/>
        <v/>
      </c>
      <c r="AA156" s="316" t="str">
        <f t="shared" ca="1" si="82"/>
        <v/>
      </c>
      <c r="AC156" s="310" t="e">
        <f t="shared" ca="1" si="83"/>
        <v>#N/A</v>
      </c>
      <c r="AD156" s="323" t="e">
        <f t="shared" ca="1" si="84"/>
        <v>#N/A</v>
      </c>
      <c r="AE156" s="324">
        <f t="shared" ca="1" si="63"/>
        <v>87.643427426734192</v>
      </c>
      <c r="AG156" s="306">
        <f t="shared" ca="1" si="85"/>
        <v>90.833999823543564</v>
      </c>
      <c r="AH156" s="304">
        <f t="shared" ca="1" si="86"/>
        <v>100.16911947495829</v>
      </c>
    </row>
    <row r="157" spans="1:34" x14ac:dyDescent="0.2">
      <c r="A157" s="347">
        <f t="shared" ca="1" si="64"/>
        <v>0.01</v>
      </c>
      <c r="B157" s="304">
        <f t="shared" ca="1" si="65"/>
        <v>1.5300000000000011</v>
      </c>
      <c r="D157" s="306">
        <f t="shared" ca="1" si="66"/>
        <v>30.830866233005416</v>
      </c>
      <c r="E157" s="307">
        <f t="shared" ca="1" si="67"/>
        <v>85.564126915604362</v>
      </c>
      <c r="F157" s="304">
        <f t="shared" ca="1" si="68"/>
        <v>90.949228295280903</v>
      </c>
      <c r="G157" s="306">
        <f t="shared" ca="1" si="69"/>
        <v>39.20854035934552</v>
      </c>
      <c r="H157" s="307">
        <f t="shared" ca="1" si="70"/>
        <v>121.19204722280439</v>
      </c>
      <c r="I157" s="304">
        <f t="shared" ca="1" si="71"/>
        <v>127.37669310813841</v>
      </c>
      <c r="J157" s="306">
        <f t="shared" ca="1" si="72"/>
        <v>27.171561127202992</v>
      </c>
      <c r="K157" s="307">
        <f t="shared" ca="1" si="73"/>
        <v>88.851069692616448</v>
      </c>
      <c r="L157" s="304">
        <f t="shared" ca="1" si="58"/>
        <v>92.912896411701183</v>
      </c>
      <c r="M157" s="306">
        <f t="shared" ca="1" si="74"/>
        <v>1.2578999644882454</v>
      </c>
      <c r="N157" s="304">
        <f t="shared" ca="1" si="75"/>
        <v>72.072359014832585</v>
      </c>
      <c r="P157" s="310">
        <f t="shared" ca="1" si="76"/>
        <v>8</v>
      </c>
      <c r="Q157" s="304">
        <f t="shared" ca="1" si="77"/>
        <v>1947.7041679389317</v>
      </c>
      <c r="R157" s="306">
        <f t="shared" ca="1" si="78"/>
        <v>1.1712989126247479</v>
      </c>
      <c r="S157" s="307">
        <f t="shared" ca="1" si="79"/>
        <v>18.334667527674529</v>
      </c>
      <c r="T157" s="304">
        <f t="shared" ca="1" si="59"/>
        <v>179.86308844648715</v>
      </c>
      <c r="U157" s="311">
        <f t="shared" ca="1" si="60"/>
        <v>0</v>
      </c>
      <c r="V157" s="306">
        <f t="shared" ca="1" si="61"/>
        <v>1.2141638839876052</v>
      </c>
      <c r="W157" s="304">
        <f t="shared" ca="1" si="62"/>
        <v>111.5280156236844</v>
      </c>
      <c r="Y157" s="314" t="str">
        <f t="shared" ca="1" si="80"/>
        <v/>
      </c>
      <c r="Z157" s="315" t="str">
        <f t="shared" ca="1" si="81"/>
        <v/>
      </c>
      <c r="AA157" s="316" t="str">
        <f t="shared" ca="1" si="82"/>
        <v/>
      </c>
      <c r="AC157" s="310" t="e">
        <f t="shared" ca="1" si="83"/>
        <v>#N/A</v>
      </c>
      <c r="AD157" s="323" t="e">
        <f t="shared" ca="1" si="84"/>
        <v>#N/A</v>
      </c>
      <c r="AE157" s="324">
        <f t="shared" ca="1" si="63"/>
        <v>88.851069692616448</v>
      </c>
      <c r="AG157" s="306">
        <f t="shared" ca="1" si="85"/>
        <v>90.899158742650428</v>
      </c>
      <c r="AH157" s="304">
        <f t="shared" ca="1" si="86"/>
        <v>100.23355923836728</v>
      </c>
    </row>
    <row r="158" spans="1:34" x14ac:dyDescent="0.2">
      <c r="A158" s="347">
        <f t="shared" ca="1" si="64"/>
        <v>0.01</v>
      </c>
      <c r="B158" s="304">
        <f t="shared" ca="1" si="65"/>
        <v>1.5400000000000011</v>
      </c>
      <c r="D158" s="306">
        <f t="shared" ca="1" si="66"/>
        <v>30.873133815106382</v>
      </c>
      <c r="E158" s="307">
        <f t="shared" ca="1" si="67"/>
        <v>85.617635330079622</v>
      </c>
      <c r="F158" s="304">
        <f t="shared" ca="1" si="68"/>
        <v>91.013899329058319</v>
      </c>
      <c r="G158" s="306">
        <f t="shared" ca="1" si="69"/>
        <v>39.517271697496582</v>
      </c>
      <c r="H158" s="307">
        <f t="shared" ca="1" si="70"/>
        <v>122.04822357610519</v>
      </c>
      <c r="I158" s="304">
        <f t="shared" ca="1" si="71"/>
        <v>128.28633458204627</v>
      </c>
      <c r="J158" s="306">
        <f t="shared" ca="1" si="72"/>
        <v>27.565190187487204</v>
      </c>
      <c r="K158" s="307">
        <f t="shared" ca="1" si="73"/>
        <v>90.067271046610998</v>
      </c>
      <c r="L158" s="304">
        <f t="shared" ca="1" si="58"/>
        <v>94.19104534856821</v>
      </c>
      <c r="M158" s="306">
        <f t="shared" ca="1" si="74"/>
        <v>1.2576645791976808</v>
      </c>
      <c r="N158" s="304">
        <f t="shared" ca="1" si="75"/>
        <v>72.058872431123788</v>
      </c>
      <c r="P158" s="310">
        <f t="shared" ca="1" si="76"/>
        <v>8</v>
      </c>
      <c r="Q158" s="304">
        <f t="shared" ca="1" si="77"/>
        <v>1949.2731882951657</v>
      </c>
      <c r="R158" s="306">
        <f t="shared" ca="1" si="78"/>
        <v>1.1722424808870102</v>
      </c>
      <c r="S158" s="307">
        <f t="shared" ca="1" si="79"/>
        <v>18.32294510286566</v>
      </c>
      <c r="T158" s="304">
        <f t="shared" ca="1" si="59"/>
        <v>179.74809145911212</v>
      </c>
      <c r="U158" s="311">
        <f t="shared" ca="1" si="60"/>
        <v>0</v>
      </c>
      <c r="V158" s="306">
        <f t="shared" ca="1" si="61"/>
        <v>1.2140162232367331</v>
      </c>
      <c r="W158" s="304">
        <f t="shared" ca="1" si="62"/>
        <v>113.11286657279626</v>
      </c>
      <c r="Y158" s="314" t="str">
        <f t="shared" ca="1" si="80"/>
        <v/>
      </c>
      <c r="Z158" s="315" t="str">
        <f t="shared" ca="1" si="81"/>
        <v/>
      </c>
      <c r="AA158" s="316" t="str">
        <f t="shared" ca="1" si="82"/>
        <v/>
      </c>
      <c r="AC158" s="310" t="e">
        <f t="shared" ca="1" si="83"/>
        <v>#N/A</v>
      </c>
      <c r="AD158" s="323" t="e">
        <f t="shared" ca="1" si="84"/>
        <v>#N/A</v>
      </c>
      <c r="AE158" s="324">
        <f t="shared" ca="1" si="63"/>
        <v>90.067271046610998</v>
      </c>
      <c r="AG158" s="306">
        <f t="shared" ca="1" si="85"/>
        <v>90.96379199764786</v>
      </c>
      <c r="AH158" s="304">
        <f t="shared" ca="1" si="86"/>
        <v>100.29747741721187</v>
      </c>
    </row>
    <row r="159" spans="1:34" x14ac:dyDescent="0.2">
      <c r="A159" s="347">
        <f t="shared" ca="1" si="64"/>
        <v>0.01</v>
      </c>
      <c r="B159" s="304">
        <f t="shared" ca="1" si="65"/>
        <v>1.5500000000000012</v>
      </c>
      <c r="D159" s="306">
        <f t="shared" ca="1" si="66"/>
        <v>30.915123493862048</v>
      </c>
      <c r="E159" s="307">
        <f t="shared" ca="1" si="67"/>
        <v>85.670678244819314</v>
      </c>
      <c r="F159" s="304">
        <f t="shared" ca="1" si="68"/>
        <v>91.078043301160676</v>
      </c>
      <c r="G159" s="306">
        <f t="shared" ca="1" si="69"/>
        <v>39.8264229324352</v>
      </c>
      <c r="H159" s="307">
        <f t="shared" ca="1" si="70"/>
        <v>122.90493035855339</v>
      </c>
      <c r="I159" s="304">
        <f t="shared" ca="1" si="71"/>
        <v>129.19661709980667</v>
      </c>
      <c r="J159" s="306">
        <f t="shared" ca="1" si="72"/>
        <v>27.961908660636862</v>
      </c>
      <c r="K159" s="307">
        <f t="shared" ca="1" si="73"/>
        <v>91.292036816284295</v>
      </c>
      <c r="L159" s="304">
        <f t="shared" ca="1" si="58"/>
        <v>95.47829241252488</v>
      </c>
      <c r="M159" s="306">
        <f t="shared" ca="1" si="74"/>
        <v>1.2574306823194046</v>
      </c>
      <c r="N159" s="304">
        <f t="shared" ca="1" si="75"/>
        <v>72.045471127157271</v>
      </c>
      <c r="P159" s="310">
        <f t="shared" ca="1" si="76"/>
        <v>8</v>
      </c>
      <c r="Q159" s="304">
        <f t="shared" ca="1" si="77"/>
        <v>1950.8422086513999</v>
      </c>
      <c r="R159" s="306">
        <f t="shared" ca="1" si="78"/>
        <v>1.1731860491492725</v>
      </c>
      <c r="S159" s="307">
        <f t="shared" ca="1" si="79"/>
        <v>18.311213242374166</v>
      </c>
      <c r="T159" s="304">
        <f t="shared" ca="1" si="59"/>
        <v>179.63300190769058</v>
      </c>
      <c r="U159" s="311">
        <f t="shared" ca="1" si="60"/>
        <v>0</v>
      </c>
      <c r="V159" s="306">
        <f t="shared" ca="1" si="61"/>
        <v>1.2138675407340633</v>
      </c>
      <c r="W159" s="304">
        <f t="shared" ca="1" si="62"/>
        <v>114.70974330057884</v>
      </c>
      <c r="Y159" s="314" t="str">
        <f t="shared" ca="1" si="80"/>
        <v/>
      </c>
      <c r="Z159" s="315" t="str">
        <f t="shared" ca="1" si="81"/>
        <v/>
      </c>
      <c r="AA159" s="316" t="str">
        <f t="shared" ca="1" si="82"/>
        <v/>
      </c>
      <c r="AC159" s="310" t="e">
        <f t="shared" ca="1" si="83"/>
        <v>#N/A</v>
      </c>
      <c r="AD159" s="323" t="e">
        <f t="shared" ca="1" si="84"/>
        <v>#N/A</v>
      </c>
      <c r="AE159" s="324">
        <f t="shared" ca="1" si="63"/>
        <v>91.292036816284295</v>
      </c>
      <c r="AG159" s="306">
        <f t="shared" ca="1" si="85"/>
        <v>91.027898373231523</v>
      </c>
      <c r="AH159" s="304">
        <f t="shared" ca="1" si="86"/>
        <v>100.36087274795618</v>
      </c>
    </row>
    <row r="160" spans="1:34" x14ac:dyDescent="0.2">
      <c r="A160" s="347">
        <f t="shared" ca="1" si="64"/>
        <v>0.01</v>
      </c>
      <c r="B160" s="304">
        <f t="shared" ca="1" si="65"/>
        <v>1.5600000000000012</v>
      </c>
      <c r="D160" s="306">
        <f t="shared" ca="1" si="66"/>
        <v>30.956836100003652</v>
      </c>
      <c r="E160" s="307">
        <f t="shared" ca="1" si="67"/>
        <v>85.72325417767965</v>
      </c>
      <c r="F160" s="304">
        <f t="shared" ca="1" si="68"/>
        <v>91.141659015696874</v>
      </c>
      <c r="G160" s="306">
        <f t="shared" ca="1" si="69"/>
        <v>40.135991293435239</v>
      </c>
      <c r="H160" s="307">
        <f t="shared" ca="1" si="70"/>
        <v>123.76216290033018</v>
      </c>
      <c r="I160" s="304">
        <f t="shared" ca="1" si="71"/>
        <v>130.10753538083247</v>
      </c>
      <c r="J160" s="306">
        <f t="shared" ca="1" si="72"/>
        <v>28.361720731766216</v>
      </c>
      <c r="K160" s="307">
        <f t="shared" ca="1" si="73"/>
        <v>92.525372282578715</v>
      </c>
      <c r="L160" s="304">
        <f t="shared" ca="1" si="58"/>
        <v>96.774643987443753</v>
      </c>
      <c r="M160" s="306">
        <f t="shared" ca="1" si="74"/>
        <v>1.2571982552425203</v>
      </c>
      <c r="N160" s="304">
        <f t="shared" ca="1" si="75"/>
        <v>72.032154036607238</v>
      </c>
      <c r="P160" s="310">
        <f t="shared" ca="1" si="76"/>
        <v>8</v>
      </c>
      <c r="Q160" s="304">
        <f t="shared" ca="1" si="77"/>
        <v>1952.4112290076339</v>
      </c>
      <c r="R160" s="306">
        <f t="shared" ca="1" si="78"/>
        <v>1.1741296174115348</v>
      </c>
      <c r="S160" s="307">
        <f t="shared" ca="1" si="79"/>
        <v>18.29947194620005</v>
      </c>
      <c r="T160" s="304">
        <f t="shared" ca="1" si="59"/>
        <v>179.5178197922225</v>
      </c>
      <c r="U160" s="311">
        <f t="shared" ca="1" si="60"/>
        <v>0</v>
      </c>
      <c r="V160" s="306">
        <f t="shared" ca="1" si="61"/>
        <v>1.2137178362155991</v>
      </c>
      <c r="W160" s="304">
        <f t="shared" ca="1" si="62"/>
        <v>116.3186517330878</v>
      </c>
      <c r="Y160" s="314" t="str">
        <f t="shared" ca="1" si="80"/>
        <v/>
      </c>
      <c r="Z160" s="315" t="str">
        <f t="shared" ca="1" si="81"/>
        <v/>
      </c>
      <c r="AA160" s="316" t="str">
        <f t="shared" ca="1" si="82"/>
        <v/>
      </c>
      <c r="AC160" s="310" t="e">
        <f t="shared" ca="1" si="83"/>
        <v>#N/A</v>
      </c>
      <c r="AD160" s="323" t="e">
        <f t="shared" ca="1" si="84"/>
        <v>#N/A</v>
      </c>
      <c r="AE160" s="324">
        <f t="shared" ca="1" si="63"/>
        <v>92.525372282578715</v>
      </c>
      <c r="AG160" s="306">
        <f t="shared" ca="1" si="85"/>
        <v>91.091476666866384</v>
      </c>
      <c r="AH160" s="304">
        <f t="shared" ca="1" si="86"/>
        <v>100.42374398069231</v>
      </c>
    </row>
    <row r="161" spans="1:34" x14ac:dyDescent="0.2">
      <c r="A161" s="347">
        <f t="shared" ca="1" si="64"/>
        <v>0.01</v>
      </c>
      <c r="B161" s="304">
        <f t="shared" ca="1" si="65"/>
        <v>1.5700000000000012</v>
      </c>
      <c r="D161" s="306">
        <f t="shared" ca="1" si="66"/>
        <v>30.99827244209127</v>
      </c>
      <c r="E161" s="307">
        <f t="shared" ca="1" si="67"/>
        <v>85.775361666012003</v>
      </c>
      <c r="F161" s="304">
        <f t="shared" ca="1" si="68"/>
        <v>91.20474528953676</v>
      </c>
      <c r="G161" s="306">
        <f t="shared" ca="1" si="69"/>
        <v>40.445974017856152</v>
      </c>
      <c r="H161" s="307">
        <f t="shared" ca="1" si="70"/>
        <v>124.6199165169903</v>
      </c>
      <c r="I161" s="304">
        <f t="shared" ca="1" si="71"/>
        <v>131.0190841326359</v>
      </c>
      <c r="J161" s="306">
        <f t="shared" ca="1" si="72"/>
        <v>28.764630558322672</v>
      </c>
      <c r="K161" s="307">
        <f t="shared" ca="1" si="73"/>
        <v>93.767282679665314</v>
      </c>
      <c r="L161" s="304">
        <f t="shared" ca="1" si="58"/>
        <v>98.080106404331829</v>
      </c>
      <c r="M161" s="306">
        <f t="shared" ca="1" si="74"/>
        <v>1.2569672797000988</v>
      </c>
      <c r="N161" s="304">
        <f t="shared" ca="1" si="75"/>
        <v>72.018920112855739</v>
      </c>
      <c r="P161" s="310">
        <f t="shared" ca="1" si="76"/>
        <v>8</v>
      </c>
      <c r="Q161" s="304">
        <f t="shared" ca="1" si="77"/>
        <v>1953.9802493638681</v>
      </c>
      <c r="R161" s="306">
        <f t="shared" ca="1" si="78"/>
        <v>1.175073185673797</v>
      </c>
      <c r="S161" s="307">
        <f t="shared" ca="1" si="79"/>
        <v>18.287721214343314</v>
      </c>
      <c r="T161" s="304">
        <f t="shared" ca="1" si="59"/>
        <v>179.40254511270791</v>
      </c>
      <c r="U161" s="311">
        <f t="shared" ca="1" si="60"/>
        <v>0</v>
      </c>
      <c r="V161" s="306">
        <f t="shared" ca="1" si="61"/>
        <v>1.2135671094258567</v>
      </c>
      <c r="W161" s="304">
        <f t="shared" ca="1" si="62"/>
        <v>117.9395974562778</v>
      </c>
      <c r="Y161" s="314" t="str">
        <f t="shared" ca="1" si="80"/>
        <v/>
      </c>
      <c r="Z161" s="315" t="str">
        <f t="shared" ca="1" si="81"/>
        <v/>
      </c>
      <c r="AA161" s="316" t="str">
        <f t="shared" ca="1" si="82"/>
        <v/>
      </c>
      <c r="AC161" s="310" t="e">
        <f t="shared" ca="1" si="83"/>
        <v>#N/A</v>
      </c>
      <c r="AD161" s="323" t="e">
        <f t="shared" ca="1" si="84"/>
        <v>#N/A</v>
      </c>
      <c r="AE161" s="324">
        <f t="shared" ca="1" si="63"/>
        <v>93.767282679665314</v>
      </c>
      <c r="AG161" s="306">
        <f t="shared" ca="1" si="85"/>
        <v>91.154525688895887</v>
      </c>
      <c r="AH161" s="304">
        <f t="shared" ca="1" si="86"/>
        <v>100.48608987922873</v>
      </c>
    </row>
    <row r="162" spans="1:34" x14ac:dyDescent="0.2">
      <c r="A162" s="347">
        <f t="shared" ca="1" si="64"/>
        <v>0.01</v>
      </c>
      <c r="B162" s="304">
        <f t="shared" ca="1" si="65"/>
        <v>1.5800000000000012</v>
      </c>
      <c r="D162" s="306">
        <f t="shared" ca="1" si="66"/>
        <v>31.039433307231569</v>
      </c>
      <c r="E162" s="307">
        <f t="shared" ca="1" si="67"/>
        <v>85.826999266581552</v>
      </c>
      <c r="F162" s="304">
        <f t="shared" ca="1" si="68"/>
        <v>91.267300952421436</v>
      </c>
      <c r="G162" s="306">
        <f t="shared" ca="1" si="69"/>
        <v>40.756368350928469</v>
      </c>
      <c r="H162" s="307">
        <f t="shared" ca="1" si="70"/>
        <v>125.47818650965611</v>
      </c>
      <c r="I162" s="304">
        <f t="shared" ca="1" si="71"/>
        <v>131.93125805095855</v>
      </c>
      <c r="J162" s="306">
        <f t="shared" ca="1" si="72"/>
        <v>29.170642270166596</v>
      </c>
      <c r="K162" s="307">
        <f t="shared" ca="1" si="73"/>
        <v>95.017773194798551</v>
      </c>
      <c r="L162" s="304">
        <f t="shared" ca="1" si="58"/>
        <v>99.394685941212202</v>
      </c>
      <c r="M162" s="306">
        <f t="shared" ca="1" si="74"/>
        <v>1.2567377377606608</v>
      </c>
      <c r="N162" s="304">
        <f t="shared" ca="1" si="75"/>
        <v>72.005768328504686</v>
      </c>
      <c r="P162" s="310">
        <f t="shared" ca="1" si="76"/>
        <v>8</v>
      </c>
      <c r="Q162" s="304">
        <f t="shared" ca="1" si="77"/>
        <v>1955.5492697201021</v>
      </c>
      <c r="R162" s="306">
        <f t="shared" ca="1" si="78"/>
        <v>1.1760167539360591</v>
      </c>
      <c r="S162" s="307">
        <f t="shared" ca="1" si="79"/>
        <v>18.275961046803953</v>
      </c>
      <c r="T162" s="304">
        <f t="shared" ca="1" si="59"/>
        <v>179.2871778691468</v>
      </c>
      <c r="U162" s="311">
        <f t="shared" ca="1" si="60"/>
        <v>0</v>
      </c>
      <c r="V162" s="306">
        <f t="shared" ca="1" si="61"/>
        <v>1.2134153601178805</v>
      </c>
      <c r="W162" s="304">
        <f t="shared" ca="1" si="62"/>
        <v>119.57258571511029</v>
      </c>
      <c r="Y162" s="314" t="str">
        <f t="shared" ca="1" si="80"/>
        <v/>
      </c>
      <c r="Z162" s="315" t="str">
        <f t="shared" ca="1" si="81"/>
        <v/>
      </c>
      <c r="AA162" s="316" t="str">
        <f t="shared" ca="1" si="82"/>
        <v/>
      </c>
      <c r="AC162" s="310" t="e">
        <f t="shared" ca="1" si="83"/>
        <v>#N/A</v>
      </c>
      <c r="AD162" s="323" t="e">
        <f t="shared" ca="1" si="84"/>
        <v>#N/A</v>
      </c>
      <c r="AE162" s="324">
        <f t="shared" ca="1" si="63"/>
        <v>95.017773194798551</v>
      </c>
      <c r="AG162" s="306">
        <f t="shared" ca="1" si="85"/>
        <v>91.217044262649495</v>
      </c>
      <c r="AH162" s="304">
        <f t="shared" ca="1" si="86"/>
        <v>100.54790922117773</v>
      </c>
    </row>
    <row r="163" spans="1:34" x14ac:dyDescent="0.2">
      <c r="A163" s="347">
        <f t="shared" ca="1" si="64"/>
        <v>0.01</v>
      </c>
      <c r="B163" s="304">
        <f t="shared" ca="1" si="65"/>
        <v>1.5900000000000012</v>
      </c>
      <c r="D163" s="306">
        <f t="shared" ca="1" si="66"/>
        <v>31.080319461774057</v>
      </c>
      <c r="E163" s="307">
        <f t="shared" ca="1" si="67"/>
        <v>85.878165555490071</v>
      </c>
      <c r="F163" s="304">
        <f t="shared" ca="1" si="68"/>
        <v>91.329324847072485</v>
      </c>
      <c r="G163" s="306">
        <f t="shared" ca="1" si="69"/>
        <v>41.067171545546209</v>
      </c>
      <c r="H163" s="307">
        <f t="shared" ca="1" si="70"/>
        <v>126.33696816521102</v>
      </c>
      <c r="I163" s="304">
        <f t="shared" ca="1" si="71"/>
        <v>132.84405181990221</v>
      </c>
      <c r="J163" s="306">
        <f t="shared" ca="1" si="72"/>
        <v>29.579759969648968</v>
      </c>
      <c r="K163" s="307">
        <f t="shared" ca="1" si="73"/>
        <v>96.276848968172885</v>
      </c>
      <c r="L163" s="304">
        <f t="shared" ca="1" si="58"/>
        <v>100.71838882300699</v>
      </c>
      <c r="M163" s="306">
        <f t="shared" ca="1" si="74"/>
        <v>1.2565096118199233</v>
      </c>
      <c r="N163" s="304">
        <f t="shared" ca="1" si="75"/>
        <v>71.992697674902985</v>
      </c>
      <c r="P163" s="310">
        <f t="shared" ca="1" si="76"/>
        <v>8</v>
      </c>
      <c r="Q163" s="304">
        <f t="shared" ca="1" si="77"/>
        <v>1957.1182900763363</v>
      </c>
      <c r="R163" s="306">
        <f t="shared" ca="1" si="78"/>
        <v>1.1769603221983216</v>
      </c>
      <c r="S163" s="307">
        <f t="shared" ca="1" si="79"/>
        <v>18.264191443581971</v>
      </c>
      <c r="T163" s="304">
        <f t="shared" ca="1" si="59"/>
        <v>179.17171806153914</v>
      </c>
      <c r="U163" s="311">
        <f t="shared" ca="1" si="60"/>
        <v>0</v>
      </c>
      <c r="V163" s="306">
        <f t="shared" ca="1" si="61"/>
        <v>1.2132625880532626</v>
      </c>
      <c r="W163" s="304">
        <f t="shared" ca="1" si="62"/>
        <v>121.2176214126808</v>
      </c>
      <c r="Y163" s="314" t="str">
        <f t="shared" ca="1" si="80"/>
        <v/>
      </c>
      <c r="Z163" s="315" t="str">
        <f t="shared" ca="1" si="81"/>
        <v/>
      </c>
      <c r="AA163" s="316" t="str">
        <f t="shared" ca="1" si="82"/>
        <v/>
      </c>
      <c r="AC163" s="310" t="e">
        <f t="shared" ca="1" si="83"/>
        <v>#N/A</v>
      </c>
      <c r="AD163" s="323" t="e">
        <f t="shared" ca="1" si="84"/>
        <v>#N/A</v>
      </c>
      <c r="AE163" s="324">
        <f t="shared" ca="1" si="63"/>
        <v>96.276848968172885</v>
      </c>
      <c r="AG163" s="306">
        <f t="shared" ca="1" si="85"/>
        <v>91.279031224549215</v>
      </c>
      <c r="AH163" s="304">
        <f t="shared" ca="1" si="86"/>
        <v>100.60920079804237</v>
      </c>
    </row>
    <row r="164" spans="1:34" x14ac:dyDescent="0.2">
      <c r="A164" s="347">
        <f t="shared" ca="1" si="64"/>
        <v>0.01</v>
      </c>
      <c r="B164" s="304">
        <f t="shared" ca="1" si="65"/>
        <v>1.6000000000000012</v>
      </c>
      <c r="D164" s="306">
        <f t="shared" ca="1" si="66"/>
        <v>31.120931651986286</v>
      </c>
      <c r="E164" s="307">
        <f t="shared" ca="1" si="67"/>
        <v>85.928859128103284</v>
      </c>
      <c r="F164" s="304">
        <f t="shared" ca="1" si="68"/>
        <v>91.390815829299939</v>
      </c>
      <c r="G164" s="306">
        <f t="shared" ca="1" si="69"/>
        <v>41.378380862066074</v>
      </c>
      <c r="H164" s="307">
        <f t="shared" ca="1" si="70"/>
        <v>127.19625675649205</v>
      </c>
      <c r="I164" s="304">
        <f t="shared" ca="1" si="71"/>
        <v>133.75746011206121</v>
      </c>
      <c r="J164" s="306">
        <f t="shared" ca="1" si="72"/>
        <v>29.991987731687029</v>
      </c>
      <c r="K164" s="307">
        <f t="shared" ca="1" si="73"/>
        <v>97.544515092781396</v>
      </c>
      <c r="L164" s="304">
        <f t="shared" ca="1" si="58"/>
        <v>102.05122122142157</v>
      </c>
      <c r="M164" s="306">
        <f t="shared" ca="1" si="74"/>
        <v>1.2562828845928007</v>
      </c>
      <c r="N164" s="304">
        <f t="shared" ca="1" si="75"/>
        <v>71.979707161688154</v>
      </c>
      <c r="P164" s="310">
        <f t="shared" ca="1" si="76"/>
        <v>8</v>
      </c>
      <c r="Q164" s="304">
        <f t="shared" ca="1" si="77"/>
        <v>1958.6873104325703</v>
      </c>
      <c r="R164" s="306">
        <f t="shared" ca="1" si="78"/>
        <v>1.1779038904605836</v>
      </c>
      <c r="S164" s="307">
        <f t="shared" ca="1" si="79"/>
        <v>18.252412404677365</v>
      </c>
      <c r="T164" s="304">
        <f t="shared" ca="1" si="59"/>
        <v>179.05616568988495</v>
      </c>
      <c r="U164" s="311">
        <f t="shared" ca="1" si="60"/>
        <v>0</v>
      </c>
      <c r="V164" s="306">
        <f t="shared" ca="1" si="61"/>
        <v>1.213108793002158</v>
      </c>
      <c r="W164" s="304">
        <f t="shared" ca="1" si="62"/>
        <v>122.87470910936614</v>
      </c>
      <c r="Y164" s="314" t="str">
        <f t="shared" ca="1" si="80"/>
        <v/>
      </c>
      <c r="Z164" s="315" t="str">
        <f t="shared" ca="1" si="81"/>
        <v/>
      </c>
      <c r="AA164" s="316" t="str">
        <f t="shared" ca="1" si="82"/>
        <v/>
      </c>
      <c r="AC164" s="310" t="e">
        <f t="shared" ca="1" si="83"/>
        <v>#N/A</v>
      </c>
      <c r="AD164" s="323" t="e">
        <f t="shared" ca="1" si="84"/>
        <v>#N/A</v>
      </c>
      <c r="AE164" s="324">
        <f t="shared" ca="1" si="63"/>
        <v>97.544515092781396</v>
      </c>
      <c r="AG164" s="306">
        <f t="shared" ca="1" si="85"/>
        <v>91.340485424214904</v>
      </c>
      <c r="AH164" s="304">
        <f t="shared" ca="1" si="86"/>
        <v>100.66996341530282</v>
      </c>
    </row>
    <row r="165" spans="1:34" x14ac:dyDescent="0.2">
      <c r="A165" s="347">
        <f t="shared" ca="1" si="64"/>
        <v>0.01</v>
      </c>
      <c r="B165" s="304">
        <f t="shared" ca="1" si="65"/>
        <v>1.6100000000000012</v>
      </c>
      <c r="D165" s="306">
        <f t="shared" ca="1" si="66"/>
        <v>31.161270604708697</v>
      </c>
      <c r="E165" s="307">
        <f t="shared" ca="1" si="67"/>
        <v>85.9790785989819</v>
      </c>
      <c r="F165" s="304">
        <f t="shared" ca="1" si="68"/>
        <v>91.451772768108711</v>
      </c>
      <c r="G165" s="306">
        <f t="shared" ca="1" si="69"/>
        <v>41.689993568113159</v>
      </c>
      <c r="H165" s="307">
        <f t="shared" ca="1" si="70"/>
        <v>128.05604754248188</v>
      </c>
      <c r="I165" s="304">
        <f t="shared" ca="1" si="71"/>
        <v>134.67147758865534</v>
      </c>
      <c r="J165" s="306">
        <f t="shared" ca="1" si="72"/>
        <v>30.407329603837926</v>
      </c>
      <c r="K165" s="307">
        <f t="shared" ca="1" si="73"/>
        <v>98.820776614276269</v>
      </c>
      <c r="L165" s="304">
        <f t="shared" ca="1" si="58"/>
        <v>103.39318925483018</v>
      </c>
      <c r="M165" s="306">
        <f t="shared" ca="1" si="74"/>
        <v>1.2560575391056519</v>
      </c>
      <c r="N165" s="304">
        <f t="shared" ca="1" si="75"/>
        <v>71.966795816342213</v>
      </c>
      <c r="P165" s="310">
        <f t="shared" ca="1" si="76"/>
        <v>8</v>
      </c>
      <c r="Q165" s="304">
        <f t="shared" ca="1" si="77"/>
        <v>1960.2563307888045</v>
      </c>
      <c r="R165" s="306">
        <f t="shared" ca="1" si="78"/>
        <v>1.1788474587228461</v>
      </c>
      <c r="S165" s="307">
        <f t="shared" ca="1" si="79"/>
        <v>18.240623930090138</v>
      </c>
      <c r="T165" s="304">
        <f t="shared" ca="1" si="59"/>
        <v>178.94052075418426</v>
      </c>
      <c r="U165" s="311">
        <f t="shared" ca="1" si="60"/>
        <v>0</v>
      </c>
      <c r="V165" s="306">
        <f t="shared" ca="1" si="61"/>
        <v>1.2129539747433002</v>
      </c>
      <c r="W165" s="304">
        <f t="shared" ca="1" si="62"/>
        <v>124.54385302199107</v>
      </c>
      <c r="Y165" s="314" t="str">
        <f t="shared" ca="1" si="80"/>
        <v/>
      </c>
      <c r="Z165" s="315" t="str">
        <f t="shared" ca="1" si="81"/>
        <v/>
      </c>
      <c r="AA165" s="316" t="str">
        <f t="shared" ca="1" si="82"/>
        <v/>
      </c>
      <c r="AC165" s="310" t="e">
        <f t="shared" ca="1" si="83"/>
        <v>#N/A</v>
      </c>
      <c r="AD165" s="323" t="e">
        <f t="shared" ca="1" si="84"/>
        <v>#N/A</v>
      </c>
      <c r="AE165" s="324">
        <f t="shared" ca="1" si="63"/>
        <v>98.820776614276269</v>
      </c>
      <c r="AG165" s="306">
        <f t="shared" ca="1" si="85"/>
        <v>91.401405724568193</v>
      </c>
      <c r="AH165" s="304">
        <f t="shared" ca="1" si="86"/>
        <v>100.73019589250194</v>
      </c>
    </row>
    <row r="166" spans="1:34" x14ac:dyDescent="0.2">
      <c r="A166" s="347">
        <f t="shared" ca="1" si="64"/>
        <v>0.01</v>
      </c>
      <c r="B166" s="304">
        <f t="shared" ca="1" si="65"/>
        <v>1.6200000000000012</v>
      </c>
      <c r="D166" s="306">
        <f t="shared" ca="1" si="66"/>
        <v>31.201337027989997</v>
      </c>
      <c r="E166" s="307">
        <f t="shared" ca="1" si="67"/>
        <v>86.028822601816955</v>
      </c>
      <c r="F166" s="304">
        <f t="shared" ca="1" si="68"/>
        <v>91.512194545804178</v>
      </c>
      <c r="G166" s="306">
        <f t="shared" ca="1" si="69"/>
        <v>42.002006938393059</v>
      </c>
      <c r="H166" s="307">
        <f t="shared" ca="1" si="70"/>
        <v>128.91633576850003</v>
      </c>
      <c r="I166" s="304">
        <f t="shared" ca="1" si="71"/>
        <v>135.58609889966397</v>
      </c>
      <c r="J166" s="306">
        <f t="shared" ca="1" si="72"/>
        <v>30.825789606370456</v>
      </c>
      <c r="K166" s="307">
        <f t="shared" ca="1" si="73"/>
        <v>100.10563853083119</v>
      </c>
      <c r="L166" s="304">
        <f t="shared" ca="1" si="58"/>
        <v>104.74429898816284</v>
      </c>
      <c r="M166" s="306">
        <f t="shared" ca="1" si="74"/>
        <v>1.2558335586887599</v>
      </c>
      <c r="N166" s="304">
        <f t="shared" ca="1" si="75"/>
        <v>71.953962683760722</v>
      </c>
      <c r="P166" s="310">
        <f t="shared" ca="1" si="76"/>
        <v>8</v>
      </c>
      <c r="Q166" s="304">
        <f t="shared" ca="1" si="77"/>
        <v>1961.8253511450384</v>
      </c>
      <c r="R166" s="306">
        <f t="shared" ca="1" si="78"/>
        <v>1.1797910269851082</v>
      </c>
      <c r="S166" s="307">
        <f t="shared" ca="1" si="79"/>
        <v>18.228826019820286</v>
      </c>
      <c r="T166" s="304">
        <f t="shared" ca="1" si="59"/>
        <v>178.82478325443702</v>
      </c>
      <c r="U166" s="311">
        <f t="shared" ca="1" si="60"/>
        <v>0</v>
      </c>
      <c r="V166" s="306">
        <f t="shared" ca="1" si="61"/>
        <v>1.2127981330640178</v>
      </c>
      <c r="W166" s="304">
        <f t="shared" ca="1" si="62"/>
        <v>126.22505702301504</v>
      </c>
      <c r="Y166" s="314" t="str">
        <f t="shared" ca="1" si="80"/>
        <v/>
      </c>
      <c r="Z166" s="315" t="str">
        <f t="shared" ca="1" si="81"/>
        <v/>
      </c>
      <c r="AA166" s="316" t="str">
        <f t="shared" ca="1" si="82"/>
        <v/>
      </c>
      <c r="AC166" s="310" t="e">
        <f t="shared" ca="1" si="83"/>
        <v>#N/A</v>
      </c>
      <c r="AD166" s="323" t="e">
        <f t="shared" ca="1" si="84"/>
        <v>#N/A</v>
      </c>
      <c r="AE166" s="324">
        <f t="shared" ca="1" si="63"/>
        <v>100.10563853083119</v>
      </c>
      <c r="AG166" s="306">
        <f t="shared" ca="1" si="85"/>
        <v>91.46179100193558</v>
      </c>
      <c r="AH166" s="304">
        <f t="shared" ca="1" si="86"/>
        <v>100.78989706333051</v>
      </c>
    </row>
    <row r="167" spans="1:34" x14ac:dyDescent="0.2">
      <c r="A167" s="347">
        <f t="shared" ca="1" si="64"/>
        <v>0.01</v>
      </c>
      <c r="B167" s="304">
        <f t="shared" ca="1" si="65"/>
        <v>1.6300000000000012</v>
      </c>
      <c r="D167" s="306">
        <f t="shared" ca="1" si="66"/>
        <v>31.241131611703796</v>
      </c>
      <c r="E167" s="307">
        <f t="shared" ca="1" si="67"/>
        <v>86.07808978936832</v>
      </c>
      <c r="F167" s="304">
        <f t="shared" ca="1" si="68"/>
        <v>91.572080058096049</v>
      </c>
      <c r="G167" s="306">
        <f t="shared" ca="1" si="69"/>
        <v>42.314418254510095</v>
      </c>
      <c r="H167" s="307">
        <f t="shared" ca="1" si="70"/>
        <v>129.77711666639371</v>
      </c>
      <c r="I167" s="304">
        <f t="shared" ca="1" si="71"/>
        <v>136.50131868396136</v>
      </c>
      <c r="J167" s="306">
        <f t="shared" ca="1" si="72"/>
        <v>31.247371732334972</v>
      </c>
      <c r="K167" s="307">
        <f t="shared" ca="1" si="73"/>
        <v>101.39910579300566</v>
      </c>
      <c r="L167" s="304">
        <f t="shared" ca="1" si="58"/>
        <v>106.1045564327936</v>
      </c>
      <c r="M167" s="306">
        <f t="shared" ca="1" si="74"/>
        <v>1.2556109269690425</v>
      </c>
      <c r="N167" s="304">
        <f t="shared" ca="1" si="75"/>
        <v>71.941206825835167</v>
      </c>
      <c r="P167" s="310">
        <f t="shared" ca="1" si="76"/>
        <v>8</v>
      </c>
      <c r="Q167" s="304">
        <f t="shared" ca="1" si="77"/>
        <v>1963.3943715012726</v>
      </c>
      <c r="R167" s="306">
        <f t="shared" ca="1" si="78"/>
        <v>1.1807345952473705</v>
      </c>
      <c r="S167" s="307">
        <f t="shared" ca="1" si="79"/>
        <v>18.217018673867813</v>
      </c>
      <c r="T167" s="304">
        <f t="shared" ca="1" si="59"/>
        <v>178.70895319064326</v>
      </c>
      <c r="U167" s="311">
        <f t="shared" ca="1" si="60"/>
        <v>0</v>
      </c>
      <c r="V167" s="306">
        <f t="shared" ca="1" si="61"/>
        <v>1.2126412677602489</v>
      </c>
      <c r="W167" s="304">
        <f t="shared" ca="1" si="62"/>
        <v>127.91832463973914</v>
      </c>
      <c r="Y167" s="314" t="str">
        <f t="shared" ca="1" si="80"/>
        <v/>
      </c>
      <c r="Z167" s="315" t="str">
        <f t="shared" ca="1" si="81"/>
        <v/>
      </c>
      <c r="AA167" s="316" t="str">
        <f t="shared" ca="1" si="82"/>
        <v/>
      </c>
      <c r="AC167" s="310" t="e">
        <f t="shared" ca="1" si="83"/>
        <v>#N/A</v>
      </c>
      <c r="AD167" s="323" t="e">
        <f t="shared" ca="1" si="84"/>
        <v>#N/A</v>
      </c>
      <c r="AE167" s="324">
        <f t="shared" ca="1" si="63"/>
        <v>101.39910579300566</v>
      </c>
      <c r="AG167" s="306">
        <f t="shared" ca="1" si="85"/>
        <v>91.521640146149878</v>
      </c>
      <c r="AH167" s="304">
        <f t="shared" ca="1" si="86"/>
        <v>100.84906577571138</v>
      </c>
    </row>
    <row r="168" spans="1:34" x14ac:dyDescent="0.2">
      <c r="A168" s="347">
        <f t="shared" ca="1" si="64"/>
        <v>0.01</v>
      </c>
      <c r="B168" s="304">
        <f t="shared" ca="1" si="65"/>
        <v>1.6400000000000012</v>
      </c>
      <c r="D168" s="306">
        <f t="shared" ca="1" si="66"/>
        <v>31.280655028146995</v>
      </c>
      <c r="E168" s="307">
        <f t="shared" ca="1" si="67"/>
        <v>86.12687883340719</v>
      </c>
      <c r="F168" s="304">
        <f t="shared" ca="1" si="68"/>
        <v>91.631428214201392</v>
      </c>
      <c r="G168" s="306">
        <f t="shared" ca="1" si="69"/>
        <v>42.627224804791567</v>
      </c>
      <c r="H168" s="307">
        <f t="shared" ca="1" si="70"/>
        <v>130.63838545472777</v>
      </c>
      <c r="I168" s="304">
        <f t="shared" ca="1" si="71"/>
        <v>137.41713156945266</v>
      </c>
      <c r="J168" s="306">
        <f t="shared" ca="1" si="72"/>
        <v>31.672079947631481</v>
      </c>
      <c r="K168" s="307">
        <f t="shared" ca="1" si="73"/>
        <v>102.70118330361127</v>
      </c>
      <c r="L168" s="304">
        <f t="shared" ca="1" si="58"/>
        <v>107.47396754643016</v>
      </c>
      <c r="M168" s="306">
        <f t="shared" ca="1" si="74"/>
        <v>1.2553896278629777</v>
      </c>
      <c r="N168" s="304">
        <f t="shared" ca="1" si="75"/>
        <v>71.928527321047639</v>
      </c>
      <c r="P168" s="310">
        <f t="shared" ca="1" si="76"/>
        <v>8</v>
      </c>
      <c r="Q168" s="304">
        <f t="shared" ca="1" si="77"/>
        <v>1964.9633918575066</v>
      </c>
      <c r="R168" s="306">
        <f t="shared" ca="1" si="78"/>
        <v>1.1816781635096327</v>
      </c>
      <c r="S168" s="307">
        <f t="shared" ca="1" si="79"/>
        <v>18.205201892232715</v>
      </c>
      <c r="T168" s="304">
        <f t="shared" ca="1" si="59"/>
        <v>178.59303056280294</v>
      </c>
      <c r="U168" s="311">
        <f t="shared" ca="1" si="60"/>
        <v>0</v>
      </c>
      <c r="V168" s="306">
        <f t="shared" ca="1" si="61"/>
        <v>1.212483378636557</v>
      </c>
      <c r="W168" s="304">
        <f t="shared" ca="1" si="62"/>
        <v>129.62365905353295</v>
      </c>
      <c r="Y168" s="314" t="str">
        <f t="shared" ca="1" si="80"/>
        <v/>
      </c>
      <c r="Z168" s="315" t="str">
        <f t="shared" ca="1" si="81"/>
        <v/>
      </c>
      <c r="AA168" s="316" t="str">
        <f t="shared" ca="1" si="82"/>
        <v/>
      </c>
      <c r="AC168" s="310" t="e">
        <f t="shared" ca="1" si="83"/>
        <v>#N/A</v>
      </c>
      <c r="AD168" s="323" t="e">
        <f t="shared" ca="1" si="84"/>
        <v>#N/A</v>
      </c>
      <c r="AE168" s="324">
        <f t="shared" ca="1" si="63"/>
        <v>102.70118330361127</v>
      </c>
      <c r="AG168" s="306">
        <f t="shared" ca="1" si="85"/>
        <v>91.580952060650901</v>
      </c>
      <c r="AH168" s="304">
        <f t="shared" ca="1" si="86"/>
        <v>100.90770089188334</v>
      </c>
    </row>
    <row r="169" spans="1:34" x14ac:dyDescent="0.2">
      <c r="A169" s="347">
        <f t="shared" ca="1" si="64"/>
        <v>0.01</v>
      </c>
      <c r="B169" s="304">
        <f t="shared" ca="1" si="65"/>
        <v>1.6500000000000012</v>
      </c>
      <c r="D169" s="306">
        <f t="shared" ca="1" si="66"/>
        <v>31.319907932621021</v>
      </c>
      <c r="E169" s="307">
        <f t="shared" ca="1" si="67"/>
        <v>86.175188424661641</v>
      </c>
      <c r="F169" s="304">
        <f t="shared" ca="1" si="68"/>
        <v>91.690237936946133</v>
      </c>
      <c r="G169" s="306">
        <f t="shared" ca="1" si="69"/>
        <v>42.940423884117777</v>
      </c>
      <c r="H169" s="307">
        <f t="shared" ca="1" si="70"/>
        <v>131.50013733897438</v>
      </c>
      <c r="I169" s="304">
        <f t="shared" ca="1" si="71"/>
        <v>138.33353217321113</v>
      </c>
      <c r="J169" s="306">
        <f t="shared" ca="1" si="72"/>
        <v>32.099918191076029</v>
      </c>
      <c r="K169" s="307">
        <f t="shared" ca="1" si="73"/>
        <v>104.01187591757979</v>
      </c>
      <c r="L169" s="304">
        <f t="shared" ca="1" si="58"/>
        <v>108.85253823300488</v>
      </c>
      <c r="M169" s="306">
        <f t="shared" ca="1" si="74"/>
        <v>1.2551696455697448</v>
      </c>
      <c r="N169" s="304">
        <f t="shared" ca="1" si="75"/>
        <v>71.915923264077776</v>
      </c>
      <c r="P169" s="310">
        <f t="shared" ca="1" si="76"/>
        <v>8</v>
      </c>
      <c r="Q169" s="304">
        <f t="shared" ca="1" si="77"/>
        <v>1966.5324122137408</v>
      </c>
      <c r="R169" s="306">
        <f t="shared" ca="1" si="78"/>
        <v>1.182621731771895</v>
      </c>
      <c r="S169" s="307">
        <f t="shared" ca="1" si="79"/>
        <v>18.193375674914996</v>
      </c>
      <c r="T169" s="304">
        <f t="shared" ca="1" si="59"/>
        <v>178.47701537091612</v>
      </c>
      <c r="U169" s="311">
        <f t="shared" ca="1" si="60"/>
        <v>0</v>
      </c>
      <c r="V169" s="306">
        <f t="shared" ca="1" si="61"/>
        <v>1.2123244655061449</v>
      </c>
      <c r="W169" s="304">
        <f t="shared" ca="1" si="62"/>
        <v>131.34106309908182</v>
      </c>
      <c r="Y169" s="314" t="str">
        <f t="shared" ca="1" si="80"/>
        <v/>
      </c>
      <c r="Z169" s="315" t="str">
        <f t="shared" ca="1" si="81"/>
        <v/>
      </c>
      <c r="AA169" s="316" t="str">
        <f t="shared" ca="1" si="82"/>
        <v/>
      </c>
      <c r="AC169" s="310" t="e">
        <f t="shared" ca="1" si="83"/>
        <v>#N/A</v>
      </c>
      <c r="AD169" s="323" t="e">
        <f t="shared" ca="1" si="84"/>
        <v>#N/A</v>
      </c>
      <c r="AE169" s="324">
        <f t="shared" ca="1" si="63"/>
        <v>104.01187591757979</v>
      </c>
      <c r="AG169" s="306">
        <f t="shared" ca="1" si="85"/>
        <v>91.639725662584738</v>
      </c>
      <c r="AH169" s="304">
        <f t="shared" ca="1" si="86"/>
        <v>100.9658012884841</v>
      </c>
    </row>
    <row r="170" spans="1:34" x14ac:dyDescent="0.2">
      <c r="A170" s="347">
        <f t="shared" ca="1" si="64"/>
        <v>0.01</v>
      </c>
      <c r="B170" s="304">
        <f t="shared" ca="1" si="65"/>
        <v>1.6600000000000013</v>
      </c>
      <c r="D170" s="306">
        <f t="shared" ca="1" si="66"/>
        <v>31.358890963995702</v>
      </c>
      <c r="E170" s="307">
        <f t="shared" ca="1" si="67"/>
        <v>86.223017272765532</v>
      </c>
      <c r="F170" s="304">
        <f t="shared" ca="1" si="68"/>
        <v>91.748508162865491</v>
      </c>
      <c r="G170" s="306">
        <f t="shared" ca="1" si="69"/>
        <v>43.254012793757731</v>
      </c>
      <c r="H170" s="307">
        <f t="shared" ca="1" si="70"/>
        <v>132.36236751170205</v>
      </c>
      <c r="I170" s="304">
        <f t="shared" ca="1" si="71"/>
        <v>139.25051510161617</v>
      </c>
      <c r="J170" s="306">
        <f t="shared" ca="1" si="72"/>
        <v>32.530890374465407</v>
      </c>
      <c r="K170" s="307">
        <f t="shared" ca="1" si="73"/>
        <v>105.33118844183316</v>
      </c>
      <c r="L170" s="304">
        <f t="shared" ca="1" si="58"/>
        <v>110.24027434256709</v>
      </c>
      <c r="M170" s="306">
        <f t="shared" ca="1" si="74"/>
        <v>1.2549509645645645</v>
      </c>
      <c r="N170" s="304">
        <f t="shared" ca="1" si="75"/>
        <v>71.903393765421271</v>
      </c>
      <c r="P170" s="310">
        <f t="shared" ca="1" si="76"/>
        <v>8</v>
      </c>
      <c r="Q170" s="304">
        <f t="shared" ca="1" si="77"/>
        <v>1968.1014325699748</v>
      </c>
      <c r="R170" s="306">
        <f t="shared" ca="1" si="78"/>
        <v>1.1835653000341573</v>
      </c>
      <c r="S170" s="307">
        <f t="shared" ca="1" si="79"/>
        <v>18.181540021914653</v>
      </c>
      <c r="T170" s="304">
        <f t="shared" ca="1" si="59"/>
        <v>178.36090761498275</v>
      </c>
      <c r="U170" s="311">
        <f t="shared" ca="1" si="60"/>
        <v>0</v>
      </c>
      <c r="V170" s="306">
        <f t="shared" ca="1" si="61"/>
        <v>1.2121645281908688</v>
      </c>
      <c r="W170" s="304">
        <f t="shared" ca="1" si="62"/>
        <v>133.07053926365455</v>
      </c>
      <c r="Y170" s="314" t="str">
        <f t="shared" ca="1" si="80"/>
        <v/>
      </c>
      <c r="Z170" s="315" t="str">
        <f t="shared" ca="1" si="81"/>
        <v/>
      </c>
      <c r="AA170" s="316" t="str">
        <f t="shared" ca="1" si="82"/>
        <v/>
      </c>
      <c r="AC170" s="310" t="e">
        <f t="shared" ca="1" si="83"/>
        <v>#N/A</v>
      </c>
      <c r="AD170" s="323" t="e">
        <f t="shared" ca="1" si="84"/>
        <v>#N/A</v>
      </c>
      <c r="AE170" s="324">
        <f t="shared" ca="1" si="63"/>
        <v>105.33118844183316</v>
      </c>
      <c r="AG170" s="306">
        <f t="shared" ca="1" si="85"/>
        <v>91.697959882901912</v>
      </c>
      <c r="AH170" s="304">
        <f t="shared" ca="1" si="86"/>
        <v>101.02336585663267</v>
      </c>
    </row>
    <row r="171" spans="1:34" x14ac:dyDescent="0.2">
      <c r="A171" s="347">
        <f t="shared" ca="1" si="64"/>
        <v>0.01</v>
      </c>
      <c r="B171" s="304">
        <f t="shared" ca="1" si="65"/>
        <v>1.6700000000000013</v>
      </c>
      <c r="D171" s="306">
        <f t="shared" ca="1" si="66"/>
        <v>31.397604745257464</v>
      </c>
      <c r="E171" s="307">
        <f t="shared" ca="1" si="67"/>
        <v>86.270364106210437</v>
      </c>
      <c r="F171" s="304">
        <f t="shared" ca="1" si="68"/>
        <v>91.806237842303162</v>
      </c>
      <c r="G171" s="306">
        <f t="shared" ca="1" si="69"/>
        <v>43.567988841210308</v>
      </c>
      <c r="H171" s="307">
        <f t="shared" ca="1" si="70"/>
        <v>133.22507115276414</v>
      </c>
      <c r="I171" s="304">
        <f t="shared" ca="1" si="71"/>
        <v>140.16807495049255</v>
      </c>
      <c r="J171" s="306">
        <f t="shared" ca="1" si="72"/>
        <v>32.965000382640248</v>
      </c>
      <c r="K171" s="307">
        <f t="shared" ca="1" si="73"/>
        <v>106.65912563515549</v>
      </c>
      <c r="L171" s="304">
        <f t="shared" ca="1" si="58"/>
        <v>111.63718167117689</v>
      </c>
      <c r="M171" s="306">
        <f t="shared" ca="1" si="74"/>
        <v>1.2547335695922384</v>
      </c>
      <c r="N171" s="304">
        <f t="shared" ca="1" si="75"/>
        <v>71.890937951019623</v>
      </c>
      <c r="P171" s="310">
        <f t="shared" ca="1" si="76"/>
        <v>8</v>
      </c>
      <c r="Q171" s="304">
        <f t="shared" ca="1" si="77"/>
        <v>1969.670452926209</v>
      </c>
      <c r="R171" s="306">
        <f t="shared" ca="1" si="78"/>
        <v>1.1845088682964195</v>
      </c>
      <c r="S171" s="307">
        <f t="shared" ca="1" si="79"/>
        <v>18.169694933231689</v>
      </c>
      <c r="T171" s="304">
        <f t="shared" ca="1" si="59"/>
        <v>178.24470729500288</v>
      </c>
      <c r="U171" s="311">
        <f t="shared" ca="1" si="60"/>
        <v>0</v>
      </c>
      <c r="V171" s="306">
        <f t="shared" ca="1" si="61"/>
        <v>1.2120035665212543</v>
      </c>
      <c r="W171" s="304">
        <f t="shared" ca="1" si="62"/>
        <v>134.81208968639177</v>
      </c>
      <c r="Y171" s="314" t="str">
        <f t="shared" ca="1" si="80"/>
        <v/>
      </c>
      <c r="Z171" s="315" t="str">
        <f t="shared" ca="1" si="81"/>
        <v/>
      </c>
      <c r="AA171" s="316" t="str">
        <f t="shared" ca="1" si="82"/>
        <v/>
      </c>
      <c r="AC171" s="310" t="e">
        <f t="shared" ca="1" si="83"/>
        <v>#N/A</v>
      </c>
      <c r="AD171" s="323" t="e">
        <f t="shared" ca="1" si="84"/>
        <v>#N/A</v>
      </c>
      <c r="AE171" s="324">
        <f t="shared" ca="1" si="63"/>
        <v>106.65912563515549</v>
      </c>
      <c r="AG171" s="306">
        <f t="shared" ca="1" si="85"/>
        <v>91.755653666454535</v>
      </c>
      <c r="AH171" s="304">
        <f t="shared" ca="1" si="86"/>
        <v>101.08039350201099</v>
      </c>
    </row>
    <row r="172" spans="1:34" x14ac:dyDescent="0.2">
      <c r="A172" s="347">
        <f t="shared" ca="1" si="64"/>
        <v>0.01</v>
      </c>
      <c r="B172" s="304">
        <f t="shared" ca="1" si="65"/>
        <v>1.6800000000000013</v>
      </c>
      <c r="D172" s="306">
        <f t="shared" ca="1" si="66"/>
        <v>31.436049884041534</v>
      </c>
      <c r="E172" s="307">
        <f t="shared" ca="1" si="67"/>
        <v>86.317227672300589</v>
      </c>
      <c r="F172" s="304">
        <f t="shared" ca="1" si="68"/>
        <v>91.863425939509369</v>
      </c>
      <c r="G172" s="306">
        <f t="shared" ca="1" si="69"/>
        <v>43.882349340050723</v>
      </c>
      <c r="H172" s="307">
        <f t="shared" ca="1" si="70"/>
        <v>134.08824342948714</v>
      </c>
      <c r="I172" s="304">
        <f t="shared" ca="1" si="71"/>
        <v>141.0862063052503</v>
      </c>
      <c r="J172" s="306">
        <f t="shared" ca="1" si="72"/>
        <v>33.402252073546556</v>
      </c>
      <c r="K172" s="307">
        <f t="shared" ca="1" si="73"/>
        <v>107.99569220806674</v>
      </c>
      <c r="L172" s="304">
        <f t="shared" ca="1" si="58"/>
        <v>113.0432659608003</v>
      </c>
      <c r="M172" s="306">
        <f t="shared" ca="1" si="74"/>
        <v>1.2545174456608768</v>
      </c>
      <c r="N172" s="304">
        <f t="shared" ca="1" si="75"/>
        <v>71.878554961900832</v>
      </c>
      <c r="P172" s="310">
        <f t="shared" ca="1" si="76"/>
        <v>8</v>
      </c>
      <c r="Q172" s="304">
        <f t="shared" ca="1" si="77"/>
        <v>1971.2394732824432</v>
      </c>
      <c r="R172" s="306">
        <f t="shared" ca="1" si="78"/>
        <v>1.1854524365586818</v>
      </c>
      <c r="S172" s="307">
        <f t="shared" ca="1" si="79"/>
        <v>18.157840408866104</v>
      </c>
      <c r="T172" s="304">
        <f t="shared" ca="1" si="59"/>
        <v>178.12841441097649</v>
      </c>
      <c r="U172" s="311">
        <f t="shared" ca="1" si="60"/>
        <v>0</v>
      </c>
      <c r="V172" s="306">
        <f t="shared" ca="1" si="61"/>
        <v>1.2118415803365079</v>
      </c>
      <c r="W172" s="304">
        <f t="shared" ca="1" si="62"/>
        <v>136.56571615761484</v>
      </c>
      <c r="Y172" s="314" t="str">
        <f t="shared" ca="1" si="80"/>
        <v/>
      </c>
      <c r="Z172" s="315" t="str">
        <f t="shared" ca="1" si="81"/>
        <v/>
      </c>
      <c r="AA172" s="316" t="str">
        <f t="shared" ca="1" si="82"/>
        <v/>
      </c>
      <c r="AC172" s="310" t="e">
        <f t="shared" ca="1" si="83"/>
        <v>#N/A</v>
      </c>
      <c r="AD172" s="323" t="e">
        <f t="shared" ca="1" si="84"/>
        <v>#N/A</v>
      </c>
      <c r="AE172" s="324">
        <f t="shared" ca="1" si="63"/>
        <v>107.99569220806674</v>
      </c>
      <c r="AG172" s="306">
        <f t="shared" ca="1" si="85"/>
        <v>91.812805972092136</v>
      </c>
      <c r="AH172" s="304">
        <f t="shared" ca="1" si="86"/>
        <v>101.136883144945</v>
      </c>
    </row>
    <row r="173" spans="1:34" x14ac:dyDescent="0.2">
      <c r="A173" s="347">
        <f t="shared" ca="1" si="64"/>
        <v>0.01</v>
      </c>
      <c r="B173" s="304">
        <f t="shared" ca="1" si="65"/>
        <v>1.6900000000000013</v>
      </c>
      <c r="D173" s="306">
        <f t="shared" ca="1" si="66"/>
        <v>31.47422697314904</v>
      </c>
      <c r="E173" s="307">
        <f t="shared" ca="1" si="67"/>
        <v>86.363606737110473</v>
      </c>
      <c r="F173" s="304">
        <f t="shared" ca="1" si="68"/>
        <v>91.920071432737572</v>
      </c>
      <c r="G173" s="306">
        <f t="shared" ca="1" si="69"/>
        <v>44.197091609782213</v>
      </c>
      <c r="H173" s="307">
        <f t="shared" ca="1" si="70"/>
        <v>134.95187949685825</v>
      </c>
      <c r="I173" s="304">
        <f t="shared" ca="1" si="71"/>
        <v>142.00490374102588</v>
      </c>
      <c r="J173" s="306">
        <f t="shared" ca="1" si="72"/>
        <v>33.842649278295724</v>
      </c>
      <c r="K173" s="307">
        <f t="shared" ca="1" si="73"/>
        <v>109.34089282269846</v>
      </c>
      <c r="L173" s="304">
        <f t="shared" ca="1" si="58"/>
        <v>114.45853289920574</v>
      </c>
      <c r="M173" s="306">
        <f t="shared" ca="1" si="74"/>
        <v>1.2543025780358088</v>
      </c>
      <c r="N173" s="304">
        <f t="shared" ca="1" si="75"/>
        <v>71.866243953830434</v>
      </c>
      <c r="P173" s="310">
        <f t="shared" ca="1" si="76"/>
        <v>8</v>
      </c>
      <c r="Q173" s="304">
        <f t="shared" ca="1" si="77"/>
        <v>1972.8084936386772</v>
      </c>
      <c r="R173" s="306">
        <f t="shared" ca="1" si="78"/>
        <v>1.1863960048209441</v>
      </c>
      <c r="S173" s="307">
        <f t="shared" ca="1" si="79"/>
        <v>18.145976448817894</v>
      </c>
      <c r="T173" s="304">
        <f t="shared" ca="1" si="59"/>
        <v>178.01202896290354</v>
      </c>
      <c r="U173" s="311">
        <f t="shared" ca="1" si="60"/>
        <v>0</v>
      </c>
      <c r="V173" s="306">
        <f t="shared" ca="1" si="61"/>
        <v>1.2116785694845311</v>
      </c>
      <c r="W173" s="304">
        <f t="shared" ca="1" si="62"/>
        <v>138.33142011815559</v>
      </c>
      <c r="Y173" s="314" t="str">
        <f t="shared" ca="1" si="80"/>
        <v/>
      </c>
      <c r="Z173" s="315" t="str">
        <f t="shared" ca="1" si="81"/>
        <v/>
      </c>
      <c r="AA173" s="316" t="str">
        <f t="shared" ca="1" si="82"/>
        <v/>
      </c>
      <c r="AC173" s="310" t="e">
        <f t="shared" ca="1" si="83"/>
        <v>#N/A</v>
      </c>
      <c r="AD173" s="323" t="e">
        <f t="shared" ca="1" si="84"/>
        <v>#N/A</v>
      </c>
      <c r="AE173" s="324">
        <f t="shared" ca="1" si="63"/>
        <v>109.34089282269846</v>
      </c>
      <c r="AG173" s="306">
        <f t="shared" ca="1" si="85"/>
        <v>91.869415772756497</v>
      </c>
      <c r="AH173" s="304">
        <f t="shared" ca="1" si="86"/>
        <v>101.1928337204848</v>
      </c>
    </row>
    <row r="174" spans="1:34" x14ac:dyDescent="0.2">
      <c r="A174" s="347">
        <f t="shared" ca="1" si="64"/>
        <v>0.01</v>
      </c>
      <c r="B174" s="304">
        <f t="shared" ca="1" si="65"/>
        <v>1.7000000000000013</v>
      </c>
      <c r="D174" s="306">
        <f t="shared" ca="1" si="66"/>
        <v>31.512136591049668</v>
      </c>
      <c r="E174" s="307">
        <f t="shared" ca="1" si="67"/>
        <v>86.409500085445259</v>
      </c>
      <c r="F174" s="304">
        <f t="shared" ca="1" si="68"/>
        <v>91.976173314340144</v>
      </c>
      <c r="G174" s="306">
        <f t="shared" ca="1" si="69"/>
        <v>44.512212975692712</v>
      </c>
      <c r="H174" s="307">
        <f t="shared" ca="1" si="70"/>
        <v>135.81597449771272</v>
      </c>
      <c r="I174" s="304">
        <f t="shared" ca="1" si="71"/>
        <v>142.92416182282398</v>
      </c>
      <c r="J174" s="306">
        <f t="shared" ca="1" si="72"/>
        <v>34.286195801223101</v>
      </c>
      <c r="K174" s="307">
        <f t="shared" ca="1" si="73"/>
        <v>110.69473209267132</v>
      </c>
      <c r="L174" s="304">
        <f t="shared" ca="1" si="58"/>
        <v>115.88298811986203</v>
      </c>
      <c r="M174" s="306">
        <f t="shared" ca="1" si="74"/>
        <v>1.2540889522336693</v>
      </c>
      <c r="N174" s="304">
        <f t="shared" ca="1" si="75"/>
        <v>71.854004096972744</v>
      </c>
      <c r="P174" s="310">
        <f t="shared" ca="1" si="76"/>
        <v>8</v>
      </c>
      <c r="Q174" s="304">
        <f t="shared" ca="1" si="77"/>
        <v>1974.3775139949114</v>
      </c>
      <c r="R174" s="306">
        <f t="shared" ca="1" si="78"/>
        <v>1.1873395730832064</v>
      </c>
      <c r="S174" s="307">
        <f t="shared" ca="1" si="79"/>
        <v>18.134103053087063</v>
      </c>
      <c r="T174" s="304">
        <f t="shared" ca="1" si="59"/>
        <v>177.8955509507841</v>
      </c>
      <c r="U174" s="311">
        <f t="shared" ca="1" si="60"/>
        <v>0</v>
      </c>
      <c r="V174" s="306">
        <f t="shared" ca="1" si="61"/>
        <v>1.2115145338219342</v>
      </c>
      <c r="W174" s="304">
        <f t="shared" ca="1" si="62"/>
        <v>140.10920265870698</v>
      </c>
      <c r="Y174" s="314" t="str">
        <f t="shared" ca="1" si="80"/>
        <v/>
      </c>
      <c r="Z174" s="315" t="str">
        <f t="shared" ca="1" si="81"/>
        <v/>
      </c>
      <c r="AA174" s="316" t="str">
        <f t="shared" ca="1" si="82"/>
        <v/>
      </c>
      <c r="AC174" s="310" t="e">
        <f t="shared" ca="1" si="83"/>
        <v>#N/A</v>
      </c>
      <c r="AD174" s="323" t="e">
        <f t="shared" ca="1" si="84"/>
        <v>#N/A</v>
      </c>
      <c r="AE174" s="324">
        <f t="shared" ca="1" si="63"/>
        <v>110.69473209267132</v>
      </c>
      <c r="AG174" s="306">
        <f t="shared" ca="1" si="85"/>
        <v>91.92548205557523</v>
      </c>
      <c r="AH174" s="304">
        <f t="shared" ca="1" si="86"/>
        <v>101.24824417848426</v>
      </c>
    </row>
    <row r="175" spans="1:34" x14ac:dyDescent="0.2">
      <c r="A175" s="347">
        <f t="shared" ca="1" si="64"/>
        <v>0.01</v>
      </c>
      <c r="B175" s="304">
        <f t="shared" ca="1" si="65"/>
        <v>1.7100000000000013</v>
      </c>
      <c r="D175" s="306">
        <f t="shared" ca="1" si="66"/>
        <v>31.549779302370084</v>
      </c>
      <c r="E175" s="307">
        <f t="shared" ca="1" si="67"/>
        <v>86.454906520803576</v>
      </c>
      <c r="F175" s="304">
        <f t="shared" ca="1" si="68"/>
        <v>92.03173059086275</v>
      </c>
      <c r="G175" s="306">
        <f t="shared" ca="1" si="69"/>
        <v>44.827710768716415</v>
      </c>
      <c r="H175" s="307">
        <f t="shared" ca="1" si="70"/>
        <v>136.68052356292074</v>
      </c>
      <c r="I175" s="304">
        <f t="shared" ca="1" si="71"/>
        <v>143.84397510566032</v>
      </c>
      <c r="J175" s="306">
        <f t="shared" ca="1" si="72"/>
        <v>34.732895419945145</v>
      </c>
      <c r="K175" s="307">
        <f t="shared" ca="1" si="73"/>
        <v>112.05721458297448</v>
      </c>
      <c r="L175" s="304">
        <f t="shared" ca="1" si="58"/>
        <v>117.31663720183781</v>
      </c>
      <c r="M175" s="306">
        <f t="shared" ca="1" si="74"/>
        <v>1.2538765540166561</v>
      </c>
      <c r="N175" s="304">
        <f t="shared" ca="1" si="75"/>
        <v>71.841834575561791</v>
      </c>
      <c r="P175" s="310">
        <f t="shared" ca="1" si="76"/>
        <v>8</v>
      </c>
      <c r="Q175" s="304">
        <f t="shared" ca="1" si="77"/>
        <v>1975.9465343511454</v>
      </c>
      <c r="R175" s="306">
        <f t="shared" ca="1" si="78"/>
        <v>1.1882831413454686</v>
      </c>
      <c r="S175" s="307">
        <f t="shared" ca="1" si="79"/>
        <v>18.122220221673608</v>
      </c>
      <c r="T175" s="304">
        <f t="shared" ca="1" si="59"/>
        <v>177.7789803746181</v>
      </c>
      <c r="U175" s="311">
        <f t="shared" ca="1" si="60"/>
        <v>0</v>
      </c>
      <c r="V175" s="306">
        <f t="shared" ca="1" si="61"/>
        <v>1.2113494732140468</v>
      </c>
      <c r="W175" s="304">
        <f t="shared" ca="1" si="62"/>
        <v>141.89906451919438</v>
      </c>
      <c r="Y175" s="314" t="str">
        <f t="shared" ca="1" si="80"/>
        <v/>
      </c>
      <c r="Z175" s="315" t="str">
        <f t="shared" ca="1" si="81"/>
        <v/>
      </c>
      <c r="AA175" s="316" t="str">
        <f t="shared" ca="1" si="82"/>
        <v/>
      </c>
      <c r="AC175" s="310" t="e">
        <f t="shared" ca="1" si="83"/>
        <v>#N/A</v>
      </c>
      <c r="AD175" s="323" t="e">
        <f t="shared" ca="1" si="84"/>
        <v>#N/A</v>
      </c>
      <c r="AE175" s="324">
        <f t="shared" ca="1" si="63"/>
        <v>112.05721458297448</v>
      </c>
      <c r="AG175" s="306">
        <f t="shared" ca="1" si="85"/>
        <v>91.981003821954346</v>
      </c>
      <c r="AH175" s="304">
        <f t="shared" ca="1" si="86"/>
        <v>101.30311348367981</v>
      </c>
    </row>
    <row r="176" spans="1:34" x14ac:dyDescent="0.2">
      <c r="A176" s="347">
        <f t="shared" ca="1" si="64"/>
        <v>0.01</v>
      </c>
      <c r="B176" s="304">
        <f t="shared" ca="1" si="65"/>
        <v>1.7200000000000013</v>
      </c>
      <c r="D176" s="306">
        <f t="shared" ca="1" si="66"/>
        <v>31.587155658368836</v>
      </c>
      <c r="E176" s="307">
        <f t="shared" ca="1" si="67"/>
        <v>86.49982486534293</v>
      </c>
      <c r="F176" s="304">
        <f t="shared" ca="1" si="68"/>
        <v>92.08674228313771</v>
      </c>
      <c r="G176" s="306">
        <f t="shared" ca="1" si="69"/>
        <v>45.143582325300102</v>
      </c>
      <c r="H176" s="307">
        <f t="shared" ca="1" si="70"/>
        <v>137.54552181157416</v>
      </c>
      <c r="I176" s="304">
        <f t="shared" ca="1" si="71"/>
        <v>144.76433813470558</v>
      </c>
      <c r="J176" s="306">
        <f t="shared" ca="1" si="72"/>
        <v>35.182751885415229</v>
      </c>
      <c r="K176" s="307">
        <f t="shared" ca="1" si="73"/>
        <v>113.42834480984696</v>
      </c>
      <c r="L176" s="304">
        <f t="shared" ca="1" si="58"/>
        <v>118.75948566970229</v>
      </c>
      <c r="M176" s="306">
        <f t="shared" ca="1" si="74"/>
        <v>1.2536653693869511</v>
      </c>
      <c r="N176" s="304">
        <f t="shared" ca="1" si="75"/>
        <v>71.829734587581655</v>
      </c>
      <c r="P176" s="310">
        <f t="shared" ca="1" si="76"/>
        <v>8</v>
      </c>
      <c r="Q176" s="304">
        <f t="shared" ca="1" si="77"/>
        <v>1977.5155547073796</v>
      </c>
      <c r="R176" s="306">
        <f t="shared" ca="1" si="78"/>
        <v>1.1892267096077309</v>
      </c>
      <c r="S176" s="307">
        <f t="shared" ca="1" si="79"/>
        <v>18.110327954577532</v>
      </c>
      <c r="T176" s="304">
        <f t="shared" ca="1" si="59"/>
        <v>177.66231723440561</v>
      </c>
      <c r="U176" s="311">
        <f t="shared" ca="1" si="60"/>
        <v>0</v>
      </c>
      <c r="V176" s="306">
        <f t="shared" ca="1" si="61"/>
        <v>1.2111833875349336</v>
      </c>
      <c r="W176" s="304">
        <f t="shared" ca="1" si="62"/>
        <v>143.70100608816912</v>
      </c>
      <c r="Y176" s="314" t="str">
        <f t="shared" ca="1" si="80"/>
        <v/>
      </c>
      <c r="Z176" s="315" t="str">
        <f t="shared" ca="1" si="81"/>
        <v/>
      </c>
      <c r="AA176" s="316" t="str">
        <f t="shared" ca="1" si="82"/>
        <v/>
      </c>
      <c r="AC176" s="310" t="e">
        <f t="shared" ca="1" si="83"/>
        <v>#N/A</v>
      </c>
      <c r="AD176" s="323" t="e">
        <f t="shared" ca="1" si="84"/>
        <v>#N/A</v>
      </c>
      <c r="AE176" s="324">
        <f t="shared" ca="1" si="63"/>
        <v>113.42834480984696</v>
      </c>
      <c r="AG176" s="306">
        <f t="shared" ca="1" si="85"/>
        <v>92.035980087669657</v>
      </c>
      <c r="AH176" s="304">
        <f t="shared" ca="1" si="86"/>
        <v>101.35744061576855</v>
      </c>
    </row>
    <row r="177" spans="1:34" x14ac:dyDescent="0.2">
      <c r="A177" s="347">
        <f t="shared" ca="1" si="64"/>
        <v>0.01</v>
      </c>
      <c r="B177" s="304">
        <f t="shared" ca="1" si="65"/>
        <v>1.7300000000000013</v>
      </c>
      <c r="D177" s="306">
        <f t="shared" ca="1" si="66"/>
        <v>31.624266197398043</v>
      </c>
      <c r="E177" s="307">
        <f t="shared" ca="1" si="67"/>
        <v>86.544253959847268</v>
      </c>
      <c r="F177" s="304">
        <f t="shared" ca="1" si="68"/>
        <v>92.141207426375914</v>
      </c>
      <c r="G177" s="306">
        <f t="shared" ca="1" si="69"/>
        <v>45.459824987274082</v>
      </c>
      <c r="H177" s="307">
        <f t="shared" ca="1" si="70"/>
        <v>138.41096435117262</v>
      </c>
      <c r="I177" s="304">
        <f t="shared" ca="1" si="71"/>
        <v>145.68524544542996</v>
      </c>
      <c r="J177" s="306">
        <f t="shared" ca="1" si="72"/>
        <v>35.635768921978098</v>
      </c>
      <c r="K177" s="307">
        <f t="shared" ca="1" si="73"/>
        <v>114.8081272406607</v>
      </c>
      <c r="L177" s="304">
        <f t="shared" ca="1" si="58"/>
        <v>120.21153899342757</v>
      </c>
      <c r="M177" s="306">
        <f t="shared" ca="1" si="74"/>
        <v>1.2534553845813003</v>
      </c>
      <c r="N177" s="304">
        <f t="shared" ca="1" si="75"/>
        <v>71.817703344455992</v>
      </c>
      <c r="P177" s="310">
        <f t="shared" ca="1" si="76"/>
        <v>8</v>
      </c>
      <c r="Q177" s="304">
        <f t="shared" ca="1" si="77"/>
        <v>1979.0845750636136</v>
      </c>
      <c r="R177" s="306">
        <f t="shared" ca="1" si="78"/>
        <v>1.190170277869993</v>
      </c>
      <c r="S177" s="307">
        <f t="shared" ca="1" si="79"/>
        <v>18.098426251798831</v>
      </c>
      <c r="T177" s="304">
        <f t="shared" ca="1" si="59"/>
        <v>177.54556153014653</v>
      </c>
      <c r="U177" s="311">
        <f t="shared" ca="1" si="60"/>
        <v>0</v>
      </c>
      <c r="V177" s="306">
        <f t="shared" ca="1" si="61"/>
        <v>1.2110162766674026</v>
      </c>
      <c r="W177" s="304">
        <f t="shared" ca="1" si="62"/>
        <v>145.51502740222168</v>
      </c>
      <c r="Y177" s="314" t="str">
        <f t="shared" ca="1" si="80"/>
        <v/>
      </c>
      <c r="Z177" s="315" t="str">
        <f t="shared" ca="1" si="81"/>
        <v/>
      </c>
      <c r="AA177" s="316" t="str">
        <f t="shared" ca="1" si="82"/>
        <v/>
      </c>
      <c r="AC177" s="310" t="e">
        <f t="shared" ca="1" si="83"/>
        <v>#N/A</v>
      </c>
      <c r="AD177" s="323" t="e">
        <f t="shared" ca="1" si="84"/>
        <v>#N/A</v>
      </c>
      <c r="AE177" s="324">
        <f t="shared" ca="1" si="63"/>
        <v>114.8081272406607</v>
      </c>
      <c r="AG177" s="306">
        <f t="shared" ca="1" si="85"/>
        <v>92.090409882957076</v>
      </c>
      <c r="AH177" s="304">
        <f t="shared" ca="1" si="86"/>
        <v>101.41122456948558</v>
      </c>
    </row>
    <row r="178" spans="1:34" x14ac:dyDescent="0.2">
      <c r="A178" s="347">
        <f t="shared" ca="1" si="64"/>
        <v>0.01</v>
      </c>
      <c r="B178" s="304">
        <f t="shared" ca="1" si="65"/>
        <v>1.7400000000000013</v>
      </c>
      <c r="D178" s="306">
        <f t="shared" ca="1" si="66"/>
        <v>31.661111445352503</v>
      </c>
      <c r="E178" s="307">
        <f t="shared" ca="1" si="67"/>
        <v>86.588192663696887</v>
      </c>
      <c r="F178" s="304">
        <f t="shared" ca="1" si="68"/>
        <v>92.195125070258044</v>
      </c>
      <c r="G178" s="306">
        <f t="shared" ca="1" si="69"/>
        <v>45.776436101727604</v>
      </c>
      <c r="H178" s="307">
        <f t="shared" ca="1" si="70"/>
        <v>139.2768462778096</v>
      </c>
      <c r="I178" s="304">
        <f t="shared" ca="1" si="71"/>
        <v>146.60669156374874</v>
      </c>
      <c r="J178" s="306">
        <f t="shared" ca="1" si="72"/>
        <v>36.091950227423105</v>
      </c>
      <c r="K178" s="307">
        <f t="shared" ca="1" si="73"/>
        <v>116.1965662938056</v>
      </c>
      <c r="L178" s="304">
        <f t="shared" ca="1" si="58"/>
        <v>121.67280258829229</v>
      </c>
      <c r="M178" s="306">
        <f t="shared" ca="1" si="74"/>
        <v>1.2532465860657471</v>
      </c>
      <c r="N178" s="304">
        <f t="shared" ca="1" si="75"/>
        <v>71.805740070746197</v>
      </c>
      <c r="P178" s="310">
        <f t="shared" ca="1" si="76"/>
        <v>8</v>
      </c>
      <c r="Q178" s="304">
        <f t="shared" ca="1" si="77"/>
        <v>1980.6535954198478</v>
      </c>
      <c r="R178" s="306">
        <f t="shared" ca="1" si="78"/>
        <v>1.1911138461322555</v>
      </c>
      <c r="S178" s="307">
        <f t="shared" ca="1" si="79"/>
        <v>18.086515113337509</v>
      </c>
      <c r="T178" s="304">
        <f t="shared" ca="1" si="59"/>
        <v>177.42871326184095</v>
      </c>
      <c r="U178" s="311">
        <f t="shared" ca="1" si="60"/>
        <v>0</v>
      </c>
      <c r="V178" s="306">
        <f t="shared" ca="1" si="61"/>
        <v>1.21084814050302</v>
      </c>
      <c r="W178" s="304">
        <f t="shared" ca="1" si="62"/>
        <v>147.34112814541757</v>
      </c>
      <c r="Y178" s="314" t="str">
        <f t="shared" ca="1" si="80"/>
        <v/>
      </c>
      <c r="Z178" s="315" t="str">
        <f t="shared" ca="1" si="81"/>
        <v/>
      </c>
      <c r="AA178" s="316" t="str">
        <f t="shared" ca="1" si="82"/>
        <v/>
      </c>
      <c r="AC178" s="310" t="e">
        <f t="shared" ca="1" si="83"/>
        <v>#N/A</v>
      </c>
      <c r="AD178" s="323" t="e">
        <f t="shared" ca="1" si="84"/>
        <v>#N/A</v>
      </c>
      <c r="AE178" s="324">
        <f t="shared" ca="1" si="63"/>
        <v>116.1965662938056</v>
      </c>
      <c r="AG178" s="306">
        <f t="shared" ca="1" si="85"/>
        <v>92.144292252601801</v>
      </c>
      <c r="AH178" s="304">
        <f t="shared" ca="1" si="86"/>
        <v>101.46446435468063</v>
      </c>
    </row>
    <row r="179" spans="1:34" x14ac:dyDescent="0.2">
      <c r="A179" s="347">
        <f t="shared" ca="1" si="64"/>
        <v>0.01</v>
      </c>
      <c r="B179" s="304">
        <f t="shared" ca="1" si="65"/>
        <v>1.7500000000000013</v>
      </c>
      <c r="D179" s="306">
        <f t="shared" ca="1" si="66"/>
        <v>31.697691916106407</v>
      </c>
      <c r="E179" s="307">
        <f t="shared" ca="1" si="67"/>
        <v>86.631639854840216</v>
      </c>
      <c r="F179" s="304">
        <f t="shared" ca="1" si="68"/>
        <v>92.248494279024072</v>
      </c>
      <c r="G179" s="306">
        <f t="shared" ca="1" si="69"/>
        <v>46.093413020888669</v>
      </c>
      <c r="H179" s="307">
        <f t="shared" ca="1" si="70"/>
        <v>140.143162676358</v>
      </c>
      <c r="I179" s="304">
        <f t="shared" ca="1" si="71"/>
        <v>147.52867100616874</v>
      </c>
      <c r="J179" s="306">
        <f t="shared" ca="1" si="72"/>
        <v>36.551299473036188</v>
      </c>
      <c r="K179" s="307">
        <f t="shared" ca="1" si="73"/>
        <v>117.59366633857644</v>
      </c>
      <c r="L179" s="304">
        <f t="shared" ca="1" si="58"/>
        <v>123.14328181478687</v>
      </c>
      <c r="M179" s="306">
        <f t="shared" ca="1" si="74"/>
        <v>1.2530389605305139</v>
      </c>
      <c r="N179" s="304">
        <f t="shared" ca="1" si="75"/>
        <v>71.793844003858183</v>
      </c>
      <c r="P179" s="310">
        <f t="shared" ca="1" si="76"/>
        <v>8</v>
      </c>
      <c r="Q179" s="304">
        <f t="shared" ca="1" si="77"/>
        <v>1982.2226157760817</v>
      </c>
      <c r="R179" s="306">
        <f t="shared" ca="1" si="78"/>
        <v>1.1920574143945175</v>
      </c>
      <c r="S179" s="307">
        <f t="shared" ca="1" si="79"/>
        <v>18.074594539193562</v>
      </c>
      <c r="T179" s="304">
        <f t="shared" ca="1" si="59"/>
        <v>177.31177242948885</v>
      </c>
      <c r="U179" s="311">
        <f t="shared" ca="1" si="60"/>
        <v>0</v>
      </c>
      <c r="V179" s="306">
        <f t="shared" ca="1" si="61"/>
        <v>1.2106789789421197</v>
      </c>
      <c r="W179" s="304">
        <f t="shared" ca="1" si="62"/>
        <v>149.17930764875416</v>
      </c>
      <c r="Y179" s="314" t="str">
        <f t="shared" ca="1" si="80"/>
        <v/>
      </c>
      <c r="Z179" s="315" t="str">
        <f t="shared" ca="1" si="81"/>
        <v/>
      </c>
      <c r="AA179" s="316" t="str">
        <f t="shared" ca="1" si="82"/>
        <v/>
      </c>
      <c r="AC179" s="310" t="e">
        <f t="shared" ca="1" si="83"/>
        <v>#N/A</v>
      </c>
      <c r="AD179" s="323" t="e">
        <f t="shared" ca="1" si="84"/>
        <v>#N/A</v>
      </c>
      <c r="AE179" s="324">
        <f t="shared" ca="1" si="63"/>
        <v>117.59366633857644</v>
      </c>
      <c r="AG179" s="306">
        <f t="shared" ca="1" si="85"/>
        <v>92.197626256026339</v>
      </c>
      <c r="AH179" s="304">
        <f t="shared" ca="1" si="86"/>
        <v>101.51715899639382</v>
      </c>
    </row>
    <row r="180" spans="1:34" x14ac:dyDescent="0.2">
      <c r="A180" s="347">
        <f t="shared" ca="1" si="64"/>
        <v>0.01</v>
      </c>
      <c r="B180" s="304">
        <f t="shared" ca="1" si="65"/>
        <v>1.7600000000000013</v>
      </c>
      <c r="D180" s="306">
        <f t="shared" ca="1" si="66"/>
        <v>31.734008111938223</v>
      </c>
      <c r="E180" s="307">
        <f t="shared" ca="1" si="67"/>
        <v>86.674594429767808</v>
      </c>
      <c r="F180" s="304">
        <f t="shared" ca="1" si="68"/>
        <v>92.301314131562052</v>
      </c>
      <c r="G180" s="306">
        <f t="shared" ca="1" si="69"/>
        <v>46.410753102008051</v>
      </c>
      <c r="H180" s="307">
        <f t="shared" ca="1" si="70"/>
        <v>141.00990862065569</v>
      </c>
      <c r="I180" s="304">
        <f t="shared" ca="1" si="71"/>
        <v>148.45117827993559</v>
      </c>
      <c r="J180" s="306">
        <f t="shared" ca="1" si="72"/>
        <v>37.013820303650675</v>
      </c>
      <c r="K180" s="307">
        <f t="shared" ca="1" si="73"/>
        <v>118.9994316950615</v>
      </c>
      <c r="L180" s="304">
        <f t="shared" ca="1" si="58"/>
        <v>124.62298197852013</v>
      </c>
      <c r="M180" s="306">
        <f t="shared" ca="1" si="74"/>
        <v>1.2528324948850265</v>
      </c>
      <c r="N180" s="304">
        <f t="shared" ca="1" si="75"/>
        <v>71.782014393757308</v>
      </c>
      <c r="P180" s="310">
        <f t="shared" ca="1" si="76"/>
        <v>8</v>
      </c>
      <c r="Q180" s="304">
        <f t="shared" ca="1" si="77"/>
        <v>1983.7916361323159</v>
      </c>
      <c r="R180" s="306">
        <f t="shared" ca="1" si="78"/>
        <v>1.1930009826567798</v>
      </c>
      <c r="S180" s="307">
        <f t="shared" ca="1" si="79"/>
        <v>18.062664529366995</v>
      </c>
      <c r="T180" s="304">
        <f t="shared" ca="1" si="59"/>
        <v>177.19473903309023</v>
      </c>
      <c r="U180" s="311">
        <f t="shared" ca="1" si="60"/>
        <v>0</v>
      </c>
      <c r="V180" s="306">
        <f t="shared" ca="1" si="61"/>
        <v>1.2105087918938156</v>
      </c>
      <c r="W180" s="304">
        <f t="shared" ca="1" si="62"/>
        <v>151.02956488963872</v>
      </c>
      <c r="Y180" s="314" t="str">
        <f t="shared" ca="1" si="80"/>
        <v/>
      </c>
      <c r="Z180" s="315" t="str">
        <f t="shared" ca="1" si="81"/>
        <v/>
      </c>
      <c r="AA180" s="316" t="str">
        <f t="shared" ca="1" si="82"/>
        <v/>
      </c>
      <c r="AC180" s="310" t="e">
        <f t="shared" ca="1" si="83"/>
        <v>#N/A</v>
      </c>
      <c r="AD180" s="323" t="e">
        <f t="shared" ca="1" si="84"/>
        <v>#N/A</v>
      </c>
      <c r="AE180" s="324">
        <f t="shared" ca="1" si="63"/>
        <v>118.9994316950615</v>
      </c>
      <c r="AG180" s="306">
        <f t="shared" ca="1" si="85"/>
        <v>92.250410967377547</v>
      </c>
      <c r="AH180" s="304">
        <f t="shared" ca="1" si="86"/>
        <v>101.56930753493076</v>
      </c>
    </row>
    <row r="181" spans="1:34" x14ac:dyDescent="0.2">
      <c r="A181" s="347">
        <f t="shared" ca="1" si="64"/>
        <v>0.01</v>
      </c>
      <c r="B181" s="304">
        <f t="shared" ca="1" si="65"/>
        <v>1.7700000000000014</v>
      </c>
      <c r="D181" s="306">
        <f t="shared" ca="1" si="66"/>
        <v>31.770060523944167</v>
      </c>
      <c r="E181" s="307">
        <f t="shared" ca="1" si="67"/>
        <v>86.717055303488209</v>
      </c>
      <c r="F181" s="304">
        <f t="shared" ca="1" si="68"/>
        <v>92.353583721495667</v>
      </c>
      <c r="G181" s="306">
        <f t="shared" ca="1" si="69"/>
        <v>46.728453707247496</v>
      </c>
      <c r="H181" s="307">
        <f t="shared" ca="1" si="70"/>
        <v>141.87707917369059</v>
      </c>
      <c r="I181" s="304">
        <f t="shared" ca="1" si="71"/>
        <v>149.3742078831819</v>
      </c>
      <c r="J181" s="306">
        <f t="shared" ca="1" si="72"/>
        <v>37.47951633769695</v>
      </c>
      <c r="K181" s="307">
        <f t="shared" ca="1" si="73"/>
        <v>120.41386663403324</v>
      </c>
      <c r="L181" s="304">
        <f t="shared" ca="1" si="58"/>
        <v>126.11190833012731</v>
      </c>
      <c r="M181" s="306">
        <f t="shared" ca="1" si="74"/>
        <v>1.2526271762530763</v>
      </c>
      <c r="N181" s="304">
        <f t="shared" ca="1" si="75"/>
        <v>71.770250502691169</v>
      </c>
      <c r="P181" s="310">
        <f t="shared" ca="1" si="76"/>
        <v>8</v>
      </c>
      <c r="Q181" s="304">
        <f t="shared" ca="1" si="77"/>
        <v>1985.3606564885499</v>
      </c>
      <c r="R181" s="306">
        <f t="shared" ca="1" si="78"/>
        <v>1.1939445509190421</v>
      </c>
      <c r="S181" s="307">
        <f t="shared" ca="1" si="79"/>
        <v>18.050725083857802</v>
      </c>
      <c r="T181" s="304">
        <f t="shared" ca="1" si="59"/>
        <v>177.07761307264505</v>
      </c>
      <c r="U181" s="311">
        <f t="shared" ca="1" si="60"/>
        <v>0</v>
      </c>
      <c r="V181" s="306">
        <f t="shared" ca="1" si="61"/>
        <v>1.2103375792760105</v>
      </c>
      <c r="W181" s="304">
        <f t="shared" ca="1" si="62"/>
        <v>152.89189849138853</v>
      </c>
      <c r="Y181" s="314" t="str">
        <f t="shared" ca="1" si="80"/>
        <v/>
      </c>
      <c r="Z181" s="315" t="str">
        <f t="shared" ca="1" si="81"/>
        <v/>
      </c>
      <c r="AA181" s="316" t="str">
        <f t="shared" ca="1" si="82"/>
        <v/>
      </c>
      <c r="AC181" s="310" t="e">
        <f t="shared" ca="1" si="83"/>
        <v>#N/A</v>
      </c>
      <c r="AD181" s="323" t="e">
        <f t="shared" ca="1" si="84"/>
        <v>#N/A</v>
      </c>
      <c r="AE181" s="324">
        <f t="shared" ca="1" si="63"/>
        <v>120.41386663403324</v>
      </c>
      <c r="AG181" s="306">
        <f t="shared" ca="1" si="85"/>
        <v>92.302645475612508</v>
      </c>
      <c r="AH181" s="304">
        <f t="shared" ca="1" si="86"/>
        <v>101.62090902593691</v>
      </c>
    </row>
    <row r="182" spans="1:34" x14ac:dyDescent="0.2">
      <c r="A182" s="347">
        <f t="shared" ca="1" si="64"/>
        <v>0.01</v>
      </c>
      <c r="B182" s="304">
        <f t="shared" ca="1" si="65"/>
        <v>1.7800000000000014</v>
      </c>
      <c r="D182" s="306">
        <f t="shared" ca="1" si="66"/>
        <v>31.805849632440552</v>
      </c>
      <c r="E182" s="307">
        <f t="shared" ca="1" si="67"/>
        <v>86.759021409505408</v>
      </c>
      <c r="F182" s="304">
        <f t="shared" ca="1" si="68"/>
        <v>92.40530215727037</v>
      </c>
      <c r="G182" s="306">
        <f t="shared" ca="1" si="69"/>
        <v>47.046512203571901</v>
      </c>
      <c r="H182" s="307">
        <f t="shared" ca="1" si="70"/>
        <v>142.74466938778565</v>
      </c>
      <c r="I182" s="304">
        <f t="shared" ca="1" si="71"/>
        <v>150.29775430507627</v>
      </c>
      <c r="J182" s="306">
        <f t="shared" ca="1" si="72"/>
        <v>37.948391167251046</v>
      </c>
      <c r="K182" s="307">
        <f t="shared" ca="1" si="73"/>
        <v>121.83697537684063</v>
      </c>
      <c r="L182" s="304">
        <f t="shared" ca="1" si="58"/>
        <v>127.61006606517985</v>
      </c>
      <c r="M182" s="306">
        <f t="shared" ca="1" si="74"/>
        <v>1.2524229919681178</v>
      </c>
      <c r="N182" s="304">
        <f t="shared" ca="1" si="75"/>
        <v>71.758551604920143</v>
      </c>
      <c r="P182" s="310">
        <f t="shared" ca="1" si="76"/>
        <v>8</v>
      </c>
      <c r="Q182" s="304">
        <f t="shared" ca="1" si="77"/>
        <v>1986.9296768447841</v>
      </c>
      <c r="R182" s="306">
        <f t="shared" ca="1" si="78"/>
        <v>1.1948881191813043</v>
      </c>
      <c r="S182" s="307">
        <f t="shared" ca="1" si="79"/>
        <v>18.038776202665989</v>
      </c>
      <c r="T182" s="304">
        <f t="shared" ca="1" si="59"/>
        <v>176.96039454815337</v>
      </c>
      <c r="U182" s="311">
        <f t="shared" ca="1" si="60"/>
        <v>0</v>
      </c>
      <c r="V182" s="306">
        <f t="shared" ca="1" si="61"/>
        <v>1.2101653410154083</v>
      </c>
      <c r="W182" s="304">
        <f t="shared" ca="1" si="62"/>
        <v>154.76630672275297</v>
      </c>
      <c r="Y182" s="314" t="str">
        <f t="shared" ca="1" si="80"/>
        <v/>
      </c>
      <c r="Z182" s="315" t="str">
        <f t="shared" ca="1" si="81"/>
        <v/>
      </c>
      <c r="AA182" s="316" t="str">
        <f t="shared" ca="1" si="82"/>
        <v/>
      </c>
      <c r="AC182" s="310" t="e">
        <f t="shared" ca="1" si="83"/>
        <v>#N/A</v>
      </c>
      <c r="AD182" s="323" t="e">
        <f t="shared" ca="1" si="84"/>
        <v>#N/A</v>
      </c>
      <c r="AE182" s="324">
        <f t="shared" ca="1" si="63"/>
        <v>121.83697537684063</v>
      </c>
      <c r="AG182" s="306">
        <f t="shared" ca="1" si="85"/>
        <v>92.354328884583254</v>
      </c>
      <c r="AH182" s="304">
        <f t="shared" ca="1" si="86"/>
        <v>101.67196254047097</v>
      </c>
    </row>
    <row r="183" spans="1:34" x14ac:dyDescent="0.2">
      <c r="A183" s="347">
        <f t="shared" ca="1" si="64"/>
        <v>0.01</v>
      </c>
      <c r="B183" s="304">
        <f t="shared" ca="1" si="65"/>
        <v>1.7900000000000014</v>
      </c>
      <c r="D183" s="306">
        <f t="shared" ca="1" si="66"/>
        <v>31.841375907355335</v>
      </c>
      <c r="E183" s="307">
        <f t="shared" ca="1" si="67"/>
        <v>86.800491699798229</v>
      </c>
      <c r="F183" s="304">
        <f t="shared" ca="1" si="68"/>
        <v>92.456468562238783</v>
      </c>
      <c r="G183" s="306">
        <f t="shared" ca="1" si="69"/>
        <v>47.364925962645451</v>
      </c>
      <c r="H183" s="307">
        <f t="shared" ca="1" si="70"/>
        <v>143.61267430478364</v>
      </c>
      <c r="I183" s="304">
        <f t="shared" ca="1" si="71"/>
        <v>151.22181202597312</v>
      </c>
      <c r="J183" s="306">
        <f t="shared" ca="1" si="72"/>
        <v>38.420448358082133</v>
      </c>
      <c r="K183" s="307">
        <f t="shared" ca="1" si="73"/>
        <v>123.26876209530347</v>
      </c>
      <c r="L183" s="304">
        <f t="shared" ca="1" si="58"/>
        <v>129.1174603240963</v>
      </c>
      <c r="M183" s="306">
        <f t="shared" ca="1" si="74"/>
        <v>1.252219929568694</v>
      </c>
      <c r="N183" s="304">
        <f t="shared" ca="1" si="75"/>
        <v>71.746916986455361</v>
      </c>
      <c r="P183" s="310">
        <f t="shared" ca="1" si="76"/>
        <v>8</v>
      </c>
      <c r="Q183" s="304">
        <f t="shared" ca="1" si="77"/>
        <v>1988.4986972010181</v>
      </c>
      <c r="R183" s="306">
        <f t="shared" ca="1" si="78"/>
        <v>1.1958316874435666</v>
      </c>
      <c r="S183" s="307">
        <f t="shared" ca="1" si="79"/>
        <v>18.026817885791555</v>
      </c>
      <c r="T183" s="304">
        <f t="shared" ca="1" si="59"/>
        <v>176.84308345961517</v>
      </c>
      <c r="U183" s="311">
        <f t="shared" ca="1" si="60"/>
        <v>0</v>
      </c>
      <c r="V183" s="306">
        <f t="shared" ca="1" si="61"/>
        <v>1.2099920770475241</v>
      </c>
      <c r="W183" s="304">
        <f t="shared" ca="1" si="62"/>
        <v>156.65278749745684</v>
      </c>
      <c r="Y183" s="314" t="str">
        <f t="shared" ca="1" si="80"/>
        <v/>
      </c>
      <c r="Z183" s="315" t="str">
        <f t="shared" ca="1" si="81"/>
        <v/>
      </c>
      <c r="AA183" s="316" t="str">
        <f t="shared" ca="1" si="82"/>
        <v/>
      </c>
      <c r="AC183" s="310" t="e">
        <f t="shared" ca="1" si="83"/>
        <v>#N/A</v>
      </c>
      <c r="AD183" s="323" t="e">
        <f t="shared" ca="1" si="84"/>
        <v>#N/A</v>
      </c>
      <c r="AE183" s="324">
        <f t="shared" ca="1" si="63"/>
        <v>123.26876209530347</v>
      </c>
      <c r="AG183" s="306">
        <f t="shared" ca="1" si="85"/>
        <v>92.405460313120386</v>
      </c>
      <c r="AH183" s="304">
        <f t="shared" ca="1" si="86"/>
        <v>101.7224671650776</v>
      </c>
    </row>
    <row r="184" spans="1:34" x14ac:dyDescent="0.2">
      <c r="A184" s="347">
        <f t="shared" ca="1" si="64"/>
        <v>0.01</v>
      </c>
      <c r="B184" s="304">
        <f t="shared" ca="1" si="65"/>
        <v>1.8000000000000014</v>
      </c>
      <c r="D184" s="306">
        <f t="shared" ca="1" si="66"/>
        <v>31.876639808609397</v>
      </c>
      <c r="E184" s="307">
        <f t="shared" ca="1" si="67"/>
        <v>86.841465144801347</v>
      </c>
      <c r="F184" s="304">
        <f t="shared" ca="1" si="68"/>
        <v>92.507082074744787</v>
      </c>
      <c r="G184" s="306">
        <f t="shared" ca="1" si="69"/>
        <v>47.683692360731541</v>
      </c>
      <c r="H184" s="307">
        <f t="shared" ca="1" si="70"/>
        <v>144.48108895623164</v>
      </c>
      <c r="I184" s="304">
        <f t="shared" ca="1" si="71"/>
        <v>152.14637551756337</v>
      </c>
      <c r="J184" s="306">
        <f t="shared" ca="1" si="72"/>
        <v>38.895691449699015</v>
      </c>
      <c r="K184" s="307">
        <f t="shared" ca="1" si="73"/>
        <v>124.70923091160854</v>
      </c>
      <c r="L184" s="304">
        <f t="shared" ca="1" si="58"/>
        <v>130.63409619205504</v>
      </c>
      <c r="M184" s="306">
        <f t="shared" ca="1" si="74"/>
        <v>1.2520179767939861</v>
      </c>
      <c r="N184" s="304">
        <f t="shared" ca="1" si="75"/>
        <v>71.73534594480364</v>
      </c>
      <c r="P184" s="310">
        <f t="shared" ca="1" si="76"/>
        <v>8</v>
      </c>
      <c r="Q184" s="304">
        <f t="shared" ca="1" si="77"/>
        <v>1990.0677175572523</v>
      </c>
      <c r="R184" s="306">
        <f t="shared" ca="1" si="78"/>
        <v>1.1967752557058289</v>
      </c>
      <c r="S184" s="307">
        <f t="shared" ca="1" si="79"/>
        <v>18.014850133234496</v>
      </c>
      <c r="T184" s="304">
        <f t="shared" ca="1" si="59"/>
        <v>176.72567980703042</v>
      </c>
      <c r="U184" s="311">
        <f t="shared" ca="1" si="60"/>
        <v>0</v>
      </c>
      <c r="V184" s="306">
        <f t="shared" ca="1" si="61"/>
        <v>1.2098177873166915</v>
      </c>
      <c r="W184" s="304">
        <f t="shared" ca="1" si="62"/>
        <v>158.55133837376576</v>
      </c>
      <c r="Y184" s="314" t="str">
        <f t="shared" ca="1" si="80"/>
        <v/>
      </c>
      <c r="Z184" s="315" t="str">
        <f t="shared" ca="1" si="81"/>
        <v/>
      </c>
      <c r="AA184" s="316" t="str">
        <f t="shared" ca="1" si="82"/>
        <v/>
      </c>
      <c r="AC184" s="310" t="e">
        <f t="shared" ca="1" si="83"/>
        <v>#N/A</v>
      </c>
      <c r="AD184" s="323" t="e">
        <f t="shared" ca="1" si="84"/>
        <v>#N/A</v>
      </c>
      <c r="AE184" s="324">
        <f t="shared" ca="1" si="63"/>
        <v>124.70923091160854</v>
      </c>
      <c r="AG184" s="306">
        <f t="shared" ca="1" si="85"/>
        <v>92.45603889511591</v>
      </c>
      <c r="AH184" s="304">
        <f t="shared" ca="1" si="86"/>
        <v>101.77242200185948</v>
      </c>
    </row>
    <row r="185" spans="1:34" x14ac:dyDescent="0.2">
      <c r="A185" s="347">
        <f t="shared" ca="1" si="64"/>
        <v>0.01</v>
      </c>
      <c r="B185" s="304">
        <f t="shared" ca="1" si="65"/>
        <v>1.8100000000000014</v>
      </c>
      <c r="D185" s="306">
        <f t="shared" ca="1" si="66"/>
        <v>31.911641786487767</v>
      </c>
      <c r="E185" s="307">
        <f t="shared" ca="1" si="67"/>
        <v>86.881940733387509</v>
      </c>
      <c r="F185" s="304">
        <f t="shared" ca="1" si="68"/>
        <v>92.557141848206257</v>
      </c>
      <c r="G185" s="306">
        <f t="shared" ca="1" si="69"/>
        <v>48.002808778596417</v>
      </c>
      <c r="H185" s="307">
        <f t="shared" ca="1" si="70"/>
        <v>145.34990836356553</v>
      </c>
      <c r="I185" s="304">
        <f t="shared" ca="1" si="71"/>
        <v>153.07143924302596</v>
      </c>
      <c r="J185" s="306">
        <f t="shared" ca="1" si="72"/>
        <v>39.374123955395653</v>
      </c>
      <c r="K185" s="307">
        <f t="shared" ca="1" si="73"/>
        <v>126.15838589820753</v>
      </c>
      <c r="L185" s="304">
        <f t="shared" ca="1" si="58"/>
        <v>132.15997869890836</v>
      </c>
      <c r="M185" s="306">
        <f t="shared" ca="1" si="74"/>
        <v>1.2518171215794871</v>
      </c>
      <c r="N185" s="304">
        <f t="shared" ca="1" si="75"/>
        <v>71.723837788719663</v>
      </c>
      <c r="P185" s="310">
        <f t="shared" ca="1" si="76"/>
        <v>8</v>
      </c>
      <c r="Q185" s="304">
        <f t="shared" ca="1" si="77"/>
        <v>1991.6367379134863</v>
      </c>
      <c r="R185" s="306">
        <f t="shared" ca="1" si="78"/>
        <v>1.1977188239680912</v>
      </c>
      <c r="S185" s="307">
        <f t="shared" ca="1" si="79"/>
        <v>18.002872944994817</v>
      </c>
      <c r="T185" s="304">
        <f t="shared" ca="1" si="59"/>
        <v>176.60818359039916</v>
      </c>
      <c r="U185" s="311">
        <f t="shared" ca="1" si="60"/>
        <v>0</v>
      </c>
      <c r="V185" s="306">
        <f t="shared" ca="1" si="61"/>
        <v>1.2096424717760754</v>
      </c>
      <c r="W185" s="304">
        <f t="shared" ca="1" si="62"/>
        <v>160.46195655407456</v>
      </c>
      <c r="Y185" s="314" t="str">
        <f t="shared" ca="1" si="80"/>
        <v/>
      </c>
      <c r="Z185" s="315" t="str">
        <f t="shared" ca="1" si="81"/>
        <v/>
      </c>
      <c r="AA185" s="316" t="str">
        <f t="shared" ca="1" si="82"/>
        <v/>
      </c>
      <c r="AC185" s="310" t="e">
        <f t="shared" ca="1" si="83"/>
        <v>#N/A</v>
      </c>
      <c r="AD185" s="323" t="e">
        <f t="shared" ca="1" si="84"/>
        <v>#N/A</v>
      </c>
      <c r="AE185" s="324">
        <f t="shared" ca="1" si="63"/>
        <v>126.15838589820753</v>
      </c>
      <c r="AG185" s="306">
        <f t="shared" ca="1" si="85"/>
        <v>92.506063779604375</v>
      </c>
      <c r="AH185" s="304">
        <f t="shared" ca="1" si="86"/>
        <v>101.82182616854814</v>
      </c>
    </row>
    <row r="186" spans="1:34" x14ac:dyDescent="0.2">
      <c r="A186" s="347">
        <f t="shared" ca="1" si="64"/>
        <v>0.01</v>
      </c>
      <c r="B186" s="304">
        <f t="shared" ca="1" si="65"/>
        <v>1.8200000000000014</v>
      </c>
      <c r="D186" s="306">
        <f t="shared" ca="1" si="66"/>
        <v>31.946382282000947</v>
      </c>
      <c r="E186" s="307">
        <f t="shared" ca="1" si="67"/>
        <v>86.921917472851717</v>
      </c>
      <c r="F186" s="304">
        <f t="shared" ca="1" si="68"/>
        <v>92.606647051197072</v>
      </c>
      <c r="G186" s="306">
        <f t="shared" ca="1" si="69"/>
        <v>48.322272601416429</v>
      </c>
      <c r="H186" s="307">
        <f t="shared" ca="1" si="70"/>
        <v>146.21912753829406</v>
      </c>
      <c r="I186" s="304">
        <f t="shared" ca="1" si="71"/>
        <v>153.99699765718003</v>
      </c>
      <c r="J186" s="306">
        <f t="shared" ca="1" si="72"/>
        <v>39.855749362295718</v>
      </c>
      <c r="K186" s="307">
        <f t="shared" ca="1" si="73"/>
        <v>127.61623107771682</v>
      </c>
      <c r="L186" s="304">
        <f t="shared" ca="1" si="58"/>
        <v>133.69511281909803</v>
      </c>
      <c r="M186" s="306">
        <f t="shared" ca="1" si="74"/>
        <v>1.2516173520527887</v>
      </c>
      <c r="N186" s="304">
        <f t="shared" ca="1" si="75"/>
        <v>71.712391837964518</v>
      </c>
      <c r="P186" s="310">
        <f t="shared" ca="1" si="76"/>
        <v>8</v>
      </c>
      <c r="Q186" s="304">
        <f t="shared" ca="1" si="77"/>
        <v>1993.2057582697205</v>
      </c>
      <c r="R186" s="306">
        <f t="shared" ca="1" si="78"/>
        <v>1.1986623922303534</v>
      </c>
      <c r="S186" s="307">
        <f t="shared" ca="1" si="79"/>
        <v>17.990886321072512</v>
      </c>
      <c r="T186" s="304">
        <f t="shared" ca="1" si="59"/>
        <v>176.49059480972136</v>
      </c>
      <c r="U186" s="311">
        <f t="shared" ca="1" si="60"/>
        <v>0</v>
      </c>
      <c r="V186" s="306">
        <f t="shared" ca="1" si="61"/>
        <v>1.2094661303876784</v>
      </c>
      <c r="W186" s="304">
        <f t="shared" ca="1" si="62"/>
        <v>162.38463888451602</v>
      </c>
      <c r="Y186" s="314" t="str">
        <f t="shared" ca="1" si="80"/>
        <v/>
      </c>
      <c r="Z186" s="315" t="str">
        <f t="shared" ca="1" si="81"/>
        <v/>
      </c>
      <c r="AA186" s="316" t="str">
        <f t="shared" ca="1" si="82"/>
        <v/>
      </c>
      <c r="AC186" s="310" t="e">
        <f t="shared" ca="1" si="83"/>
        <v>#N/A</v>
      </c>
      <c r="AD186" s="323" t="e">
        <f t="shared" ca="1" si="84"/>
        <v>#N/A</v>
      </c>
      <c r="AE186" s="324">
        <f t="shared" ca="1" si="63"/>
        <v>127.61623107771682</v>
      </c>
      <c r="AG186" s="306">
        <f t="shared" ca="1" si="85"/>
        <v>92.555534130843554</v>
      </c>
      <c r="AH186" s="304">
        <f t="shared" ca="1" si="86"/>
        <v>101.87067879857452</v>
      </c>
    </row>
    <row r="187" spans="1:34" x14ac:dyDescent="0.2">
      <c r="A187" s="347">
        <f t="shared" ca="1" si="64"/>
        <v>0.01</v>
      </c>
      <c r="B187" s="304">
        <f t="shared" ca="1" si="65"/>
        <v>1.8300000000000014</v>
      </c>
      <c r="D187" s="306">
        <f t="shared" ca="1" si="66"/>
        <v>31.980861727237084</v>
      </c>
      <c r="E187" s="307">
        <f t="shared" ca="1" si="67"/>
        <v>86.961394388896295</v>
      </c>
      <c r="F187" s="304">
        <f t="shared" ca="1" si="68"/>
        <v>92.655596867527777</v>
      </c>
      <c r="G187" s="306">
        <f t="shared" ca="1" si="69"/>
        <v>48.642081218688801</v>
      </c>
      <c r="H187" s="307">
        <f t="shared" ca="1" si="70"/>
        <v>147.08874148218302</v>
      </c>
      <c r="I187" s="304">
        <f t="shared" ca="1" si="71"/>
        <v>154.92304520663797</v>
      </c>
      <c r="J187" s="306">
        <f t="shared" ca="1" si="72"/>
        <v>40.340571131396246</v>
      </c>
      <c r="K187" s="307">
        <f t="shared" ca="1" si="73"/>
        <v>129.08277042281921</v>
      </c>
      <c r="L187" s="304">
        <f t="shared" ca="1" si="58"/>
        <v>135.23950347157256</v>
      </c>
      <c r="M187" s="306">
        <f t="shared" ca="1" si="74"/>
        <v>1.2514186565294838</v>
      </c>
      <c r="N187" s="304">
        <f t="shared" ca="1" si="75"/>
        <v>71.701007423071005</v>
      </c>
      <c r="P187" s="310">
        <f t="shared" ca="1" si="76"/>
        <v>8</v>
      </c>
      <c r="Q187" s="304">
        <f t="shared" ca="1" si="77"/>
        <v>1994.7747786259547</v>
      </c>
      <c r="R187" s="306">
        <f t="shared" ca="1" si="78"/>
        <v>1.1996059604926157</v>
      </c>
      <c r="S187" s="307">
        <f t="shared" ca="1" si="79"/>
        <v>17.978890261467587</v>
      </c>
      <c r="T187" s="304">
        <f t="shared" ca="1" si="59"/>
        <v>176.37291346499703</v>
      </c>
      <c r="U187" s="311">
        <f t="shared" ca="1" si="60"/>
        <v>0</v>
      </c>
      <c r="V187" s="306">
        <f t="shared" ca="1" si="61"/>
        <v>1.2092887631223517</v>
      </c>
      <c r="W187" s="304">
        <f t="shared" ca="1" si="62"/>
        <v>164.31938185459339</v>
      </c>
      <c r="Y187" s="314" t="str">
        <f t="shared" ca="1" si="80"/>
        <v/>
      </c>
      <c r="Z187" s="315" t="str">
        <f t="shared" ca="1" si="81"/>
        <v/>
      </c>
      <c r="AA187" s="316" t="str">
        <f t="shared" ca="1" si="82"/>
        <v/>
      </c>
      <c r="AC187" s="310" t="e">
        <f t="shared" ca="1" si="83"/>
        <v>#N/A</v>
      </c>
      <c r="AD187" s="323" t="e">
        <f t="shared" ca="1" si="84"/>
        <v>#N/A</v>
      </c>
      <c r="AE187" s="324">
        <f t="shared" ca="1" si="63"/>
        <v>129.08277042281921</v>
      </c>
      <c r="AG187" s="306">
        <f t="shared" ca="1" si="85"/>
        <v>92.604449128393597</v>
      </c>
      <c r="AH187" s="304">
        <f t="shared" ca="1" si="86"/>
        <v>101.9189790411382</v>
      </c>
    </row>
    <row r="188" spans="1:34" x14ac:dyDescent="0.2">
      <c r="A188" s="347">
        <f t="shared" ca="1" si="64"/>
        <v>0.01</v>
      </c>
      <c r="B188" s="304">
        <f t="shared" ca="1" si="65"/>
        <v>1.8400000000000014</v>
      </c>
      <c r="D188" s="306">
        <f t="shared" ca="1" si="66"/>
        <v>32.015080545704834</v>
      </c>
      <c r="E188" s="307">
        <f t="shared" ca="1" si="67"/>
        <v>87.000370525617583</v>
      </c>
      <c r="F188" s="304">
        <f t="shared" ca="1" si="68"/>
        <v>92.703990496325005</v>
      </c>
      <c r="G188" s="306">
        <f t="shared" ca="1" si="69"/>
        <v>48.962232024145848</v>
      </c>
      <c r="H188" s="307">
        <f t="shared" ca="1" si="70"/>
        <v>147.95874518743921</v>
      </c>
      <c r="I188" s="304">
        <f t="shared" ca="1" si="71"/>
        <v>155.84957632995946</v>
      </c>
      <c r="J188" s="306">
        <f t="shared" ca="1" si="72"/>
        <v>40.828592697610418</v>
      </c>
      <c r="K188" s="307">
        <f t="shared" ca="1" si="73"/>
        <v>130.55800785616731</v>
      </c>
      <c r="L188" s="304">
        <f t="shared" ca="1" si="58"/>
        <v>136.79315551970578</v>
      </c>
      <c r="M188" s="306">
        <f t="shared" ca="1" si="74"/>
        <v>1.2512210235091781</v>
      </c>
      <c r="N188" s="304">
        <f t="shared" ca="1" si="75"/>
        <v>71.689683885115059</v>
      </c>
      <c r="P188" s="310">
        <f t="shared" ca="1" si="76"/>
        <v>8</v>
      </c>
      <c r="Q188" s="304">
        <f t="shared" ca="1" si="77"/>
        <v>1996.3437989821887</v>
      </c>
      <c r="R188" s="306">
        <f t="shared" ca="1" si="78"/>
        <v>1.200549528754878</v>
      </c>
      <c r="S188" s="307">
        <f t="shared" ca="1" si="79"/>
        <v>17.966884766180037</v>
      </c>
      <c r="T188" s="304">
        <f t="shared" ca="1" si="59"/>
        <v>176.25513955622617</v>
      </c>
      <c r="U188" s="311">
        <f t="shared" ca="1" si="60"/>
        <v>0</v>
      </c>
      <c r="V188" s="306">
        <f t="shared" ca="1" si="61"/>
        <v>1.2091103699598005</v>
      </c>
      <c r="W188" s="304">
        <f t="shared" ca="1" si="62"/>
        <v>166.26618159683443</v>
      </c>
      <c r="Y188" s="314" t="str">
        <f t="shared" ca="1" si="80"/>
        <v/>
      </c>
      <c r="Z188" s="315" t="str">
        <f t="shared" ca="1" si="81"/>
        <v/>
      </c>
      <c r="AA188" s="316" t="str">
        <f t="shared" ca="1" si="82"/>
        <v/>
      </c>
      <c r="AC188" s="310" t="e">
        <f t="shared" ca="1" si="83"/>
        <v>#N/A</v>
      </c>
      <c r="AD188" s="323" t="e">
        <f t="shared" ca="1" si="84"/>
        <v>#N/A</v>
      </c>
      <c r="AE188" s="324">
        <f t="shared" ca="1" si="63"/>
        <v>130.55800785616731</v>
      </c>
      <c r="AG188" s="306">
        <f t="shared" ca="1" si="85"/>
        <v>92.652807967195272</v>
      </c>
      <c r="AH188" s="304">
        <f t="shared" ca="1" si="86"/>
        <v>101.96672606127615</v>
      </c>
    </row>
    <row r="189" spans="1:34" x14ac:dyDescent="0.2">
      <c r="A189" s="347">
        <f t="shared" ca="1" si="64"/>
        <v>0.01</v>
      </c>
      <c r="B189" s="304">
        <f t="shared" ca="1" si="65"/>
        <v>1.8500000000000014</v>
      </c>
      <c r="D189" s="306">
        <f t="shared" ca="1" si="66"/>
        <v>32.049039152667433</v>
      </c>
      <c r="E189" s="307">
        <f t="shared" ca="1" si="67"/>
        <v>87.038844945493636</v>
      </c>
      <c r="F189" s="304">
        <f t="shared" ca="1" si="68"/>
        <v>92.751827152110025</v>
      </c>
      <c r="G189" s="306">
        <f t="shared" ca="1" si="69"/>
        <v>49.282722415672524</v>
      </c>
      <c r="H189" s="307">
        <f t="shared" ca="1" si="70"/>
        <v>148.82913363689414</v>
      </c>
      <c r="I189" s="304">
        <f t="shared" ca="1" si="71"/>
        <v>156.77658545780594</v>
      </c>
      <c r="J189" s="306">
        <f t="shared" ca="1" si="72"/>
        <v>41.319817469809507</v>
      </c>
      <c r="K189" s="307">
        <f t="shared" ca="1" si="73"/>
        <v>132.04194725028898</v>
      </c>
      <c r="L189" s="304">
        <f t="shared" ca="1" si="58"/>
        <v>138.3560737712171</v>
      </c>
      <c r="M189" s="306">
        <f t="shared" ca="1" si="74"/>
        <v>1.2510244416716068</v>
      </c>
      <c r="N189" s="304">
        <f t="shared" ca="1" si="75"/>
        <v>71.678420575493291</v>
      </c>
      <c r="P189" s="310">
        <f t="shared" ca="1" si="76"/>
        <v>8</v>
      </c>
      <c r="Q189" s="304">
        <f t="shared" ca="1" si="77"/>
        <v>1997.9128193384229</v>
      </c>
      <c r="R189" s="306">
        <f t="shared" ca="1" si="78"/>
        <v>1.2014930970171402</v>
      </c>
      <c r="S189" s="307">
        <f t="shared" ca="1" si="79"/>
        <v>17.954869835209866</v>
      </c>
      <c r="T189" s="304">
        <f t="shared" ca="1" si="59"/>
        <v>176.13727308340879</v>
      </c>
      <c r="U189" s="311">
        <f t="shared" ca="1" si="60"/>
        <v>0</v>
      </c>
      <c r="V189" s="306">
        <f t="shared" ca="1" si="61"/>
        <v>1.2089309508885964</v>
      </c>
      <c r="W189" s="304">
        <f t="shared" ca="1" si="62"/>
        <v>168.22503388646828</v>
      </c>
      <c r="Y189" s="314" t="str">
        <f t="shared" ca="1" si="80"/>
        <v/>
      </c>
      <c r="Z189" s="315" t="str">
        <f t="shared" ca="1" si="81"/>
        <v/>
      </c>
      <c r="AA189" s="316" t="str">
        <f t="shared" ca="1" si="82"/>
        <v/>
      </c>
      <c r="AC189" s="310" t="e">
        <f t="shared" ca="1" si="83"/>
        <v>#N/A</v>
      </c>
      <c r="AD189" s="323" t="e">
        <f t="shared" ca="1" si="84"/>
        <v>#N/A</v>
      </c>
      <c r="AE189" s="324">
        <f t="shared" ca="1" si="63"/>
        <v>132.04194725028898</v>
      </c>
      <c r="AG189" s="306">
        <f t="shared" ca="1" si="85"/>
        <v>92.700609857647095</v>
      </c>
      <c r="AH189" s="304">
        <f t="shared" ca="1" si="86"/>
        <v>102.01391903993043</v>
      </c>
    </row>
    <row r="190" spans="1:34" x14ac:dyDescent="0.2">
      <c r="A190" s="347">
        <f t="shared" ca="1" si="64"/>
        <v>0.01</v>
      </c>
      <c r="B190" s="304">
        <f t="shared" ca="1" si="65"/>
        <v>1.8600000000000014</v>
      </c>
      <c r="D190" s="306">
        <f t="shared" ca="1" si="66"/>
        <v>32.082737955468268</v>
      </c>
      <c r="E190" s="307">
        <f t="shared" ca="1" si="67"/>
        <v>87.076816729373363</v>
      </c>
      <c r="F190" s="304">
        <f t="shared" ca="1" si="68"/>
        <v>92.799106064876085</v>
      </c>
      <c r="G190" s="306">
        <f t="shared" ca="1" si="69"/>
        <v>49.60354979522721</v>
      </c>
      <c r="H190" s="307">
        <f t="shared" ca="1" si="70"/>
        <v>149.69990180418787</v>
      </c>
      <c r="I190" s="304">
        <f t="shared" ca="1" si="71"/>
        <v>157.70406701309602</v>
      </c>
      <c r="J190" s="306">
        <f t="shared" ca="1" si="72"/>
        <v>41.814248830864003</v>
      </c>
      <c r="K190" s="307">
        <f t="shared" ca="1" si="73"/>
        <v>133.5345924274944</v>
      </c>
      <c r="L190" s="304">
        <f t="shared" ca="1" si="58"/>
        <v>139.92826297809339</v>
      </c>
      <c r="M190" s="306">
        <f t="shared" ca="1" si="74"/>
        <v>1.2508288998728549</v>
      </c>
      <c r="N190" s="304">
        <f t="shared" ca="1" si="75"/>
        <v>71.667216855706428</v>
      </c>
      <c r="P190" s="310">
        <f t="shared" ca="1" si="76"/>
        <v>8</v>
      </c>
      <c r="Q190" s="304">
        <f t="shared" ca="1" si="77"/>
        <v>1999.4818396946569</v>
      </c>
      <c r="R190" s="306">
        <f t="shared" ca="1" si="78"/>
        <v>1.2024366652794025</v>
      </c>
      <c r="S190" s="307">
        <f t="shared" ca="1" si="79"/>
        <v>17.942845468557071</v>
      </c>
      <c r="T190" s="304">
        <f t="shared" ca="1" si="59"/>
        <v>176.01931404654488</v>
      </c>
      <c r="U190" s="311">
        <f t="shared" ca="1" si="60"/>
        <v>0</v>
      </c>
      <c r="V190" s="306">
        <f t="shared" ca="1" si="61"/>
        <v>1.2087505059061805</v>
      </c>
      <c r="W190" s="304">
        <f t="shared" ca="1" si="62"/>
        <v>170.1959341411241</v>
      </c>
      <c r="Y190" s="314" t="str">
        <f t="shared" ca="1" si="80"/>
        <v/>
      </c>
      <c r="Z190" s="315" t="str">
        <f t="shared" ca="1" si="81"/>
        <v/>
      </c>
      <c r="AA190" s="316" t="str">
        <f t="shared" ca="1" si="82"/>
        <v/>
      </c>
      <c r="AC190" s="310" t="e">
        <f t="shared" ca="1" si="83"/>
        <v>#N/A</v>
      </c>
      <c r="AD190" s="323" t="e">
        <f t="shared" ca="1" si="84"/>
        <v>#N/A</v>
      </c>
      <c r="AE190" s="324">
        <f t="shared" ca="1" si="63"/>
        <v>133.5345924274944</v>
      </c>
      <c r="AG190" s="306">
        <f t="shared" ca="1" si="85"/>
        <v>92.747854025681406</v>
      </c>
      <c r="AH190" s="304">
        <f t="shared" ca="1" si="86"/>
        <v>102.0605571740152</v>
      </c>
    </row>
    <row r="191" spans="1:34" x14ac:dyDescent="0.2">
      <c r="A191" s="347">
        <f t="shared" ca="1" si="64"/>
        <v>0.01</v>
      </c>
      <c r="B191" s="304">
        <f t="shared" ca="1" si="65"/>
        <v>1.8700000000000014</v>
      </c>
      <c r="D191" s="306">
        <f t="shared" ca="1" si="66"/>
        <v>32.11617735384808</v>
      </c>
      <c r="E191" s="307">
        <f t="shared" ca="1" si="67"/>
        <v>87.114284976466294</v>
      </c>
      <c r="F191" s="304">
        <f t="shared" ca="1" si="68"/>
        <v>92.845826480164448</v>
      </c>
      <c r="G191" s="306">
        <f t="shared" ca="1" si="69"/>
        <v>49.924711568765687</v>
      </c>
      <c r="H191" s="307">
        <f t="shared" ca="1" si="70"/>
        <v>150.57104465395253</v>
      </c>
      <c r="I191" s="304">
        <f t="shared" ca="1" si="71"/>
        <v>158.6320154111616</v>
      </c>
      <c r="J191" s="306">
        <f t="shared" ca="1" si="72"/>
        <v>42.311890137683967</v>
      </c>
      <c r="K191" s="307">
        <f t="shared" ca="1" si="73"/>
        <v>135.03594715978511</v>
      </c>
      <c r="L191" s="304">
        <f t="shared" ca="1" si="58"/>
        <v>141.50972783651207</v>
      </c>
      <c r="M191" s="306">
        <f t="shared" ca="1" si="74"/>
        <v>1.2506343871416776</v>
      </c>
      <c r="N191" s="304">
        <f t="shared" ca="1" si="75"/>
        <v>71.656072097148396</v>
      </c>
      <c r="P191" s="310">
        <f t="shared" ca="1" si="76"/>
        <v>8</v>
      </c>
      <c r="Q191" s="304">
        <f t="shared" ca="1" si="77"/>
        <v>2001.0508600508911</v>
      </c>
      <c r="R191" s="306">
        <f t="shared" ca="1" si="78"/>
        <v>1.2033802335416648</v>
      </c>
      <c r="S191" s="307">
        <f t="shared" ca="1" si="79"/>
        <v>17.930811666221654</v>
      </c>
      <c r="T191" s="304">
        <f t="shared" ca="1" si="59"/>
        <v>175.90126244563444</v>
      </c>
      <c r="U191" s="311">
        <f t="shared" ca="1" si="60"/>
        <v>0</v>
      </c>
      <c r="V191" s="306">
        <f t="shared" ca="1" si="61"/>
        <v>1.2085690350188754</v>
      </c>
      <c r="W191" s="304">
        <f t="shared" ca="1" si="62"/>
        <v>172.17887742055311</v>
      </c>
      <c r="Y191" s="314" t="str">
        <f t="shared" ca="1" si="80"/>
        <v/>
      </c>
      <c r="Z191" s="315" t="str">
        <f t="shared" ca="1" si="81"/>
        <v/>
      </c>
      <c r="AA191" s="316" t="str">
        <f t="shared" ca="1" si="82"/>
        <v/>
      </c>
      <c r="AC191" s="310" t="e">
        <f t="shared" ca="1" si="83"/>
        <v>#N/A</v>
      </c>
      <c r="AD191" s="323" t="e">
        <f t="shared" ca="1" si="84"/>
        <v>#N/A</v>
      </c>
      <c r="AE191" s="324">
        <f t="shared" ca="1" si="63"/>
        <v>135.03594715978511</v>
      </c>
      <c r="AG191" s="306">
        <f t="shared" ca="1" si="85"/>
        <v>92.794539712839224</v>
      </c>
      <c r="AH191" s="304">
        <f t="shared" ca="1" si="86"/>
        <v>102.10663967648271</v>
      </c>
    </row>
    <row r="192" spans="1:34" x14ac:dyDescent="0.2">
      <c r="A192" s="347">
        <f t="shared" ca="1" si="64"/>
        <v>0.01</v>
      </c>
      <c r="B192" s="304">
        <f t="shared" ca="1" si="65"/>
        <v>1.8800000000000014</v>
      </c>
      <c r="D192" s="306">
        <f t="shared" ca="1" si="66"/>
        <v>32.149357740254075</v>
      </c>
      <c r="E192" s="307">
        <f t="shared" ca="1" si="67"/>
        <v>87.15124880433379</v>
      </c>
      <c r="F192" s="304">
        <f t="shared" ca="1" si="68"/>
        <v>92.891987659139517</v>
      </c>
      <c r="G192" s="306">
        <f t="shared" ca="1" si="69"/>
        <v>50.246205146168229</v>
      </c>
      <c r="H192" s="307">
        <f t="shared" ca="1" si="70"/>
        <v>151.44255714199588</v>
      </c>
      <c r="I192" s="304">
        <f t="shared" ca="1" si="71"/>
        <v>159.56042505990484</v>
      </c>
      <c r="J192" s="306">
        <f t="shared" ca="1" si="72"/>
        <v>42.812744721258639</v>
      </c>
      <c r="K192" s="307">
        <f t="shared" ca="1" si="73"/>
        <v>136.54601516876485</v>
      </c>
      <c r="L192" s="304">
        <f t="shared" ca="1" si="58"/>
        <v>143.10047298676628</v>
      </c>
      <c r="M192" s="306">
        <f t="shared" ca="1" si="74"/>
        <v>1.2504408926759139</v>
      </c>
      <c r="N192" s="304">
        <f t="shared" ca="1" si="75"/>
        <v>71.644985680901002</v>
      </c>
      <c r="P192" s="310">
        <f t="shared" ca="1" si="76"/>
        <v>8</v>
      </c>
      <c r="Q192" s="304">
        <f t="shared" ca="1" si="77"/>
        <v>2002.619880407125</v>
      </c>
      <c r="R192" s="306">
        <f t="shared" ca="1" si="78"/>
        <v>1.2043238018039268</v>
      </c>
      <c r="S192" s="307">
        <f t="shared" ca="1" si="79"/>
        <v>17.918768428203617</v>
      </c>
      <c r="T192" s="304">
        <f t="shared" ca="1" si="59"/>
        <v>175.78311828067748</v>
      </c>
      <c r="U192" s="311">
        <f t="shared" ca="1" si="60"/>
        <v>0</v>
      </c>
      <c r="V192" s="306">
        <f t="shared" ca="1" si="61"/>
        <v>1.2083865382418877</v>
      </c>
      <c r="W192" s="304">
        <f t="shared" ca="1" si="62"/>
        <v>174.17385842637259</v>
      </c>
      <c r="Y192" s="314" t="str">
        <f t="shared" ca="1" si="80"/>
        <v/>
      </c>
      <c r="Z192" s="315" t="str">
        <f t="shared" ca="1" si="81"/>
        <v/>
      </c>
      <c r="AA192" s="316" t="str">
        <f t="shared" ca="1" si="82"/>
        <v/>
      </c>
      <c r="AC192" s="310" t="e">
        <f t="shared" ca="1" si="83"/>
        <v>#N/A</v>
      </c>
      <c r="AD192" s="323" t="e">
        <f t="shared" ca="1" si="84"/>
        <v>#N/A</v>
      </c>
      <c r="AE192" s="324">
        <f t="shared" ca="1" si="63"/>
        <v>136.54601516876485</v>
      </c>
      <c r="AG192" s="306">
        <f t="shared" ca="1" si="85"/>
        <v>92.840666176344044</v>
      </c>
      <c r="AH192" s="304">
        <f t="shared" ca="1" si="86"/>
        <v>102.15216577638849</v>
      </c>
    </row>
    <row r="193" spans="1:34" x14ac:dyDescent="0.2">
      <c r="A193" s="347">
        <f t="shared" ca="1" si="64"/>
        <v>0.01</v>
      </c>
      <c r="B193" s="304">
        <f t="shared" ca="1" si="65"/>
        <v>1.8900000000000015</v>
      </c>
      <c r="D193" s="306">
        <f t="shared" ca="1" si="66"/>
        <v>32.182279500141519</v>
      </c>
      <c r="E193" s="307">
        <f t="shared" ca="1" si="67"/>
        <v>87.187707348881034</v>
      </c>
      <c r="F193" s="304">
        <f t="shared" ca="1" si="68"/>
        <v>92.937588878662822</v>
      </c>
      <c r="G193" s="306">
        <f t="shared" ca="1" si="69"/>
        <v>50.568027941169646</v>
      </c>
      <c r="H193" s="307">
        <f t="shared" ca="1" si="70"/>
        <v>152.31443421548468</v>
      </c>
      <c r="I193" s="304">
        <f t="shared" ca="1" si="71"/>
        <v>160.48929035995556</v>
      </c>
      <c r="J193" s="306">
        <f t="shared" ca="1" si="72"/>
        <v>43.316815886695331</v>
      </c>
      <c r="K193" s="307">
        <f t="shared" ca="1" si="73"/>
        <v>138.06480012555227</v>
      </c>
      <c r="L193" s="304">
        <f t="shared" ca="1" si="58"/>
        <v>144.7005030131912</v>
      </c>
      <c r="M193" s="306">
        <f t="shared" ca="1" si="74"/>
        <v>1.2502484058389967</v>
      </c>
      <c r="N193" s="304">
        <f t="shared" ca="1" si="75"/>
        <v>71.633956997533815</v>
      </c>
      <c r="P193" s="310">
        <f t="shared" ca="1" si="76"/>
        <v>8</v>
      </c>
      <c r="Q193" s="304">
        <f t="shared" ca="1" si="77"/>
        <v>2004.1889007633592</v>
      </c>
      <c r="R193" s="306">
        <f t="shared" ca="1" si="78"/>
        <v>1.2052673700661893</v>
      </c>
      <c r="S193" s="307">
        <f t="shared" ca="1" si="79"/>
        <v>17.906715754502954</v>
      </c>
      <c r="T193" s="304">
        <f t="shared" ca="1" si="59"/>
        <v>175.664881551674</v>
      </c>
      <c r="U193" s="311">
        <f t="shared" ca="1" si="60"/>
        <v>0</v>
      </c>
      <c r="V193" s="306">
        <f t="shared" ca="1" si="61"/>
        <v>1.2082030155993193</v>
      </c>
      <c r="W193" s="304">
        <f t="shared" ca="1" si="62"/>
        <v>176.18087150183274</v>
      </c>
      <c r="Y193" s="314" t="str">
        <f t="shared" ca="1" si="80"/>
        <v/>
      </c>
      <c r="Z193" s="315" t="str">
        <f t="shared" ca="1" si="81"/>
        <v/>
      </c>
      <c r="AA193" s="316" t="str">
        <f t="shared" ca="1" si="82"/>
        <v/>
      </c>
      <c r="AC193" s="310" t="e">
        <f t="shared" ca="1" si="83"/>
        <v>#N/A</v>
      </c>
      <c r="AD193" s="323" t="e">
        <f t="shared" ca="1" si="84"/>
        <v>#N/A</v>
      </c>
      <c r="AE193" s="324">
        <f t="shared" ca="1" si="63"/>
        <v>138.06480012555227</v>
      </c>
      <c r="AG193" s="306">
        <f t="shared" ca="1" si="85"/>
        <v>92.886232689174847</v>
      </c>
      <c r="AH193" s="304">
        <f t="shared" ca="1" si="86"/>
        <v>102.19713471895579</v>
      </c>
    </row>
    <row r="194" spans="1:34" x14ac:dyDescent="0.2">
      <c r="A194" s="347">
        <f t="shared" ca="1" si="64"/>
        <v>0.01</v>
      </c>
      <c r="B194" s="304">
        <f t="shared" ca="1" si="65"/>
        <v>1.9000000000000015</v>
      </c>
      <c r="D194" s="306">
        <f t="shared" ca="1" si="66"/>
        <v>32.214943012267398</v>
      </c>
      <c r="E194" s="307">
        <f t="shared" ca="1" si="67"/>
        <v>87.223659764349833</v>
      </c>
      <c r="F194" s="304">
        <f t="shared" ca="1" si="68"/>
        <v>92.982629431365808</v>
      </c>
      <c r="G194" s="306">
        <f t="shared" ca="1" si="69"/>
        <v>50.890177371292317</v>
      </c>
      <c r="H194" s="307">
        <f t="shared" ca="1" si="70"/>
        <v>153.18667081312819</v>
      </c>
      <c r="I194" s="304">
        <f t="shared" ca="1" si="71"/>
        <v>161.41860570482973</v>
      </c>
      <c r="J194" s="306">
        <f t="shared" ca="1" si="72"/>
        <v>43.824106913257637</v>
      </c>
      <c r="K194" s="307">
        <f t="shared" ca="1" si="73"/>
        <v>139.59230565069532</v>
      </c>
      <c r="L194" s="304">
        <f t="shared" ca="1" si="58"/>
        <v>146.30982244409219</v>
      </c>
      <c r="M194" s="306">
        <f t="shared" ca="1" si="74"/>
        <v>1.2500569161565525</v>
      </c>
      <c r="N194" s="304">
        <f t="shared" ca="1" si="75"/>
        <v>71.622985446909468</v>
      </c>
      <c r="P194" s="310">
        <f t="shared" ca="1" si="76"/>
        <v>8</v>
      </c>
      <c r="Q194" s="304">
        <f t="shared" ca="1" si="77"/>
        <v>2005.7579211195932</v>
      </c>
      <c r="R194" s="306">
        <f t="shared" ca="1" si="78"/>
        <v>1.2062109383284514</v>
      </c>
      <c r="S194" s="307">
        <f t="shared" ca="1" si="79"/>
        <v>17.894653645119671</v>
      </c>
      <c r="T194" s="304">
        <f t="shared" ca="1" si="59"/>
        <v>175.54655225862399</v>
      </c>
      <c r="U194" s="311">
        <f t="shared" ca="1" si="60"/>
        <v>0</v>
      </c>
      <c r="V194" s="306">
        <f t="shared" ca="1" si="61"/>
        <v>1.2080184671241712</v>
      </c>
      <c r="W194" s="304">
        <f t="shared" ca="1" si="62"/>
        <v>178.19991063160666</v>
      </c>
      <c r="Y194" s="314" t="str">
        <f t="shared" ca="1" si="80"/>
        <v/>
      </c>
      <c r="Z194" s="315" t="str">
        <f t="shared" ca="1" si="81"/>
        <v/>
      </c>
      <c r="AA194" s="316" t="str">
        <f t="shared" ca="1" si="82"/>
        <v/>
      </c>
      <c r="AC194" s="310" t="e">
        <f t="shared" ca="1" si="83"/>
        <v>#N/A</v>
      </c>
      <c r="AD194" s="323" t="e">
        <f t="shared" ca="1" si="84"/>
        <v>#N/A</v>
      </c>
      <c r="AE194" s="324">
        <f t="shared" ca="1" si="63"/>
        <v>139.59230565069532</v>
      </c>
      <c r="AG194" s="306">
        <f t="shared" ca="1" si="85"/>
        <v>92.931238540137414</v>
      </c>
      <c r="AH194" s="304">
        <f t="shared" ca="1" si="86"/>
        <v>102.24154576563893</v>
      </c>
    </row>
    <row r="195" spans="1:34" x14ac:dyDescent="0.2">
      <c r="A195" s="347">
        <f t="shared" ca="1" si="64"/>
        <v>0.01</v>
      </c>
      <c r="B195" s="304">
        <f t="shared" ca="1" si="65"/>
        <v>1.9100000000000015</v>
      </c>
      <c r="D195" s="306">
        <f t="shared" ca="1" si="66"/>
        <v>32.24734864897696</v>
      </c>
      <c r="E195" s="307">
        <f t="shared" ca="1" si="67"/>
        <v>87.259105223312417</v>
      </c>
      <c r="F195" s="304">
        <f t="shared" ca="1" si="68"/>
        <v>93.027108625721482</v>
      </c>
      <c r="G195" s="306">
        <f t="shared" ca="1" si="69"/>
        <v>51.212650857782087</v>
      </c>
      <c r="H195" s="307">
        <f t="shared" ca="1" si="70"/>
        <v>154.05926186536132</v>
      </c>
      <c r="I195" s="304">
        <f t="shared" ca="1" si="71"/>
        <v>162.34836548108842</v>
      </c>
      <c r="J195" s="306">
        <f t="shared" ca="1" si="72"/>
        <v>44.334621054403009</v>
      </c>
      <c r="K195" s="307">
        <f t="shared" ca="1" si="73"/>
        <v>141.12853531408777</v>
      </c>
      <c r="L195" s="304">
        <f t="shared" ca="1" si="58"/>
        <v>147.92843575167433</v>
      </c>
      <c r="M195" s="306">
        <f t="shared" ca="1" si="74"/>
        <v>1.2498664133130872</v>
      </c>
      <c r="N195" s="304">
        <f t="shared" ca="1" si="75"/>
        <v>71.612070437993665</v>
      </c>
      <c r="P195" s="310">
        <f t="shared" ca="1" si="76"/>
        <v>8</v>
      </c>
      <c r="Q195" s="304">
        <f t="shared" ca="1" si="77"/>
        <v>2007.3269414758274</v>
      </c>
      <c r="R195" s="306">
        <f t="shared" ca="1" si="78"/>
        <v>1.2071545065907137</v>
      </c>
      <c r="S195" s="307">
        <f t="shared" ca="1" si="79"/>
        <v>17.882582100053764</v>
      </c>
      <c r="T195" s="304">
        <f t="shared" ca="1" si="59"/>
        <v>175.42813040152743</v>
      </c>
      <c r="U195" s="311">
        <f t="shared" ca="1" si="60"/>
        <v>0</v>
      </c>
      <c r="V195" s="306">
        <f t="shared" ca="1" si="61"/>
        <v>1.2078328928583482</v>
      </c>
      <c r="W195" s="304">
        <f t="shared" ca="1" si="62"/>
        <v>180.23096944160218</v>
      </c>
      <c r="Y195" s="314" t="str">
        <f t="shared" ca="1" si="80"/>
        <v/>
      </c>
      <c r="Z195" s="315" t="str">
        <f t="shared" ca="1" si="81"/>
        <v/>
      </c>
      <c r="AA195" s="316" t="str">
        <f t="shared" ca="1" si="82"/>
        <v/>
      </c>
      <c r="AC195" s="310" t="e">
        <f t="shared" ca="1" si="83"/>
        <v>#N/A</v>
      </c>
      <c r="AD195" s="323" t="e">
        <f t="shared" ca="1" si="84"/>
        <v>#N/A</v>
      </c>
      <c r="AE195" s="324">
        <f t="shared" ca="1" si="63"/>
        <v>141.12853531408777</v>
      </c>
      <c r="AG195" s="306">
        <f t="shared" ca="1" si="85"/>
        <v>92.975683033935212</v>
      </c>
      <c r="AH195" s="304">
        <f t="shared" ca="1" si="86"/>
        <v>102.28539819418593</v>
      </c>
    </row>
    <row r="196" spans="1:34" x14ac:dyDescent="0.2">
      <c r="A196" s="347">
        <f t="shared" ca="1" si="64"/>
        <v>0.01</v>
      </c>
      <c r="B196" s="304">
        <f t="shared" ca="1" si="65"/>
        <v>1.9200000000000015</v>
      </c>
      <c r="D196" s="306">
        <f t="shared" ca="1" si="66"/>
        <v>32.279496776483086</v>
      </c>
      <c r="E196" s="307">
        <f t="shared" ca="1" si="67"/>
        <v>87.294042916665788</v>
      </c>
      <c r="F196" s="304">
        <f t="shared" ca="1" si="68"/>
        <v>93.07102578611493</v>
      </c>
      <c r="G196" s="306">
        <f t="shared" ca="1" si="69"/>
        <v>51.535445825546915</v>
      </c>
      <c r="H196" s="307">
        <f t="shared" ca="1" si="70"/>
        <v>154.93220229452797</v>
      </c>
      <c r="I196" s="304">
        <f t="shared" ca="1" si="71"/>
        <v>163.27856406849742</v>
      </c>
      <c r="J196" s="306">
        <f t="shared" ca="1" si="72"/>
        <v>44.848361537819656</v>
      </c>
      <c r="K196" s="307">
        <f t="shared" ca="1" si="73"/>
        <v>142.67349263488722</v>
      </c>
      <c r="L196" s="304">
        <f t="shared" ref="L196:L259" ca="1" si="87">SQRT(pos_x^2+pos_z^2)</f>
        <v>149.55634735197367</v>
      </c>
      <c r="M196" s="306">
        <f t="shared" ca="1" si="74"/>
        <v>1.2496768871487582</v>
      </c>
      <c r="N196" s="304">
        <f t="shared" ca="1" si="75"/>
        <v>71.601211388670308</v>
      </c>
      <c r="P196" s="310">
        <f t="shared" ca="1" si="76"/>
        <v>8</v>
      </c>
      <c r="Q196" s="304">
        <f t="shared" ca="1" si="77"/>
        <v>2008.8959618320614</v>
      </c>
      <c r="R196" s="306">
        <f t="shared" ca="1" si="78"/>
        <v>1.2080980748529759</v>
      </c>
      <c r="S196" s="307">
        <f t="shared" ca="1" si="79"/>
        <v>17.870501119305235</v>
      </c>
      <c r="T196" s="304">
        <f t="shared" ref="T196:T259" ca="1" si="88">m*g</f>
        <v>175.30961598038436</v>
      </c>
      <c r="U196" s="311">
        <f t="shared" ref="U196:U259" ca="1" si="89">IF(pos_xz&lt;L_rampe,Poids*COS(Beta),0)</f>
        <v>0</v>
      </c>
      <c r="V196" s="306">
        <f t="shared" ref="V196:V259" ca="1" si="90">Rho_moyen*(20000-Alt_rampe-pos_z)/(20000+Alt_rampe+pos_z)</f>
        <v>1.2076462928526699</v>
      </c>
      <c r="W196" s="304">
        <f t="shared" ref="W196:W259" ca="1" si="91">1/2*Rho*Sref*Cx*vit_xz^2</f>
        <v>182.27404119879813</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142.67349263488722</v>
      </c>
      <c r="AG196" s="306">
        <f t="shared" ca="1" si="85"/>
        <v>93.019565491238552</v>
      </c>
      <c r="AH196" s="304">
        <f t="shared" ca="1" si="86"/>
        <v>102.32869129870006</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32.31138775513881</v>
      </c>
      <c r="E197" s="307">
        <f t="shared" ref="E197:E260" ca="1" si="96">IF(AND(L196&lt;L_rampe,Poussee&lt;Poids*SIN(M196)),0,(-W196+Poussee)/m*SIN(M196)+U196/m*COS(M196)-Poids/m)</f>
        <v>87.328472053627081</v>
      </c>
      <c r="F197" s="304">
        <f t="shared" ref="F197:F260" ca="1" si="97">SQRT(acc_x^2+acc_z^2)</f>
        <v>93.114380252912923</v>
      </c>
      <c r="G197" s="306">
        <f t="shared" ref="G197:G260" ca="1" si="98">G196+acc_x*pas</f>
        <v>51.858559703098301</v>
      </c>
      <c r="H197" s="307">
        <f t="shared" ref="H197:H260" ca="1" si="99">H196+acc_z*pas</f>
        <v>155.80548701506424</v>
      </c>
      <c r="I197" s="304">
        <f t="shared" ref="I197:I260" ca="1" si="100">SQRT(vit_x^2+vit_z^2)</f>
        <v>164.20919584018785</v>
      </c>
      <c r="J197" s="306">
        <f t="shared" ref="J197:J260" ca="1" si="101">J196+0.5*(vit_x+G196)*pas*(K196&gt;=0)</f>
        <v>45.365331565462881</v>
      </c>
      <c r="K197" s="307">
        <f t="shared" ref="K197:K260" ca="1" si="102">K196+0.5*(vit_z+H196)*pas</f>
        <v>144.22718108143519</v>
      </c>
      <c r="L197" s="304">
        <f t="shared" ca="1" si="87"/>
        <v>151.19356160479018</v>
      </c>
      <c r="M197" s="306">
        <f t="shared" ref="M197:M260" ca="1" si="103">IF(AND(L196&gt;L_rampe,G197&gt;0),ATAN2(G197,H197),$M$4)</f>
        <v>1.2494883276562276</v>
      </c>
      <c r="N197" s="304">
        <f t="shared" ref="N197:N260" ca="1" si="104">DEGREES(Beta)</f>
        <v>71.590407725561178</v>
      </c>
      <c r="P197" s="310">
        <f t="shared" ref="P197:P260" ca="1" si="105">MATCH(t-pas/2-T_ini,CdP_t)</f>
        <v>8</v>
      </c>
      <c r="Q197" s="304">
        <f t="shared" ref="Q197:Q260" ca="1" si="106">(INDEX(CdP,2,i_P+1)-INDEX(CdP,2,i_P+0))/(INDEX(CdP,1,i_P+1)-INDEX(CdP,1,i_P+0))*(t-pas/2-T_ini-INDEX(CdP,1,i_P+0))+INDEX(CdP,2,i_P+0)</f>
        <v>2010.4649821882956</v>
      </c>
      <c r="R197" s="306">
        <f t="shared" ref="R197:R260" ca="1" si="107">Poussee/(g*ISP)</f>
        <v>1.2090416431152382</v>
      </c>
      <c r="S197" s="307">
        <f t="shared" ref="S197:S260" ca="1" si="108">S196-Débit*pas</f>
        <v>17.858410702874082</v>
      </c>
      <c r="T197" s="304">
        <f t="shared" ca="1" si="88"/>
        <v>175.19100899519475</v>
      </c>
      <c r="U197" s="311">
        <f t="shared" ca="1" si="89"/>
        <v>0</v>
      </c>
      <c r="V197" s="306">
        <f t="shared" ca="1" si="90"/>
        <v>1.207458667166871</v>
      </c>
      <c r="W197" s="304">
        <f t="shared" ca="1" si="91"/>
        <v>184.32911881110215</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144.22718108143519</v>
      </c>
      <c r="AG197" s="306">
        <f t="shared" ref="AG197:AG260" ca="1" si="114">IF(AND(L196&lt;L_rampe,Poussee&lt;Poids*SIN(M196)),0,(-W196+Poussee)/m-Poids*SIN(M196)/m)</f>
        <v>93.062885248753247</v>
      </c>
      <c r="AH197" s="304">
        <f t="shared" ref="AH197:AH260" ca="1" si="115">IF(AND(L196&lt;L_rampe,Poussee&lt;Poids*SIN(M196)), g*SIN(M196), (-W196+Poussee)/m)</f>
        <v>102.37142438970079</v>
      </c>
    </row>
    <row r="198" spans="1:34" x14ac:dyDescent="0.2">
      <c r="A198" s="347">
        <f t="shared" ca="1" si="93"/>
        <v>0.01</v>
      </c>
      <c r="B198" s="304">
        <f t="shared" ca="1" si="94"/>
        <v>1.9400000000000015</v>
      </c>
      <c r="D198" s="306">
        <f t="shared" ca="1" si="95"/>
        <v>32.343021939703107</v>
      </c>
      <c r="E198" s="307">
        <f t="shared" ca="1" si="96"/>
        <v>87.362391861729265</v>
      </c>
      <c r="F198" s="304">
        <f t="shared" ca="1" si="97"/>
        <v>93.157171382532098</v>
      </c>
      <c r="G198" s="306">
        <f t="shared" ca="1" si="98"/>
        <v>52.181989922495333</v>
      </c>
      <c r="H198" s="307">
        <f t="shared" ca="1" si="99"/>
        <v>156.67911093368153</v>
      </c>
      <c r="I198" s="304">
        <f t="shared" ca="1" si="100"/>
        <v>165.14025516281694</v>
      </c>
      <c r="J198" s="306">
        <f t="shared" ca="1" si="101"/>
        <v>45.885534313590853</v>
      </c>
      <c r="K198" s="307">
        <f t="shared" ca="1" si="102"/>
        <v>145.78960407117893</v>
      </c>
      <c r="L198" s="304">
        <f t="shared" ca="1" si="87"/>
        <v>152.84008281362202</v>
      </c>
      <c r="M198" s="306">
        <f t="shared" ca="1" si="103"/>
        <v>1.2493007249775967</v>
      </c>
      <c r="N198" s="304">
        <f t="shared" ca="1" si="104"/>
        <v>71.579658883850271</v>
      </c>
      <c r="P198" s="310">
        <f t="shared" ca="1" si="105"/>
        <v>8</v>
      </c>
      <c r="Q198" s="304">
        <f t="shared" ca="1" si="106"/>
        <v>2012.0340025445296</v>
      </c>
      <c r="R198" s="306">
        <f t="shared" ca="1" si="107"/>
        <v>1.2099852113775005</v>
      </c>
      <c r="S198" s="307">
        <f t="shared" ca="1" si="108"/>
        <v>17.846310850760307</v>
      </c>
      <c r="T198" s="304">
        <f t="shared" ca="1" si="88"/>
        <v>175.07230944595864</v>
      </c>
      <c r="U198" s="311">
        <f t="shared" ca="1" si="89"/>
        <v>0</v>
      </c>
      <c r="V198" s="306">
        <f t="shared" ca="1" si="90"/>
        <v>1.2072700158696086</v>
      </c>
      <c r="W198" s="304">
        <f t="shared" ca="1" si="91"/>
        <v>186.39619482723174</v>
      </c>
      <c r="Y198" s="314" t="str">
        <f t="shared" ca="1" si="109"/>
        <v/>
      </c>
      <c r="Z198" s="315" t="str">
        <f t="shared" ca="1" si="110"/>
        <v/>
      </c>
      <c r="AA198" s="316" t="str">
        <f t="shared" ca="1" si="111"/>
        <v/>
      </c>
      <c r="AC198" s="310" t="e">
        <f t="shared" ca="1" si="112"/>
        <v>#N/A</v>
      </c>
      <c r="AD198" s="323" t="e">
        <f t="shared" ca="1" si="113"/>
        <v>#N/A</v>
      </c>
      <c r="AE198" s="324">
        <f t="shared" ca="1" si="92"/>
        <v>145.78960407117893</v>
      </c>
      <c r="AG198" s="306">
        <f t="shared" ca="1" si="114"/>
        <v>93.105641659287699</v>
      </c>
      <c r="AH198" s="304">
        <f t="shared" ca="1" si="115"/>
        <v>102.41359679418346</v>
      </c>
    </row>
    <row r="199" spans="1:34" x14ac:dyDescent="0.2">
      <c r="A199" s="347">
        <f t="shared" ca="1" si="93"/>
        <v>0.01</v>
      </c>
      <c r="B199" s="304">
        <f t="shared" ca="1" si="94"/>
        <v>1.9500000000000015</v>
      </c>
      <c r="D199" s="306">
        <f t="shared" ca="1" si="95"/>
        <v>32.374399679600081</v>
      </c>
      <c r="E199" s="307">
        <f t="shared" ca="1" si="96"/>
        <v>87.395801586817726</v>
      </c>
      <c r="F199" s="304">
        <f t="shared" ca="1" si="97"/>
        <v>93.199398547506206</v>
      </c>
      <c r="G199" s="306">
        <f t="shared" ca="1" si="98"/>
        <v>52.505733919291337</v>
      </c>
      <c r="H199" s="307">
        <f t="shared" ca="1" si="99"/>
        <v>157.5530689495497</v>
      </c>
      <c r="I199" s="304">
        <f t="shared" ca="1" si="100"/>
        <v>166.07173639673002</v>
      </c>
      <c r="J199" s="306">
        <f t="shared" ca="1" si="101"/>
        <v>46.408972932799784</v>
      </c>
      <c r="K199" s="307">
        <f t="shared" ca="1" si="102"/>
        <v>147.36076497059508</v>
      </c>
      <c r="L199" s="304">
        <f t="shared" ca="1" si="87"/>
        <v>154.49591522560169</v>
      </c>
      <c r="M199" s="306">
        <f t="shared" ca="1" si="103"/>
        <v>1.2491140694014158</v>
      </c>
      <c r="N199" s="304">
        <f t="shared" ca="1" si="104"/>
        <v>71.568964307112523</v>
      </c>
      <c r="P199" s="310">
        <f t="shared" ca="1" si="105"/>
        <v>8</v>
      </c>
      <c r="Q199" s="304">
        <f t="shared" ca="1" si="106"/>
        <v>2013.6030229007638</v>
      </c>
      <c r="R199" s="306">
        <f t="shared" ca="1" si="107"/>
        <v>1.2109287796397628</v>
      </c>
      <c r="S199" s="307">
        <f t="shared" ca="1" si="108"/>
        <v>17.834201562963909</v>
      </c>
      <c r="T199" s="304">
        <f t="shared" ca="1" si="88"/>
        <v>174.95351733267594</v>
      </c>
      <c r="U199" s="311">
        <f t="shared" ca="1" si="89"/>
        <v>0</v>
      </c>
      <c r="V199" s="306">
        <f t="shared" ca="1" si="90"/>
        <v>1.2070803390384675</v>
      </c>
      <c r="W199" s="304">
        <f t="shared" ca="1" si="91"/>
        <v>188.47526143661958</v>
      </c>
      <c r="Y199" s="314" t="str">
        <f t="shared" ca="1" si="109"/>
        <v/>
      </c>
      <c r="Z199" s="315" t="str">
        <f t="shared" ca="1" si="110"/>
        <v/>
      </c>
      <c r="AA199" s="316" t="str">
        <f t="shared" ca="1" si="111"/>
        <v/>
      </c>
      <c r="AC199" s="310" t="e">
        <f t="shared" ca="1" si="112"/>
        <v>#N/A</v>
      </c>
      <c r="AD199" s="323" t="e">
        <f t="shared" ca="1" si="113"/>
        <v>#N/A</v>
      </c>
      <c r="AE199" s="324">
        <f t="shared" ca="1" si="92"/>
        <v>147.36076497059508</v>
      </c>
      <c r="AG199" s="306">
        <f t="shared" ca="1" si="114"/>
        <v>93.147834091819206</v>
      </c>
      <c r="AH199" s="304">
        <f t="shared" ca="1" si="115"/>
        <v>102.45520785567841</v>
      </c>
    </row>
    <row r="200" spans="1:34" x14ac:dyDescent="0.2">
      <c r="A200" s="347">
        <f t="shared" ca="1" si="93"/>
        <v>0.01</v>
      </c>
      <c r="B200" s="304">
        <f t="shared" ca="1" si="94"/>
        <v>1.9600000000000015</v>
      </c>
      <c r="D200" s="306">
        <f t="shared" ca="1" si="95"/>
        <v>32.405521319171939</v>
      </c>
      <c r="E200" s="307">
        <f t="shared" ca="1" si="96"/>
        <v>87.42870049304716</v>
      </c>
      <c r="F200" s="304">
        <f t="shared" ca="1" si="97"/>
        <v>93.241061136552133</v>
      </c>
      <c r="G200" s="306">
        <f t="shared" ca="1" si="98"/>
        <v>52.829789132483057</v>
      </c>
      <c r="H200" s="307">
        <f t="shared" ca="1" si="99"/>
        <v>158.42735595448016</v>
      </c>
      <c r="I200" s="304">
        <f t="shared" ca="1" si="100"/>
        <v>167.00363389612272</v>
      </c>
      <c r="J200" s="306">
        <f t="shared" ca="1" si="101"/>
        <v>46.935650548058653</v>
      </c>
      <c r="K200" s="307">
        <f t="shared" ca="1" si="102"/>
        <v>148.94066709511523</v>
      </c>
      <c r="L200" s="304">
        <f t="shared" ca="1" si="87"/>
        <v>156.16106303143374</v>
      </c>
      <c r="M200" s="306">
        <f t="shared" ca="1" si="103"/>
        <v>1.2489283513597706</v>
      </c>
      <c r="N200" s="304">
        <f t="shared" ca="1" si="104"/>
        <v>71.558323447146833</v>
      </c>
      <c r="P200" s="310">
        <f t="shared" ca="1" si="105"/>
        <v>8</v>
      </c>
      <c r="Q200" s="304">
        <f t="shared" ca="1" si="106"/>
        <v>2015.1720432569978</v>
      </c>
      <c r="R200" s="306">
        <f t="shared" ca="1" si="107"/>
        <v>1.211872347902025</v>
      </c>
      <c r="S200" s="307">
        <f t="shared" ca="1" si="108"/>
        <v>17.822082839484889</v>
      </c>
      <c r="T200" s="304">
        <f t="shared" ca="1" si="88"/>
        <v>174.83463265534678</v>
      </c>
      <c r="U200" s="311">
        <f t="shared" ca="1" si="89"/>
        <v>0</v>
      </c>
      <c r="V200" s="306">
        <f t="shared" ca="1" si="90"/>
        <v>1.206889636759964</v>
      </c>
      <c r="W200" s="304">
        <f t="shared" ca="1" si="91"/>
        <v>190.56631046934035</v>
      </c>
      <c r="Y200" s="314" t="str">
        <f t="shared" ca="1" si="109"/>
        <v/>
      </c>
      <c r="Z200" s="315" t="str">
        <f t="shared" ca="1" si="110"/>
        <v/>
      </c>
      <c r="AA200" s="316" t="str">
        <f t="shared" ca="1" si="111"/>
        <v/>
      </c>
      <c r="AC200" s="310" t="e">
        <f t="shared" ca="1" si="112"/>
        <v>#N/A</v>
      </c>
      <c r="AD200" s="323" t="e">
        <f t="shared" ca="1" si="113"/>
        <v>#N/A</v>
      </c>
      <c r="AE200" s="324">
        <f t="shared" ca="1" si="92"/>
        <v>148.94066709511523</v>
      </c>
      <c r="AG200" s="306">
        <f t="shared" ca="1" si="114"/>
        <v>93.189461931558881</v>
      </c>
      <c r="AH200" s="304">
        <f t="shared" ca="1" si="115"/>
        <v>102.49625693430876</v>
      </c>
    </row>
    <row r="201" spans="1:34" x14ac:dyDescent="0.2">
      <c r="A201" s="347">
        <f t="shared" ca="1" si="93"/>
        <v>0.01</v>
      </c>
      <c r="B201" s="304">
        <f t="shared" ca="1" si="94"/>
        <v>1.9700000000000015</v>
      </c>
      <c r="D201" s="306">
        <f t="shared" ca="1" si="95"/>
        <v>32.436387197925853</v>
      </c>
      <c r="E201" s="307">
        <f t="shared" ca="1" si="96"/>
        <v>87.461087862879197</v>
      </c>
      <c r="F201" s="304">
        <f t="shared" ca="1" si="97"/>
        <v>93.28215855463489</v>
      </c>
      <c r="G201" s="306">
        <f t="shared" ca="1" si="98"/>
        <v>53.154153004462316</v>
      </c>
      <c r="H201" s="307">
        <f t="shared" ca="1" si="99"/>
        <v>159.30196683310896</v>
      </c>
      <c r="I201" s="304">
        <f t="shared" ca="1" si="100"/>
        <v>167.93594200920404</v>
      </c>
      <c r="J201" s="306">
        <f t="shared" ca="1" si="101"/>
        <v>47.465570258743384</v>
      </c>
      <c r="K201" s="307">
        <f t="shared" ca="1" si="102"/>
        <v>150.52931370905318</v>
      </c>
      <c r="L201" s="304">
        <f t="shared" ca="1" si="87"/>
        <v>157.83553036533394</v>
      </c>
      <c r="M201" s="306">
        <f t="shared" ca="1" si="103"/>
        <v>1.2487435614254405</v>
      </c>
      <c r="N201" s="304">
        <f t="shared" ca="1" si="104"/>
        <v>71.547735763813208</v>
      </c>
      <c r="P201" s="310">
        <f t="shared" ca="1" si="105"/>
        <v>8</v>
      </c>
      <c r="Q201" s="304">
        <f t="shared" ca="1" si="106"/>
        <v>2016.741063613232</v>
      </c>
      <c r="R201" s="306">
        <f t="shared" ca="1" si="107"/>
        <v>1.2128159161642873</v>
      </c>
      <c r="S201" s="307">
        <f t="shared" ca="1" si="108"/>
        <v>17.809954680323244</v>
      </c>
      <c r="T201" s="304">
        <f t="shared" ca="1" si="88"/>
        <v>174.71565541397104</v>
      </c>
      <c r="U201" s="311">
        <f t="shared" ca="1" si="89"/>
        <v>0</v>
      </c>
      <c r="V201" s="306">
        <f t="shared" ca="1" si="90"/>
        <v>1.2066979091295498</v>
      </c>
      <c r="W201" s="304">
        <f t="shared" ca="1" si="91"/>
        <v>192.6693333960616</v>
      </c>
      <c r="Y201" s="314" t="str">
        <f t="shared" ca="1" si="109"/>
        <v/>
      </c>
      <c r="Z201" s="315" t="str">
        <f t="shared" ca="1" si="110"/>
        <v/>
      </c>
      <c r="AA201" s="316" t="str">
        <f t="shared" ca="1" si="111"/>
        <v/>
      </c>
      <c r="AC201" s="310" t="e">
        <f t="shared" ca="1" si="112"/>
        <v>#N/A</v>
      </c>
      <c r="AD201" s="323" t="e">
        <f t="shared" ca="1" si="113"/>
        <v>#N/A</v>
      </c>
      <c r="AE201" s="324">
        <f t="shared" ca="1" si="92"/>
        <v>150.52931370905318</v>
      </c>
      <c r="AG201" s="306">
        <f t="shared" ca="1" si="114"/>
        <v>93.230524580015782</v>
      </c>
      <c r="AH201" s="304">
        <f t="shared" ca="1" si="115"/>
        <v>102.53674340684775</v>
      </c>
    </row>
    <row r="202" spans="1:34" x14ac:dyDescent="0.2">
      <c r="A202" s="347">
        <f t="shared" ca="1" si="93"/>
        <v>0.01</v>
      </c>
      <c r="B202" s="304">
        <f t="shared" ca="1" si="94"/>
        <v>1.9800000000000015</v>
      </c>
      <c r="D202" s="306">
        <f t="shared" ca="1" si="95"/>
        <v>32.466997650774744</v>
      </c>
      <c r="E202" s="307">
        <f t="shared" ca="1" si="96"/>
        <v>87.492962997080369</v>
      </c>
      <c r="F202" s="304">
        <f t="shared" ca="1" si="97"/>
        <v>93.322690223031444</v>
      </c>
      <c r="G202" s="306">
        <f t="shared" ca="1" si="98"/>
        <v>53.478822980970065</v>
      </c>
      <c r="H202" s="307">
        <f t="shared" ca="1" si="99"/>
        <v>160.17689646307977</v>
      </c>
      <c r="I202" s="304">
        <f t="shared" ca="1" si="100"/>
        <v>168.86865507835995</v>
      </c>
      <c r="J202" s="306">
        <f t="shared" ca="1" si="101"/>
        <v>47.998735138670547</v>
      </c>
      <c r="K202" s="307">
        <f t="shared" ca="1" si="102"/>
        <v>152.12670802553413</v>
      </c>
      <c r="L202" s="304">
        <f t="shared" ca="1" si="87"/>
        <v>159.5193213049703</v>
      </c>
      <c r="M202" s="306">
        <f t="shared" ca="1" si="103"/>
        <v>1.2485596903091269</v>
      </c>
      <c r="N202" s="304">
        <f t="shared" ca="1" si="104"/>
        <v>71.537200724874083</v>
      </c>
      <c r="P202" s="310">
        <f t="shared" ca="1" si="105"/>
        <v>8</v>
      </c>
      <c r="Q202" s="304">
        <f t="shared" ca="1" si="106"/>
        <v>2018.3100839694662</v>
      </c>
      <c r="R202" s="306">
        <f t="shared" ca="1" si="107"/>
        <v>1.2137594844265496</v>
      </c>
      <c r="S202" s="307">
        <f t="shared" ca="1" si="108"/>
        <v>17.797817085478979</v>
      </c>
      <c r="T202" s="304">
        <f t="shared" ca="1" si="88"/>
        <v>174.59658560854879</v>
      </c>
      <c r="U202" s="311">
        <f t="shared" ca="1" si="89"/>
        <v>0</v>
      </c>
      <c r="V202" s="306">
        <f t="shared" ca="1" si="90"/>
        <v>1.2065051562516165</v>
      </c>
      <c r="W202" s="304">
        <f t="shared" ca="1" si="91"/>
        <v>194.78432132801788</v>
      </c>
      <c r="Y202" s="314" t="str">
        <f t="shared" ca="1" si="109"/>
        <v/>
      </c>
      <c r="Z202" s="315" t="str">
        <f t="shared" ca="1" si="110"/>
        <v/>
      </c>
      <c r="AA202" s="316" t="str">
        <f t="shared" ca="1" si="111"/>
        <v/>
      </c>
      <c r="AC202" s="310" t="e">
        <f t="shared" ca="1" si="112"/>
        <v>#N/A</v>
      </c>
      <c r="AD202" s="323" t="e">
        <f t="shared" ca="1" si="113"/>
        <v>#N/A</v>
      </c>
      <c r="AE202" s="324">
        <f t="shared" ca="1" si="92"/>
        <v>152.12670802553413</v>
      </c>
      <c r="AG202" s="306">
        <f t="shared" ca="1" si="114"/>
        <v>93.271021455059682</v>
      </c>
      <c r="AH202" s="304">
        <f t="shared" ca="1" si="115"/>
        <v>102.57666666677468</v>
      </c>
    </row>
    <row r="203" spans="1:34" x14ac:dyDescent="0.2">
      <c r="A203" s="347">
        <f t="shared" ca="1" si="93"/>
        <v>0.01</v>
      </c>
      <c r="B203" s="304">
        <f t="shared" ca="1" si="94"/>
        <v>1.9900000000000015</v>
      </c>
      <c r="D203" s="306">
        <f t="shared" ca="1" si="95"/>
        <v>32.497353008272412</v>
      </c>
      <c r="E203" s="307">
        <f t="shared" ca="1" si="96"/>
        <v>87.524325214720406</v>
      </c>
      <c r="F203" s="304">
        <f t="shared" ca="1" si="97"/>
        <v>93.362655579393277</v>
      </c>
      <c r="G203" s="306">
        <f t="shared" ca="1" si="98"/>
        <v>53.803796511052788</v>
      </c>
      <c r="H203" s="307">
        <f t="shared" ca="1" si="99"/>
        <v>161.05213971522699</v>
      </c>
      <c r="I203" s="304">
        <f t="shared" ca="1" si="100"/>
        <v>169.8017674403178</v>
      </c>
      <c r="J203" s="306">
        <f t="shared" ca="1" si="101"/>
        <v>48.535148236130659</v>
      </c>
      <c r="K203" s="307">
        <f t="shared" ca="1" si="102"/>
        <v>153.73285320642566</v>
      </c>
      <c r="L203" s="304">
        <f t="shared" ca="1" si="87"/>
        <v>161.21243987140571</v>
      </c>
      <c r="M203" s="306">
        <f t="shared" ca="1" si="103"/>
        <v>1.2483767288567518</v>
      </c>
      <c r="N203" s="304">
        <f t="shared" ca="1" si="104"/>
        <v>71.526717805839411</v>
      </c>
      <c r="P203" s="310">
        <f t="shared" ca="1" si="105"/>
        <v>8</v>
      </c>
      <c r="Q203" s="304">
        <f t="shared" ca="1" si="106"/>
        <v>2019.8791043257002</v>
      </c>
      <c r="R203" s="306">
        <f t="shared" ca="1" si="107"/>
        <v>1.2147030526888118</v>
      </c>
      <c r="S203" s="307">
        <f t="shared" ca="1" si="108"/>
        <v>17.785670054952092</v>
      </c>
      <c r="T203" s="304">
        <f t="shared" ca="1" si="88"/>
        <v>174.47742323908003</v>
      </c>
      <c r="U203" s="311">
        <f t="shared" ca="1" si="89"/>
        <v>0</v>
      </c>
      <c r="V203" s="306">
        <f t="shared" ca="1" si="90"/>
        <v>1.2063113782395001</v>
      </c>
      <c r="W203" s="304">
        <f t="shared" ca="1" si="91"/>
        <v>196.91126501700833</v>
      </c>
      <c r="Y203" s="314" t="str">
        <f t="shared" ca="1" si="109"/>
        <v/>
      </c>
      <c r="Z203" s="315" t="str">
        <f t="shared" ca="1" si="110"/>
        <v/>
      </c>
      <c r="AA203" s="316" t="str">
        <f t="shared" ca="1" si="111"/>
        <v/>
      </c>
      <c r="AC203" s="310" t="e">
        <f t="shared" ca="1" si="112"/>
        <v>#N/A</v>
      </c>
      <c r="AD203" s="323" t="e">
        <f t="shared" ca="1" si="113"/>
        <v>#N/A</v>
      </c>
      <c r="AE203" s="324">
        <f t="shared" ca="1" si="92"/>
        <v>153.73285320642566</v>
      </c>
      <c r="AG203" s="306">
        <f t="shared" ca="1" si="114"/>
        <v>93.310951990982844</v>
      </c>
      <c r="AH203" s="304">
        <f t="shared" ca="1" si="115"/>
        <v>102.61602612433025</v>
      </c>
    </row>
    <row r="204" spans="1:34" x14ac:dyDescent="0.2">
      <c r="A204" s="347">
        <f t="shared" ca="1" si="93"/>
        <v>0.01</v>
      </c>
      <c r="B204" s="304">
        <f t="shared" ca="1" si="94"/>
        <v>2.0000000000000013</v>
      </c>
      <c r="D204" s="306">
        <f t="shared" ca="1" si="95"/>
        <v>32.527453596842861</v>
      </c>
      <c r="E204" s="307">
        <f t="shared" ca="1" si="96"/>
        <v>87.555173853171169</v>
      </c>
      <c r="F204" s="304">
        <f t="shared" ca="1" si="97"/>
        <v>93.402054077808131</v>
      </c>
      <c r="G204" s="306">
        <f t="shared" ca="1" si="98"/>
        <v>54.129071047021213</v>
      </c>
      <c r="H204" s="307">
        <f t="shared" ca="1" si="99"/>
        <v>161.92769145375868</v>
      </c>
      <c r="I204" s="304">
        <f t="shared" ca="1" si="100"/>
        <v>170.7352734263109</v>
      </c>
      <c r="J204" s="306">
        <f t="shared" ca="1" si="101"/>
        <v>49.074812573921029</v>
      </c>
      <c r="K204" s="307">
        <f t="shared" ca="1" si="102"/>
        <v>155.3477523622706</v>
      </c>
      <c r="L204" s="304">
        <f t="shared" ca="1" si="87"/>
        <v>162.91489002904194</v>
      </c>
      <c r="M204" s="306">
        <f t="shared" ca="1" si="103"/>
        <v>1.2481946680468206</v>
      </c>
      <c r="N204" s="304">
        <f t="shared" ca="1" si="104"/>
        <v>71.516286489815613</v>
      </c>
      <c r="P204" s="310">
        <f t="shared" ca="1" si="105"/>
        <v>8</v>
      </c>
      <c r="Q204" s="304">
        <f t="shared" ca="1" si="106"/>
        <v>2021.4481246819341</v>
      </c>
      <c r="R204" s="306">
        <f t="shared" ca="1" si="107"/>
        <v>1.2156466209510739</v>
      </c>
      <c r="S204" s="307">
        <f t="shared" ca="1" si="108"/>
        <v>17.773513588742581</v>
      </c>
      <c r="T204" s="304">
        <f t="shared" ca="1" si="88"/>
        <v>174.35816830556473</v>
      </c>
      <c r="U204" s="311">
        <f t="shared" ca="1" si="89"/>
        <v>0</v>
      </c>
      <c r="V204" s="306">
        <f t="shared" ca="1" si="90"/>
        <v>1.2061165752154805</v>
      </c>
      <c r="W204" s="304">
        <f t="shared" ca="1" si="91"/>
        <v>199.05015485541614</v>
      </c>
      <c r="Y204" s="314" t="str">
        <f t="shared" ca="1" si="109"/>
        <v/>
      </c>
      <c r="Z204" s="315" t="str">
        <f t="shared" ca="1" si="110"/>
        <v/>
      </c>
      <c r="AA204" s="316" t="str">
        <f t="shared" ca="1" si="111"/>
        <v/>
      </c>
      <c r="AC204" s="310">
        <f t="shared" ca="1" si="112"/>
        <v>2.0000000000000013</v>
      </c>
      <c r="AD204" s="323">
        <f t="shared" ca="1" si="113"/>
        <v>49.074812573921029</v>
      </c>
      <c r="AE204" s="324">
        <f t="shared" ca="1" si="92"/>
        <v>155.3477523622706</v>
      </c>
      <c r="AG204" s="306">
        <f t="shared" ca="1" si="114"/>
        <v>93.350315638560772</v>
      </c>
      <c r="AH204" s="304">
        <f t="shared" ca="1" si="115"/>
        <v>102.65482120657077</v>
      </c>
    </row>
    <row r="205" spans="1:34" x14ac:dyDescent="0.2">
      <c r="A205" s="347">
        <f t="shared" ca="1" si="93"/>
        <v>0.01</v>
      </c>
      <c r="B205" s="304">
        <f t="shared" ca="1" si="94"/>
        <v>2.0100000000000011</v>
      </c>
      <c r="D205" s="306">
        <f t="shared" ca="1" si="95"/>
        <v>32.557299739004321</v>
      </c>
      <c r="E205" s="307">
        <f t="shared" ca="1" si="96"/>
        <v>87.585508268105627</v>
      </c>
      <c r="F205" s="304">
        <f t="shared" ca="1" si="97"/>
        <v>93.440885188860278</v>
      </c>
      <c r="G205" s="306">
        <f t="shared" ca="1" si="98"/>
        <v>54.454644044411253</v>
      </c>
      <c r="H205" s="307">
        <f t="shared" ca="1" si="99"/>
        <v>162.80354653643974</v>
      </c>
      <c r="I205" s="304">
        <f t="shared" ca="1" si="100"/>
        <v>171.66916736224428</v>
      </c>
      <c r="J205" s="306">
        <f t="shared" ca="1" si="101"/>
        <v>49.617731149378194</v>
      </c>
      <c r="K205" s="307">
        <f t="shared" ca="1" si="102"/>
        <v>156.97140855222159</v>
      </c>
      <c r="L205" s="304">
        <f t="shared" ca="1" si="87"/>
        <v>164.62667568556574</v>
      </c>
      <c r="M205" s="306">
        <f t="shared" ca="1" si="103"/>
        <v>1.2480134989878504</v>
      </c>
      <c r="N205" s="304">
        <f t="shared" ca="1" si="104"/>
        <v>71.50590626735827</v>
      </c>
      <c r="P205" s="310">
        <f t="shared" ca="1" si="105"/>
        <v>8</v>
      </c>
      <c r="Q205" s="304">
        <f t="shared" ca="1" si="106"/>
        <v>2023.0171450381683</v>
      </c>
      <c r="R205" s="306">
        <f t="shared" ca="1" si="107"/>
        <v>1.2165901892133364</v>
      </c>
      <c r="S205" s="307">
        <f t="shared" ca="1" si="108"/>
        <v>17.761347686850449</v>
      </c>
      <c r="T205" s="304">
        <f t="shared" ca="1" si="88"/>
        <v>174.23882080800291</v>
      </c>
      <c r="U205" s="311">
        <f t="shared" ca="1" si="89"/>
        <v>0</v>
      </c>
      <c r="V205" s="306">
        <f t="shared" ca="1" si="90"/>
        <v>1.2059207473107905</v>
      </c>
      <c r="W205" s="304">
        <f t="shared" ca="1" si="91"/>
        <v>201.20098087625414</v>
      </c>
      <c r="Y205" s="314" t="str">
        <f t="shared" ca="1" si="109"/>
        <v/>
      </c>
      <c r="Z205" s="315" t="str">
        <f t="shared" ca="1" si="110"/>
        <v/>
      </c>
      <c r="AA205" s="316" t="str">
        <f t="shared" ca="1" si="111"/>
        <v/>
      </c>
      <c r="AC205" s="310" t="e">
        <f t="shared" ca="1" si="112"/>
        <v>#N/A</v>
      </c>
      <c r="AD205" s="323" t="e">
        <f t="shared" ca="1" si="113"/>
        <v>#N/A</v>
      </c>
      <c r="AE205" s="324">
        <f t="shared" ca="1" si="92"/>
        <v>156.97140855222159</v>
      </c>
      <c r="AG205" s="306">
        <f t="shared" ca="1" si="114"/>
        <v>93.38911186511163</v>
      </c>
      <c r="AH205" s="304">
        <f t="shared" ca="1" si="115"/>
        <v>102.69305135742147</v>
      </c>
    </row>
    <row r="206" spans="1:34" x14ac:dyDescent="0.2">
      <c r="A206" s="347">
        <f t="shared" ca="1" si="93"/>
        <v>0.01</v>
      </c>
      <c r="B206" s="304">
        <f t="shared" ca="1" si="94"/>
        <v>2.0200000000000009</v>
      </c>
      <c r="D206" s="306">
        <f t="shared" ca="1" si="95"/>
        <v>32.586891753587842</v>
      </c>
      <c r="E206" s="307">
        <f t="shared" ca="1" si="96"/>
        <v>87.615327833497219</v>
      </c>
      <c r="F206" s="304">
        <f t="shared" ca="1" si="97"/>
        <v>93.47914839968989</v>
      </c>
      <c r="G206" s="306">
        <f t="shared" ca="1" si="98"/>
        <v>54.780512961947132</v>
      </c>
      <c r="H206" s="307">
        <f t="shared" ca="1" si="99"/>
        <v>163.67969981477472</v>
      </c>
      <c r="I206" s="304">
        <f t="shared" ca="1" si="100"/>
        <v>172.60344356886054</v>
      </c>
      <c r="J206" s="306">
        <f t="shared" ca="1" si="101"/>
        <v>50.163906934409987</v>
      </c>
      <c r="K206" s="307">
        <f t="shared" ca="1" si="102"/>
        <v>158.60382478397767</v>
      </c>
      <c r="L206" s="304">
        <f t="shared" ca="1" si="87"/>
        <v>166.34780069189625</v>
      </c>
      <c r="M206" s="306">
        <f t="shared" ca="1" si="103"/>
        <v>1.2478332129158616</v>
      </c>
      <c r="N206" s="304">
        <f t="shared" ca="1" si="104"/>
        <v>71.495576636328309</v>
      </c>
      <c r="P206" s="310">
        <f t="shared" ca="1" si="105"/>
        <v>8</v>
      </c>
      <c r="Q206" s="304">
        <f t="shared" ca="1" si="106"/>
        <v>2024.5861653944023</v>
      </c>
      <c r="R206" s="306">
        <f t="shared" ca="1" si="107"/>
        <v>1.2175337574755984</v>
      </c>
      <c r="S206" s="307">
        <f t="shared" ca="1" si="108"/>
        <v>17.749172349275693</v>
      </c>
      <c r="T206" s="304">
        <f t="shared" ca="1" si="88"/>
        <v>174.11938074639454</v>
      </c>
      <c r="U206" s="311">
        <f t="shared" ca="1" si="89"/>
        <v>0</v>
      </c>
      <c r="V206" s="306">
        <f t="shared" ca="1" si="90"/>
        <v>1.2057238946656115</v>
      </c>
      <c r="W206" s="304">
        <f t="shared" ca="1" si="91"/>
        <v>203.36373275323066</v>
      </c>
      <c r="Y206" s="314" t="str">
        <f t="shared" ca="1" si="109"/>
        <v/>
      </c>
      <c r="Z206" s="315" t="str">
        <f t="shared" ca="1" si="110"/>
        <v/>
      </c>
      <c r="AA206" s="316" t="str">
        <f t="shared" ca="1" si="111"/>
        <v/>
      </c>
      <c r="AC206" s="310" t="e">
        <f t="shared" ca="1" si="112"/>
        <v>#N/A</v>
      </c>
      <c r="AD206" s="323" t="e">
        <f t="shared" ca="1" si="113"/>
        <v>#N/A</v>
      </c>
      <c r="AE206" s="324">
        <f t="shared" ca="1" si="92"/>
        <v>158.60382478397767</v>
      </c>
      <c r="AG206" s="306">
        <f t="shared" ca="1" si="114"/>
        <v>93.427340154554699</v>
      </c>
      <c r="AH206" s="304">
        <f t="shared" ca="1" si="115"/>
        <v>102.73071603772875</v>
      </c>
    </row>
    <row r="207" spans="1:34" x14ac:dyDescent="0.2">
      <c r="A207" s="347">
        <f t="shared" ca="1" si="93"/>
        <v>0.01</v>
      </c>
      <c r="B207" s="304">
        <f t="shared" ca="1" si="94"/>
        <v>2.0300000000000007</v>
      </c>
      <c r="D207" s="306">
        <f t="shared" ca="1" si="95"/>
        <v>32.616229955950729</v>
      </c>
      <c r="E207" s="307">
        <f t="shared" ca="1" si="96"/>
        <v>87.644631941619579</v>
      </c>
      <c r="F207" s="304">
        <f t="shared" ca="1" si="97"/>
        <v>93.516843214051121</v>
      </c>
      <c r="G207" s="306">
        <f t="shared" ca="1" si="98"/>
        <v>55.106675261506638</v>
      </c>
      <c r="H207" s="307">
        <f t="shared" ca="1" si="99"/>
        <v>164.55614613419093</v>
      </c>
      <c r="I207" s="304">
        <f t="shared" ca="1" si="100"/>
        <v>173.5380963619065</v>
      </c>
      <c r="J207" s="306">
        <f t="shared" ca="1" si="101"/>
        <v>50.713342875527253</v>
      </c>
      <c r="K207" s="307">
        <f t="shared" ca="1" si="102"/>
        <v>160.24500401372251</v>
      </c>
      <c r="L207" s="304">
        <f t="shared" ca="1" si="87"/>
        <v>168.07826884213418</v>
      </c>
      <c r="M207" s="306">
        <f t="shared" ca="1" si="103"/>
        <v>1.2476538011919285</v>
      </c>
      <c r="N207" s="304">
        <f t="shared" ca="1" si="104"/>
        <v>71.485297101751783</v>
      </c>
      <c r="P207" s="310">
        <f t="shared" ca="1" si="105"/>
        <v>8</v>
      </c>
      <c r="Q207" s="304">
        <f t="shared" ca="1" si="106"/>
        <v>2026.1551857506365</v>
      </c>
      <c r="R207" s="306">
        <f t="shared" ca="1" si="107"/>
        <v>1.2184773257378607</v>
      </c>
      <c r="S207" s="307">
        <f t="shared" ca="1" si="108"/>
        <v>17.736987576018315</v>
      </c>
      <c r="T207" s="304">
        <f t="shared" ca="1" si="88"/>
        <v>173.99984812073967</v>
      </c>
      <c r="U207" s="311">
        <f t="shared" ca="1" si="89"/>
        <v>0</v>
      </c>
      <c r="V207" s="306">
        <f t="shared" ca="1" si="90"/>
        <v>1.2055260174290809</v>
      </c>
      <c r="W207" s="304">
        <f t="shared" ca="1" si="91"/>
        <v>205.53839980084123</v>
      </c>
      <c r="Y207" s="314" t="str">
        <f t="shared" ca="1" si="109"/>
        <v/>
      </c>
      <c r="Z207" s="315" t="str">
        <f t="shared" ca="1" si="110"/>
        <v/>
      </c>
      <c r="AA207" s="316" t="str">
        <f t="shared" ca="1" si="111"/>
        <v/>
      </c>
      <c r="AC207" s="310" t="e">
        <f t="shared" ca="1" si="112"/>
        <v>#N/A</v>
      </c>
      <c r="AD207" s="323" t="e">
        <f t="shared" ca="1" si="113"/>
        <v>#N/A</v>
      </c>
      <c r="AE207" s="324">
        <f t="shared" ca="1" si="92"/>
        <v>160.24500401372251</v>
      </c>
      <c r="AG207" s="306">
        <f t="shared" ca="1" si="114"/>
        <v>93.465000007467793</v>
      </c>
      <c r="AH207" s="304">
        <f t="shared" ca="1" si="115"/>
        <v>102.76781472531172</v>
      </c>
    </row>
    <row r="208" spans="1:34" x14ac:dyDescent="0.2">
      <c r="A208" s="347">
        <f t="shared" ca="1" si="93"/>
        <v>0.01</v>
      </c>
      <c r="B208" s="304">
        <f t="shared" ca="1" si="94"/>
        <v>2.0400000000000005</v>
      </c>
      <c r="D208" s="306">
        <f t="shared" ca="1" si="95"/>
        <v>32.645314658184951</v>
      </c>
      <c r="E208" s="307">
        <f t="shared" ca="1" si="96"/>
        <v>87.673420003046203</v>
      </c>
      <c r="F208" s="304">
        <f t="shared" ca="1" si="97"/>
        <v>93.553969152369191</v>
      </c>
      <c r="G208" s="306">
        <f t="shared" ca="1" si="98"/>
        <v>55.433128408088486</v>
      </c>
      <c r="H208" s="307">
        <f t="shared" ca="1" si="99"/>
        <v>165.43288033422138</v>
      </c>
      <c r="I208" s="304">
        <f t="shared" ca="1" si="100"/>
        <v>174.47312005230043</v>
      </c>
      <c r="J208" s="306">
        <f t="shared" ca="1" si="101"/>
        <v>51.266041893875226</v>
      </c>
      <c r="K208" s="307">
        <f t="shared" ca="1" si="102"/>
        <v>161.89494914606456</v>
      </c>
      <c r="L208" s="304">
        <f t="shared" ca="1" si="87"/>
        <v>169.81808387351273</v>
      </c>
      <c r="M208" s="306">
        <f t="shared" ca="1" si="103"/>
        <v>1.2474752552997901</v>
      </c>
      <c r="N208" s="304">
        <f t="shared" ca="1" si="104"/>
        <v>71.475067175682852</v>
      </c>
      <c r="P208" s="310">
        <f t="shared" ca="1" si="105"/>
        <v>8</v>
      </c>
      <c r="Q208" s="304">
        <f t="shared" ca="1" si="106"/>
        <v>2027.7242061068705</v>
      </c>
      <c r="R208" s="306">
        <f t="shared" ca="1" si="107"/>
        <v>1.219420894000123</v>
      </c>
      <c r="S208" s="307">
        <f t="shared" ca="1" si="108"/>
        <v>17.724793367078313</v>
      </c>
      <c r="T208" s="304">
        <f t="shared" ca="1" si="88"/>
        <v>173.88022293103825</v>
      </c>
      <c r="U208" s="311">
        <f t="shared" ca="1" si="89"/>
        <v>0</v>
      </c>
      <c r="V208" s="306">
        <f t="shared" ca="1" si="90"/>
        <v>1.2053271157592922</v>
      </c>
      <c r="W208" s="304">
        <f t="shared" ca="1" si="91"/>
        <v>207.7249709744828</v>
      </c>
      <c r="Y208" s="314" t="str">
        <f t="shared" ca="1" si="109"/>
        <v/>
      </c>
      <c r="Z208" s="315" t="str">
        <f t="shared" ca="1" si="110"/>
        <v/>
      </c>
      <c r="AA208" s="316" t="str">
        <f t="shared" ca="1" si="111"/>
        <v/>
      </c>
      <c r="AC208" s="310" t="e">
        <f t="shared" ca="1" si="112"/>
        <v>#N/A</v>
      </c>
      <c r="AD208" s="323" t="e">
        <f t="shared" ca="1" si="113"/>
        <v>#N/A</v>
      </c>
      <c r="AE208" s="324">
        <f t="shared" ca="1" si="92"/>
        <v>161.89494914606456</v>
      </c>
      <c r="AG208" s="306">
        <f t="shared" ca="1" si="114"/>
        <v>93.502090941143294</v>
      </c>
      <c r="AH208" s="304">
        <f t="shared" ca="1" si="115"/>
        <v>102.80434691501237</v>
      </c>
    </row>
    <row r="209" spans="1:34" x14ac:dyDescent="0.2">
      <c r="A209" s="347">
        <f t="shared" ca="1" si="93"/>
        <v>0.01</v>
      </c>
      <c r="B209" s="304">
        <f t="shared" ca="1" si="94"/>
        <v>2.0500000000000003</v>
      </c>
      <c r="D209" s="306">
        <f t="shared" ca="1" si="95"/>
        <v>32.674146169320686</v>
      </c>
      <c r="E209" s="307">
        <f t="shared" ca="1" si="96"/>
        <v>87.701691446650628</v>
      </c>
      <c r="F209" s="304">
        <f t="shared" ca="1" si="97"/>
        <v>93.590525751796292</v>
      </c>
      <c r="G209" s="306">
        <f t="shared" ca="1" si="98"/>
        <v>55.759869869781696</v>
      </c>
      <c r="H209" s="307">
        <f t="shared" ca="1" si="99"/>
        <v>166.30989724868789</v>
      </c>
      <c r="I209" s="304">
        <f t="shared" ca="1" si="100"/>
        <v>175.40850894629972</v>
      </c>
      <c r="J209" s="306">
        <f t="shared" ca="1" si="101"/>
        <v>51.822006885264578</v>
      </c>
      <c r="K209" s="307">
        <f t="shared" ca="1" si="102"/>
        <v>163.55366303397912</v>
      </c>
      <c r="L209" s="304">
        <f t="shared" ca="1" si="87"/>
        <v>171.56724946635006</v>
      </c>
      <c r="M209" s="306">
        <f t="shared" ca="1" si="103"/>
        <v>1.2472975668435176</v>
      </c>
      <c r="N209" s="304">
        <f t="shared" ca="1" si="104"/>
        <v>71.464886377070243</v>
      </c>
      <c r="P209" s="310">
        <f t="shared" ca="1" si="105"/>
        <v>8</v>
      </c>
      <c r="Q209" s="304">
        <f t="shared" ca="1" si="106"/>
        <v>2029.2932264631045</v>
      </c>
      <c r="R209" s="306">
        <f t="shared" ca="1" si="107"/>
        <v>1.2203644622623853</v>
      </c>
      <c r="S209" s="307">
        <f t="shared" ca="1" si="108"/>
        <v>17.712589722455689</v>
      </c>
      <c r="T209" s="304">
        <f t="shared" ca="1" si="88"/>
        <v>173.76050517729033</v>
      </c>
      <c r="U209" s="311">
        <f t="shared" ca="1" si="89"/>
        <v>0</v>
      </c>
      <c r="V209" s="306">
        <f t="shared" ca="1" si="90"/>
        <v>1.2051271898232969</v>
      </c>
      <c r="W209" s="304">
        <f t="shared" ca="1" si="91"/>
        <v>209.92343487059162</v>
      </c>
      <c r="Y209" s="314" t="str">
        <f t="shared" ca="1" si="109"/>
        <v/>
      </c>
      <c r="Z209" s="315" t="str">
        <f t="shared" ca="1" si="110"/>
        <v/>
      </c>
      <c r="AA209" s="316" t="str">
        <f t="shared" ca="1" si="111"/>
        <v/>
      </c>
      <c r="AC209" s="310" t="e">
        <f t="shared" ca="1" si="112"/>
        <v>#N/A</v>
      </c>
      <c r="AD209" s="323" t="e">
        <f t="shared" ca="1" si="113"/>
        <v>#N/A</v>
      </c>
      <c r="AE209" s="324">
        <f t="shared" ca="1" si="92"/>
        <v>163.55366303397912</v>
      </c>
      <c r="AG209" s="306">
        <f t="shared" ca="1" si="114"/>
        <v>93.538612489643427</v>
      </c>
      <c r="AH209" s="304">
        <f t="shared" ca="1" si="115"/>
        <v>102.8403121187452</v>
      </c>
    </row>
    <row r="210" spans="1:34" x14ac:dyDescent="0.2">
      <c r="A210" s="347">
        <f t="shared" ca="1" si="93"/>
        <v>0.01</v>
      </c>
      <c r="B210" s="304">
        <f t="shared" ca="1" si="94"/>
        <v>2.06</v>
      </c>
      <c r="D210" s="306">
        <f t="shared" ca="1" si="95"/>
        <v>32.70272479552505</v>
      </c>
      <c r="E210" s="307">
        <f t="shared" ca="1" si="96"/>
        <v>87.729445719606403</v>
      </c>
      <c r="F210" s="304">
        <f t="shared" ca="1" si="97"/>
        <v>93.626512566266271</v>
      </c>
      <c r="G210" s="306">
        <f t="shared" ca="1" si="98"/>
        <v>56.086897117736946</v>
      </c>
      <c r="H210" s="307">
        <f t="shared" ca="1" si="99"/>
        <v>167.18719170588395</v>
      </c>
      <c r="I210" s="304">
        <f t="shared" ca="1" si="100"/>
        <v>176.34425734566918</v>
      </c>
      <c r="J210" s="306">
        <f t="shared" ca="1" si="101"/>
        <v>52.381240720202172</v>
      </c>
      <c r="K210" s="307">
        <f t="shared" ca="1" si="102"/>
        <v>165.22114847875199</v>
      </c>
      <c r="L210" s="304">
        <f t="shared" ca="1" si="87"/>
        <v>173.32576924400357</v>
      </c>
      <c r="M210" s="306">
        <f t="shared" ca="1" si="103"/>
        <v>1.2471207275452383</v>
      </c>
      <c r="N210" s="304">
        <f t="shared" ca="1" si="104"/>
        <v>71.454754231626779</v>
      </c>
      <c r="P210" s="310">
        <f t="shared" ca="1" si="105"/>
        <v>8</v>
      </c>
      <c r="Q210" s="304">
        <f t="shared" ca="1" si="106"/>
        <v>2030.8622468193387</v>
      </c>
      <c r="R210" s="306">
        <f t="shared" ca="1" si="107"/>
        <v>1.2213080305246475</v>
      </c>
      <c r="S210" s="307">
        <f t="shared" ca="1" si="108"/>
        <v>17.700376642150442</v>
      </c>
      <c r="T210" s="304">
        <f t="shared" ca="1" si="88"/>
        <v>173.64069485949585</v>
      </c>
      <c r="U210" s="311">
        <f t="shared" ca="1" si="89"/>
        <v>0</v>
      </c>
      <c r="V210" s="306">
        <f t="shared" ca="1" si="90"/>
        <v>1.2049262397971037</v>
      </c>
      <c r="W210" s="304">
        <f t="shared" ca="1" si="91"/>
        <v>212.13377972680394</v>
      </c>
      <c r="Y210" s="314" t="str">
        <f t="shared" ca="1" si="109"/>
        <v/>
      </c>
      <c r="Z210" s="315" t="str">
        <f t="shared" ca="1" si="110"/>
        <v/>
      </c>
      <c r="AA210" s="316" t="str">
        <f t="shared" ca="1" si="111"/>
        <v/>
      </c>
      <c r="AC210" s="310" t="e">
        <f t="shared" ca="1" si="112"/>
        <v>#N/A</v>
      </c>
      <c r="AD210" s="323" t="e">
        <f t="shared" ca="1" si="113"/>
        <v>#N/A</v>
      </c>
      <c r="AE210" s="324">
        <f t="shared" ca="1" si="92"/>
        <v>165.22114847875199</v>
      </c>
      <c r="AG210" s="306">
        <f t="shared" ca="1" si="114"/>
        <v>93.574564203854109</v>
      </c>
      <c r="AH210" s="304">
        <f t="shared" ca="1" si="115"/>
        <v>102.87570986554549</v>
      </c>
    </row>
    <row r="211" spans="1:34" x14ac:dyDescent="0.2">
      <c r="A211" s="347">
        <f t="shared" ca="1" si="93"/>
        <v>0.01</v>
      </c>
      <c r="B211" s="304">
        <f t="shared" ca="1" si="94"/>
        <v>2.0699999999999998</v>
      </c>
      <c r="D211" s="306">
        <f t="shared" ca="1" si="95"/>
        <v>32.731050840296106</v>
      </c>
      <c r="E211" s="307">
        <f t="shared" ca="1" si="96"/>
        <v>87.756682287387306</v>
      </c>
      <c r="F211" s="304">
        <f t="shared" ca="1" si="97"/>
        <v>93.661929166548163</v>
      </c>
      <c r="G211" s="306">
        <f t="shared" ca="1" si="98"/>
        <v>56.414207626139905</v>
      </c>
      <c r="H211" s="307">
        <f t="shared" ca="1" si="99"/>
        <v>168.06475852875781</v>
      </c>
      <c r="I211" s="304">
        <f t="shared" ca="1" si="100"/>
        <v>177.28035954784977</v>
      </c>
      <c r="J211" s="306">
        <f t="shared" ca="1" si="101"/>
        <v>52.943746243921559</v>
      </c>
      <c r="K211" s="307">
        <f t="shared" ca="1" si="102"/>
        <v>166.89740822992519</v>
      </c>
      <c r="L211" s="304">
        <f t="shared" ca="1" si="87"/>
        <v>175.09364677282571</v>
      </c>
      <c r="M211" s="306">
        <f t="shared" ca="1" si="103"/>
        <v>1.2469447292429123</v>
      </c>
      <c r="N211" s="304">
        <f t="shared" ca="1" si="104"/>
        <v>71.444670271702037</v>
      </c>
      <c r="P211" s="310">
        <f t="shared" ca="1" si="105"/>
        <v>8</v>
      </c>
      <c r="Q211" s="304">
        <f t="shared" ca="1" si="106"/>
        <v>2032.4312671755727</v>
      </c>
      <c r="R211" s="306">
        <f t="shared" ca="1" si="107"/>
        <v>1.2222515987869096</v>
      </c>
      <c r="S211" s="307">
        <f t="shared" ca="1" si="108"/>
        <v>17.688154126162573</v>
      </c>
      <c r="T211" s="304">
        <f t="shared" ca="1" si="88"/>
        <v>173.52079197765485</v>
      </c>
      <c r="U211" s="311">
        <f t="shared" ca="1" si="89"/>
        <v>0</v>
      </c>
      <c r="V211" s="306">
        <f t="shared" ca="1" si="90"/>
        <v>1.2047242658656832</v>
      </c>
      <c r="W211" s="304">
        <f t="shared" ca="1" si="91"/>
        <v>214.35599342214206</v>
      </c>
      <c r="Y211" s="314" t="str">
        <f t="shared" ca="1" si="109"/>
        <v/>
      </c>
      <c r="Z211" s="315" t="str">
        <f t="shared" ca="1" si="110"/>
        <v/>
      </c>
      <c r="AA211" s="316" t="str">
        <f t="shared" ca="1" si="111"/>
        <v/>
      </c>
      <c r="AC211" s="310" t="e">
        <f t="shared" ca="1" si="112"/>
        <v>#N/A</v>
      </c>
      <c r="AD211" s="323" t="e">
        <f t="shared" ca="1" si="113"/>
        <v>#N/A</v>
      </c>
      <c r="AE211" s="324">
        <f t="shared" ca="1" si="92"/>
        <v>166.89740822992519</v>
      </c>
      <c r="AG211" s="306">
        <f t="shared" ca="1" si="114"/>
        <v>93.609945651537757</v>
      </c>
      <c r="AH211" s="304">
        <f t="shared" ca="1" si="115"/>
        <v>102.9105397016167</v>
      </c>
    </row>
    <row r="212" spans="1:34" x14ac:dyDescent="0.2">
      <c r="A212" s="347">
        <f t="shared" ca="1" si="93"/>
        <v>0.01</v>
      </c>
      <c r="B212" s="304">
        <f t="shared" ca="1" si="94"/>
        <v>2.0799999999999996</v>
      </c>
      <c r="D212" s="306">
        <f t="shared" ca="1" si="95"/>
        <v>32.759124604652605</v>
      </c>
      <c r="E212" s="307">
        <f t="shared" ca="1" si="96"/>
        <v>87.783400633767783</v>
      </c>
      <c r="F212" s="304">
        <f t="shared" ca="1" si="97"/>
        <v>93.696775140298911</v>
      </c>
      <c r="G212" s="306">
        <f t="shared" ca="1" si="98"/>
        <v>56.741798872186429</v>
      </c>
      <c r="H212" s="307">
        <f t="shared" ca="1" si="99"/>
        <v>168.94259253509549</v>
      </c>
      <c r="I212" s="304">
        <f t="shared" ca="1" si="100"/>
        <v>178.21680984612803</v>
      </c>
      <c r="J212" s="306">
        <f t="shared" ca="1" si="101"/>
        <v>53.50952627641319</v>
      </c>
      <c r="K212" s="307">
        <f t="shared" ca="1" si="102"/>
        <v>168.58244498524445</v>
      </c>
      <c r="L212" s="304">
        <f t="shared" ca="1" si="87"/>
        <v>176.87088556212163</v>
      </c>
      <c r="M212" s="306">
        <f t="shared" ca="1" si="103"/>
        <v>1.2467695638881626</v>
      </c>
      <c r="N212" s="304">
        <f t="shared" ca="1" si="104"/>
        <v>71.434634036157973</v>
      </c>
      <c r="P212" s="310">
        <f t="shared" ca="1" si="105"/>
        <v>8</v>
      </c>
      <c r="Q212" s="304">
        <f t="shared" ca="1" si="106"/>
        <v>2034.0002875318069</v>
      </c>
      <c r="R212" s="306">
        <f t="shared" ca="1" si="107"/>
        <v>1.2231951670491721</v>
      </c>
      <c r="S212" s="307">
        <f t="shared" ca="1" si="108"/>
        <v>17.675922174492079</v>
      </c>
      <c r="T212" s="304">
        <f t="shared" ca="1" si="88"/>
        <v>173.4007965317673</v>
      </c>
      <c r="U212" s="311">
        <f t="shared" ca="1" si="89"/>
        <v>0</v>
      </c>
      <c r="V212" s="306">
        <f t="shared" ca="1" si="90"/>
        <v>1.204521268222966</v>
      </c>
      <c r="W212" s="304">
        <f t="shared" ca="1" si="91"/>
        <v>216.59006347722246</v>
      </c>
      <c r="Y212" s="314" t="str">
        <f t="shared" ca="1" si="109"/>
        <v/>
      </c>
      <c r="Z212" s="315" t="str">
        <f t="shared" ca="1" si="110"/>
        <v/>
      </c>
      <c r="AA212" s="316" t="str">
        <f t="shared" ca="1" si="111"/>
        <v/>
      </c>
      <c r="AC212" s="310" t="e">
        <f t="shared" ca="1" si="112"/>
        <v>#N/A</v>
      </c>
      <c r="AD212" s="323" t="e">
        <f t="shared" ca="1" si="113"/>
        <v>#N/A</v>
      </c>
      <c r="AE212" s="324">
        <f t="shared" ca="1" si="92"/>
        <v>168.58244498524445</v>
      </c>
      <c r="AG212" s="306">
        <f t="shared" ca="1" si="114"/>
        <v>93.644756417385125</v>
      </c>
      <c r="AH212" s="304">
        <f t="shared" ca="1" si="115"/>
        <v>102.94480119037708</v>
      </c>
    </row>
    <row r="213" spans="1:34" x14ac:dyDescent="0.2">
      <c r="A213" s="347">
        <f t="shared" ca="1" si="93"/>
        <v>0.01</v>
      </c>
      <c r="B213" s="304">
        <f t="shared" ca="1" si="94"/>
        <v>2.0899999999999994</v>
      </c>
      <c r="D213" s="306">
        <f t="shared" ca="1" si="95"/>
        <v>32.786946387318991</v>
      </c>
      <c r="E213" s="307">
        <f t="shared" ca="1" si="96"/>
        <v>87.809600260822947</v>
      </c>
      <c r="F213" s="304">
        <f t="shared" ca="1" si="97"/>
        <v>93.731050092114344</v>
      </c>
      <c r="G213" s="306">
        <f t="shared" ca="1" si="98"/>
        <v>57.069668336059621</v>
      </c>
      <c r="H213" s="307">
        <f t="shared" ca="1" si="99"/>
        <v>169.82068853770372</v>
      </c>
      <c r="I213" s="304">
        <f t="shared" ca="1" si="100"/>
        <v>179.15360252980574</v>
      </c>
      <c r="J213" s="306">
        <f t="shared" ca="1" si="101"/>
        <v>54.078583612454423</v>
      </c>
      <c r="K213" s="307">
        <f t="shared" ca="1" si="102"/>
        <v>170.27626139060845</v>
      </c>
      <c r="L213" s="304">
        <f t="shared" ca="1" si="87"/>
        <v>178.65748906410846</v>
      </c>
      <c r="M213" s="306">
        <f t="shared" ca="1" si="103"/>
        <v>1.2465952235441562</v>
      </c>
      <c r="N213" s="304">
        <f t="shared" ca="1" si="104"/>
        <v>71.42464507024755</v>
      </c>
      <c r="P213" s="310">
        <f t="shared" ca="1" si="105"/>
        <v>8</v>
      </c>
      <c r="Q213" s="304">
        <f t="shared" ca="1" si="106"/>
        <v>2035.5693078880408</v>
      </c>
      <c r="R213" s="306">
        <f t="shared" ca="1" si="107"/>
        <v>1.2241387353114341</v>
      </c>
      <c r="S213" s="307">
        <f t="shared" ca="1" si="108"/>
        <v>17.663680787138965</v>
      </c>
      <c r="T213" s="304">
        <f t="shared" ca="1" si="88"/>
        <v>173.28070852183325</v>
      </c>
      <c r="U213" s="311">
        <f t="shared" ca="1" si="89"/>
        <v>0</v>
      </c>
      <c r="V213" s="306">
        <f t="shared" ca="1" si="90"/>
        <v>1.2043172470718442</v>
      </c>
      <c r="W213" s="304">
        <f t="shared" ca="1" si="91"/>
        <v>218.83597705448767</v>
      </c>
      <c r="Y213" s="314" t="str">
        <f t="shared" ca="1" si="109"/>
        <v/>
      </c>
      <c r="Z213" s="315" t="str">
        <f t="shared" ca="1" si="110"/>
        <v/>
      </c>
      <c r="AA213" s="316" t="str">
        <f t="shared" ca="1" si="111"/>
        <v/>
      </c>
      <c r="AC213" s="310" t="e">
        <f t="shared" ca="1" si="112"/>
        <v>#N/A</v>
      </c>
      <c r="AD213" s="323" t="e">
        <f t="shared" ca="1" si="113"/>
        <v>#N/A</v>
      </c>
      <c r="AE213" s="324">
        <f t="shared" ca="1" si="92"/>
        <v>170.27626139060845</v>
      </c>
      <c r="AG213" s="306">
        <f t="shared" ca="1" si="114"/>
        <v>93.678996103065757</v>
      </c>
      <c r="AH213" s="304">
        <f t="shared" ca="1" si="115"/>
        <v>102.97849391250483</v>
      </c>
    </row>
    <row r="214" spans="1:34" x14ac:dyDescent="0.2">
      <c r="A214" s="347">
        <f t="shared" ca="1" si="93"/>
        <v>0.01</v>
      </c>
      <c r="B214" s="304">
        <f t="shared" ca="1" si="94"/>
        <v>2.0999999999999992</v>
      </c>
      <c r="D214" s="306">
        <f t="shared" ca="1" si="95"/>
        <v>32.814516484906399</v>
      </c>
      <c r="E214" s="307">
        <f t="shared" ca="1" si="96"/>
        <v>87.835280688929174</v>
      </c>
      <c r="F214" s="304">
        <f t="shared" ca="1" si="97"/>
        <v>93.764753643579567</v>
      </c>
      <c r="G214" s="306">
        <f t="shared" ca="1" si="98"/>
        <v>57.397813500908683</v>
      </c>
      <c r="H214" s="307">
        <f t="shared" ca="1" si="99"/>
        <v>170.69904134459301</v>
      </c>
      <c r="I214" s="304">
        <f t="shared" ca="1" si="100"/>
        <v>180.09073188437034</v>
      </c>
      <c r="J214" s="306">
        <f t="shared" ca="1" si="101"/>
        <v>54.650921021639263</v>
      </c>
      <c r="K214" s="307">
        <f t="shared" ca="1" si="102"/>
        <v>171.97886004001992</v>
      </c>
      <c r="L214" s="304">
        <f t="shared" ca="1" si="87"/>
        <v>180.45346067387629</v>
      </c>
      <c r="M214" s="306">
        <f t="shared" ca="1" si="103"/>
        <v>1.2464217003835338</v>
      </c>
      <c r="N214" s="304">
        <f t="shared" ca="1" si="104"/>
        <v>71.414702925496115</v>
      </c>
      <c r="P214" s="310">
        <f t="shared" ca="1" si="105"/>
        <v>8</v>
      </c>
      <c r="Q214" s="304">
        <f t="shared" ca="1" si="106"/>
        <v>2037.1383282442748</v>
      </c>
      <c r="R214" s="306">
        <f t="shared" ca="1" si="107"/>
        <v>1.2250823035736964</v>
      </c>
      <c r="S214" s="307">
        <f t="shared" ca="1" si="108"/>
        <v>17.65142996410323</v>
      </c>
      <c r="T214" s="304">
        <f t="shared" ca="1" si="88"/>
        <v>173.1605279478527</v>
      </c>
      <c r="U214" s="311">
        <f t="shared" ca="1" si="89"/>
        <v>0</v>
      </c>
      <c r="V214" s="306">
        <f t="shared" ca="1" si="90"/>
        <v>1.2041122026241697</v>
      </c>
      <c r="W214" s="304">
        <f t="shared" ca="1" si="91"/>
        <v>221.09372095846271</v>
      </c>
      <c r="Y214" s="314" t="str">
        <f t="shared" ca="1" si="109"/>
        <v/>
      </c>
      <c r="Z214" s="315" t="str">
        <f t="shared" ca="1" si="110"/>
        <v/>
      </c>
      <c r="AA214" s="316" t="str">
        <f t="shared" ca="1" si="111"/>
        <v/>
      </c>
      <c r="AC214" s="310" t="e">
        <f t="shared" ca="1" si="112"/>
        <v>#N/A</v>
      </c>
      <c r="AD214" s="323" t="e">
        <f t="shared" ca="1" si="113"/>
        <v>#N/A</v>
      </c>
      <c r="AE214" s="324">
        <f t="shared" ca="1" si="92"/>
        <v>171.97886004001992</v>
      </c>
      <c r="AG214" s="306">
        <f t="shared" ca="1" si="114"/>
        <v>93.712664327277579</v>
      </c>
      <c r="AH214" s="304">
        <f t="shared" ca="1" si="115"/>
        <v>103.01161746598274</v>
      </c>
    </row>
    <row r="215" spans="1:34" x14ac:dyDescent="0.2">
      <c r="A215" s="347">
        <f t="shared" ca="1" si="93"/>
        <v>0.01</v>
      </c>
      <c r="B215" s="304">
        <f t="shared" ca="1" si="94"/>
        <v>2.109999999999999</v>
      </c>
      <c r="D215" s="306">
        <f t="shared" ca="1" si="95"/>
        <v>32.841835192089356</v>
      </c>
      <c r="E215" s="307">
        <f t="shared" ca="1" si="96"/>
        <v>87.860441456764192</v>
      </c>
      <c r="F215" s="304">
        <f t="shared" ca="1" si="97"/>
        <v>93.797885433317987</v>
      </c>
      <c r="G215" s="306">
        <f t="shared" ca="1" si="98"/>
        <v>57.726231852829578</v>
      </c>
      <c r="H215" s="307">
        <f t="shared" ca="1" si="99"/>
        <v>171.57764575916065</v>
      </c>
      <c r="I215" s="304">
        <f t="shared" ca="1" si="100"/>
        <v>181.02819219166571</v>
      </c>
      <c r="J215" s="306">
        <f t="shared" ca="1" si="101"/>
        <v>55.226541248407955</v>
      </c>
      <c r="K215" s="307">
        <f t="shared" ca="1" si="102"/>
        <v>173.69024347553869</v>
      </c>
      <c r="L215" s="304">
        <f t="shared" ca="1" si="87"/>
        <v>182.2588037293508</v>
      </c>
      <c r="M215" s="306">
        <f t="shared" ca="1" si="103"/>
        <v>1.2462489866863893</v>
      </c>
      <c r="N215" s="304">
        <f t="shared" ca="1" si="104"/>
        <v>71.40480715958563</v>
      </c>
      <c r="P215" s="310">
        <f t="shared" ca="1" si="105"/>
        <v>8</v>
      </c>
      <c r="Q215" s="304">
        <f t="shared" ca="1" si="106"/>
        <v>2038.707348600509</v>
      </c>
      <c r="R215" s="306">
        <f t="shared" ca="1" si="107"/>
        <v>1.2260258718359587</v>
      </c>
      <c r="S215" s="307">
        <f t="shared" ca="1" si="108"/>
        <v>17.63916970538487</v>
      </c>
      <c r="T215" s="304">
        <f t="shared" ca="1" si="88"/>
        <v>173.04025480982557</v>
      </c>
      <c r="U215" s="311">
        <f t="shared" ca="1" si="89"/>
        <v>0</v>
      </c>
      <c r="V215" s="306">
        <f t="shared" ca="1" si="90"/>
        <v>1.2039061351007561</v>
      </c>
      <c r="W215" s="304">
        <f t="shared" ca="1" si="91"/>
        <v>223.36328163603432</v>
      </c>
      <c r="Y215" s="314" t="str">
        <f t="shared" ca="1" si="109"/>
        <v/>
      </c>
      <c r="Z215" s="315" t="str">
        <f t="shared" ca="1" si="110"/>
        <v/>
      </c>
      <c r="AA215" s="316" t="str">
        <f t="shared" ca="1" si="111"/>
        <v/>
      </c>
      <c r="AC215" s="310" t="e">
        <f t="shared" ca="1" si="112"/>
        <v>#N/A</v>
      </c>
      <c r="AD215" s="323" t="e">
        <f t="shared" ca="1" si="113"/>
        <v>#N/A</v>
      </c>
      <c r="AE215" s="324">
        <f t="shared" ca="1" si="92"/>
        <v>173.69024347553869</v>
      </c>
      <c r="AG215" s="306">
        <f t="shared" ca="1" si="114"/>
        <v>93.745760725795137</v>
      </c>
      <c r="AH215" s="304">
        <f t="shared" ca="1" si="115"/>
        <v>103.04417146614145</v>
      </c>
    </row>
    <row r="216" spans="1:34" x14ac:dyDescent="0.2">
      <c r="A216" s="347">
        <f t="shared" ca="1" si="93"/>
        <v>0.01</v>
      </c>
      <c r="B216" s="304">
        <f t="shared" ca="1" si="94"/>
        <v>2.1199999999999988</v>
      </c>
      <c r="D216" s="306">
        <f t="shared" ca="1" si="95"/>
        <v>32.86890280177834</v>
      </c>
      <c r="E216" s="307">
        <f t="shared" ca="1" si="96"/>
        <v>87.885082121307249</v>
      </c>
      <c r="F216" s="304">
        <f t="shared" ca="1" si="97"/>
        <v>93.830445117039019</v>
      </c>
      <c r="G216" s="306">
        <f t="shared" ca="1" si="98"/>
        <v>58.054920880847362</v>
      </c>
      <c r="H216" s="307">
        <f t="shared" ca="1" si="99"/>
        <v>172.45649658037371</v>
      </c>
      <c r="I216" s="304">
        <f t="shared" ca="1" si="100"/>
        <v>181.96597773006332</v>
      </c>
      <c r="J216" s="306">
        <f t="shared" ca="1" si="101"/>
        <v>55.805447012076343</v>
      </c>
      <c r="K216" s="307">
        <f t="shared" ca="1" si="102"/>
        <v>175.41041418723637</v>
      </c>
      <c r="L216" s="304">
        <f t="shared" ca="1" si="87"/>
        <v>184.07352151125778</v>
      </c>
      <c r="M216" s="306">
        <f t="shared" ca="1" si="103"/>
        <v>1.2460770748382941</v>
      </c>
      <c r="N216" s="304">
        <f t="shared" ca="1" si="104"/>
        <v>71.394957336241475</v>
      </c>
      <c r="P216" s="310">
        <f t="shared" ca="1" si="105"/>
        <v>8</v>
      </c>
      <c r="Q216" s="304">
        <f t="shared" ca="1" si="106"/>
        <v>2040.276368956743</v>
      </c>
      <c r="R216" s="306">
        <f t="shared" ca="1" si="107"/>
        <v>1.226969440098221</v>
      </c>
      <c r="S216" s="307">
        <f t="shared" ca="1" si="108"/>
        <v>17.626900010983888</v>
      </c>
      <c r="T216" s="304">
        <f t="shared" ca="1" si="88"/>
        <v>172.91988910775194</v>
      </c>
      <c r="U216" s="311">
        <f t="shared" ca="1" si="89"/>
        <v>0</v>
      </c>
      <c r="V216" s="306">
        <f t="shared" ca="1" si="90"/>
        <v>1.2036990447313762</v>
      </c>
      <c r="W216" s="304">
        <f t="shared" ca="1" si="91"/>
        <v>225.6446451767541</v>
      </c>
      <c r="Y216" s="314" t="str">
        <f t="shared" ca="1" si="109"/>
        <v/>
      </c>
      <c r="Z216" s="315" t="str">
        <f t="shared" ca="1" si="110"/>
        <v/>
      </c>
      <c r="AA216" s="316" t="str">
        <f t="shared" ca="1" si="111"/>
        <v/>
      </c>
      <c r="AC216" s="310" t="e">
        <f t="shared" ca="1" si="112"/>
        <v>#N/A</v>
      </c>
      <c r="AD216" s="323" t="e">
        <f t="shared" ca="1" si="113"/>
        <v>#N/A</v>
      </c>
      <c r="AE216" s="324">
        <f t="shared" ca="1" si="92"/>
        <v>175.41041418723637</v>
      </c>
      <c r="AG216" s="306">
        <f t="shared" ca="1" si="114"/>
        <v>93.778284951516795</v>
      </c>
      <c r="AH216" s="304">
        <f t="shared" ca="1" si="115"/>
        <v>103.07615554570184</v>
      </c>
    </row>
    <row r="217" spans="1:34" x14ac:dyDescent="0.2">
      <c r="A217" s="347">
        <f t="shared" ca="1" si="93"/>
        <v>0.01</v>
      </c>
      <c r="B217" s="304">
        <f t="shared" ca="1" si="94"/>
        <v>2.1299999999999986</v>
      </c>
      <c r="D217" s="306">
        <f t="shared" ca="1" si="95"/>
        <v>32.895719605288562</v>
      </c>
      <c r="E217" s="307">
        <f t="shared" ca="1" si="96"/>
        <v>87.909202257839297</v>
      </c>
      <c r="F217" s="304">
        <f t="shared" ca="1" si="97"/>
        <v>93.862432367584987</v>
      </c>
      <c r="G217" s="306">
        <f t="shared" ca="1" si="98"/>
        <v>58.383878076900245</v>
      </c>
      <c r="H217" s="307">
        <f t="shared" ca="1" si="99"/>
        <v>173.3355886029521</v>
      </c>
      <c r="I217" s="304">
        <f t="shared" ca="1" si="100"/>
        <v>182.90408277463413</v>
      </c>
      <c r="J217" s="306">
        <f t="shared" ca="1" si="101"/>
        <v>56.387641006865081</v>
      </c>
      <c r="K217" s="307">
        <f t="shared" ca="1" si="102"/>
        <v>177.139374613153</v>
      </c>
      <c r="L217" s="304">
        <f t="shared" ca="1" si="87"/>
        <v>185.89761724308906</v>
      </c>
      <c r="M217" s="306">
        <f t="shared" ca="1" si="103"/>
        <v>1.2459059573283691</v>
      </c>
      <c r="N217" s="304">
        <f t="shared" ca="1" si="104"/>
        <v>71.38515302512198</v>
      </c>
      <c r="P217" s="310">
        <f t="shared" ca="1" si="105"/>
        <v>8</v>
      </c>
      <c r="Q217" s="304">
        <f t="shared" ca="1" si="106"/>
        <v>2041.845389312977</v>
      </c>
      <c r="R217" s="306">
        <f t="shared" ca="1" si="107"/>
        <v>1.227913008360483</v>
      </c>
      <c r="S217" s="307">
        <f t="shared" ca="1" si="108"/>
        <v>17.614620880900283</v>
      </c>
      <c r="T217" s="304">
        <f t="shared" ca="1" si="88"/>
        <v>172.79943084163179</v>
      </c>
      <c r="U217" s="311">
        <f t="shared" ca="1" si="89"/>
        <v>0</v>
      </c>
      <c r="V217" s="306">
        <f t="shared" ca="1" si="90"/>
        <v>1.2034909317547624</v>
      </c>
      <c r="W217" s="304">
        <f t="shared" ca="1" si="91"/>
        <v>227.93779731316585</v>
      </c>
      <c r="Y217" s="314" t="str">
        <f t="shared" ca="1" si="109"/>
        <v/>
      </c>
      <c r="Z217" s="315" t="str">
        <f t="shared" ca="1" si="110"/>
        <v/>
      </c>
      <c r="AA217" s="316" t="str">
        <f t="shared" ca="1" si="111"/>
        <v/>
      </c>
      <c r="AC217" s="310" t="e">
        <f t="shared" ca="1" si="112"/>
        <v>#N/A</v>
      </c>
      <c r="AD217" s="323" t="e">
        <f t="shared" ca="1" si="113"/>
        <v>#N/A</v>
      </c>
      <c r="AE217" s="324">
        <f t="shared" ca="1" si="92"/>
        <v>177.139374613153</v>
      </c>
      <c r="AG217" s="306">
        <f t="shared" ca="1" si="114"/>
        <v>93.810236674510861</v>
      </c>
      <c r="AH217" s="304">
        <f t="shared" ca="1" si="115"/>
        <v>103.10756935481639</v>
      </c>
    </row>
    <row r="218" spans="1:34" x14ac:dyDescent="0.2">
      <c r="A218" s="347">
        <f t="shared" ca="1" si="93"/>
        <v>0.01</v>
      </c>
      <c r="B218" s="304">
        <f t="shared" ca="1" si="94"/>
        <v>2.1399999999999983</v>
      </c>
      <c r="D218" s="306">
        <f t="shared" ca="1" si="95"/>
        <v>32.922285892504711</v>
      </c>
      <c r="E218" s="307">
        <f t="shared" ca="1" si="96"/>
        <v>87.932801459942851</v>
      </c>
      <c r="F218" s="304">
        <f t="shared" ca="1" si="97"/>
        <v>93.893846874976546</v>
      </c>
      <c r="G218" s="306">
        <f t="shared" ca="1" si="98"/>
        <v>58.713100935825295</v>
      </c>
      <c r="H218" s="307">
        <f t="shared" ca="1" si="99"/>
        <v>174.21491661755152</v>
      </c>
      <c r="I218" s="304">
        <f t="shared" ca="1" si="100"/>
        <v>183.84250159732065</v>
      </c>
      <c r="J218" s="306">
        <f t="shared" ca="1" si="101"/>
        <v>56.973125901928711</v>
      </c>
      <c r="K218" s="307">
        <f t="shared" ca="1" si="102"/>
        <v>178.87712713925552</v>
      </c>
      <c r="L218" s="304">
        <f t="shared" ca="1" si="87"/>
        <v>187.73109409107062</v>
      </c>
      <c r="M218" s="306">
        <f t="shared" ca="1" si="103"/>
        <v>1.2457356267473989</v>
      </c>
      <c r="N218" s="304">
        <f t="shared" ca="1" si="104"/>
        <v>71.375393801710388</v>
      </c>
      <c r="P218" s="310">
        <f t="shared" ca="1" si="105"/>
        <v>8</v>
      </c>
      <c r="Q218" s="304">
        <f t="shared" ca="1" si="106"/>
        <v>2043.4144096692112</v>
      </c>
      <c r="R218" s="306">
        <f t="shared" ca="1" si="107"/>
        <v>1.2288565766227453</v>
      </c>
      <c r="S218" s="307">
        <f t="shared" ca="1" si="108"/>
        <v>17.602332315134056</v>
      </c>
      <c r="T218" s="304">
        <f t="shared" ca="1" si="88"/>
        <v>172.67888001146511</v>
      </c>
      <c r="U218" s="311">
        <f t="shared" ca="1" si="89"/>
        <v>0</v>
      </c>
      <c r="V218" s="306">
        <f t="shared" ca="1" si="90"/>
        <v>1.2032817964186047</v>
      </c>
      <c r="W218" s="304">
        <f t="shared" ca="1" si="91"/>
        <v>230.24272342115574</v>
      </c>
      <c r="Y218" s="314" t="str">
        <f t="shared" ca="1" si="109"/>
        <v/>
      </c>
      <c r="Z218" s="315" t="str">
        <f t="shared" ca="1" si="110"/>
        <v/>
      </c>
      <c r="AA218" s="316" t="str">
        <f t="shared" ca="1" si="111"/>
        <v/>
      </c>
      <c r="AC218" s="310" t="e">
        <f t="shared" ca="1" si="112"/>
        <v>#N/A</v>
      </c>
      <c r="AD218" s="323" t="e">
        <f t="shared" ca="1" si="113"/>
        <v>#N/A</v>
      </c>
      <c r="AE218" s="324">
        <f t="shared" ca="1" si="92"/>
        <v>178.87712713925552</v>
      </c>
      <c r="AG218" s="306">
        <f t="shared" ca="1" si="114"/>
        <v>93.841615582060385</v>
      </c>
      <c r="AH218" s="304">
        <f t="shared" ca="1" si="115"/>
        <v>103.13841256110946</v>
      </c>
    </row>
    <row r="219" spans="1:34" x14ac:dyDescent="0.2">
      <c r="A219" s="347">
        <f t="shared" ca="1" si="93"/>
        <v>0.01</v>
      </c>
      <c r="B219" s="304">
        <f t="shared" ca="1" si="94"/>
        <v>2.1499999999999981</v>
      </c>
      <c r="D219" s="306">
        <f t="shared" ca="1" si="95"/>
        <v>32.948601952041976</v>
      </c>
      <c r="E219" s="307">
        <f t="shared" ca="1" si="96"/>
        <v>87.955879339501848</v>
      </c>
      <c r="F219" s="304">
        <f t="shared" ca="1" si="97"/>
        <v>93.924688346457202</v>
      </c>
      <c r="G219" s="306">
        <f t="shared" ca="1" si="98"/>
        <v>59.042586955345712</v>
      </c>
      <c r="H219" s="307">
        <f t="shared" ca="1" si="99"/>
        <v>175.09447541094653</v>
      </c>
      <c r="I219" s="304">
        <f t="shared" ca="1" si="100"/>
        <v>184.78122846710951</v>
      </c>
      <c r="J219" s="306">
        <f t="shared" ca="1" si="101"/>
        <v>57.561904341384569</v>
      </c>
      <c r="K219" s="307">
        <f t="shared" ca="1" si="102"/>
        <v>180.62367409939802</v>
      </c>
      <c r="L219" s="304">
        <f t="shared" ca="1" si="87"/>
        <v>189.5739551641318</v>
      </c>
      <c r="M219" s="306">
        <f t="shared" ca="1" si="103"/>
        <v>1.245566075785991</v>
      </c>
      <c r="N219" s="304">
        <f t="shared" ca="1" si="104"/>
        <v>71.365679247209329</v>
      </c>
      <c r="P219" s="310">
        <f t="shared" ca="1" si="105"/>
        <v>8</v>
      </c>
      <c r="Q219" s="304">
        <f t="shared" ca="1" si="106"/>
        <v>2044.9834300254452</v>
      </c>
      <c r="R219" s="306">
        <f t="shared" ca="1" si="107"/>
        <v>1.2298001448850076</v>
      </c>
      <c r="S219" s="307">
        <f t="shared" ca="1" si="108"/>
        <v>17.590034313685205</v>
      </c>
      <c r="T219" s="304">
        <f t="shared" ca="1" si="88"/>
        <v>172.55823661725188</v>
      </c>
      <c r="U219" s="311">
        <f t="shared" ca="1" si="89"/>
        <v>0</v>
      </c>
      <c r="V219" s="306">
        <f t="shared" ca="1" si="90"/>
        <v>1.2030716389795482</v>
      </c>
      <c r="W219" s="304">
        <f t="shared" ca="1" si="91"/>
        <v>232.55940852032688</v>
      </c>
      <c r="Y219" s="314" t="str">
        <f t="shared" ca="1" si="109"/>
        <v/>
      </c>
      <c r="Z219" s="315" t="str">
        <f t="shared" ca="1" si="110"/>
        <v/>
      </c>
      <c r="AA219" s="316" t="str">
        <f t="shared" ca="1" si="111"/>
        <v/>
      </c>
      <c r="AC219" s="310" t="e">
        <f t="shared" ca="1" si="112"/>
        <v>#N/A</v>
      </c>
      <c r="AD219" s="323" t="e">
        <f t="shared" ca="1" si="113"/>
        <v>#N/A</v>
      </c>
      <c r="AE219" s="324">
        <f t="shared" ca="1" si="92"/>
        <v>180.62367409939802</v>
      </c>
      <c r="AG219" s="306">
        <f t="shared" ca="1" si="114"/>
        <v>93.87242137870706</v>
      </c>
      <c r="AH219" s="304">
        <f t="shared" ca="1" si="115"/>
        <v>103.16868484971657</v>
      </c>
    </row>
    <row r="220" spans="1:34" x14ac:dyDescent="0.2">
      <c r="A220" s="347">
        <f t="shared" ca="1" si="93"/>
        <v>0.01</v>
      </c>
      <c r="B220" s="304">
        <f t="shared" ca="1" si="94"/>
        <v>2.1599999999999979</v>
      </c>
      <c r="D220" s="306">
        <f t="shared" ca="1" si="95"/>
        <v>32.974668071403435</v>
      </c>
      <c r="E220" s="307">
        <f t="shared" ca="1" si="96"/>
        <v>87.97843552670119</v>
      </c>
      <c r="F220" s="304">
        <f t="shared" ca="1" si="97"/>
        <v>93.954956506536433</v>
      </c>
      <c r="G220" s="306">
        <f t="shared" ca="1" si="98"/>
        <v>59.372333636059743</v>
      </c>
      <c r="H220" s="307">
        <f t="shared" ca="1" si="99"/>
        <v>175.97425976621355</v>
      </c>
      <c r="I220" s="304">
        <f t="shared" ca="1" si="100"/>
        <v>185.72025765020464</v>
      </c>
      <c r="J220" s="306">
        <f t="shared" ca="1" si="101"/>
        <v>58.153978944341596</v>
      </c>
      <c r="K220" s="307">
        <f t="shared" ca="1" si="102"/>
        <v>182.37901777528381</v>
      </c>
      <c r="L220" s="304">
        <f t="shared" ca="1" si="87"/>
        <v>191.42620351387689</v>
      </c>
      <c r="M220" s="306">
        <f t="shared" ca="1" si="103"/>
        <v>1.2453972972327749</v>
      </c>
      <c r="N220" s="304">
        <f t="shared" ca="1" si="104"/>
        <v>71.356008948437719</v>
      </c>
      <c r="P220" s="310">
        <f t="shared" ca="1" si="105"/>
        <v>8</v>
      </c>
      <c r="Q220" s="304">
        <f t="shared" ca="1" si="106"/>
        <v>2046.5524503816791</v>
      </c>
      <c r="R220" s="306">
        <f t="shared" ca="1" si="107"/>
        <v>1.2307437131472698</v>
      </c>
      <c r="S220" s="307">
        <f t="shared" ca="1" si="108"/>
        <v>17.577726876553733</v>
      </c>
      <c r="T220" s="304">
        <f t="shared" ca="1" si="88"/>
        <v>172.43750065899212</v>
      </c>
      <c r="U220" s="311">
        <f t="shared" ca="1" si="89"/>
        <v>0</v>
      </c>
      <c r="V220" s="306">
        <f t="shared" ca="1" si="90"/>
        <v>1.202860459703194</v>
      </c>
      <c r="W220" s="304">
        <f t="shared" ca="1" si="91"/>
        <v>234.88783727439747</v>
      </c>
      <c r="Y220" s="314" t="str">
        <f t="shared" ca="1" si="109"/>
        <v/>
      </c>
      <c r="Z220" s="315" t="str">
        <f t="shared" ca="1" si="110"/>
        <v/>
      </c>
      <c r="AA220" s="316" t="str">
        <f t="shared" ca="1" si="111"/>
        <v/>
      </c>
      <c r="AC220" s="310" t="e">
        <f t="shared" ca="1" si="112"/>
        <v>#N/A</v>
      </c>
      <c r="AD220" s="323" t="e">
        <f t="shared" ca="1" si="113"/>
        <v>#N/A</v>
      </c>
      <c r="AE220" s="324">
        <f t="shared" ca="1" si="92"/>
        <v>182.37901777528381</v>
      </c>
      <c r="AG220" s="306">
        <f t="shared" ca="1" si="114"/>
        <v>93.902653786293726</v>
      </c>
      <c r="AH220" s="304">
        <f t="shared" ca="1" si="115"/>
        <v>103.1983859233226</v>
      </c>
    </row>
    <row r="221" spans="1:34" x14ac:dyDescent="0.2">
      <c r="A221" s="347">
        <f t="shared" ca="1" si="93"/>
        <v>0.01</v>
      </c>
      <c r="B221" s="304">
        <f t="shared" ca="1" si="94"/>
        <v>2.1699999999999977</v>
      </c>
      <c r="D221" s="306">
        <f t="shared" ca="1" si="95"/>
        <v>33.000484537133836</v>
      </c>
      <c r="E221" s="307">
        <f t="shared" ca="1" si="96"/>
        <v>88.000469670026305</v>
      </c>
      <c r="F221" s="304">
        <f t="shared" ca="1" si="97"/>
        <v>93.984651097031957</v>
      </c>
      <c r="G221" s="306">
        <f t="shared" ca="1" si="98"/>
        <v>59.702338481431084</v>
      </c>
      <c r="H221" s="307">
        <f t="shared" ca="1" si="99"/>
        <v>176.85426446291382</v>
      </c>
      <c r="I221" s="304">
        <f t="shared" ca="1" si="100"/>
        <v>186.65958341020058</v>
      </c>
      <c r="J221" s="306">
        <f t="shared" ca="1" si="101"/>
        <v>58.749352304929047</v>
      </c>
      <c r="K221" s="307">
        <f t="shared" ca="1" si="102"/>
        <v>184.14316039642944</v>
      </c>
      <c r="L221" s="304">
        <f t="shared" ca="1" si="87"/>
        <v>193.28784213455799</v>
      </c>
      <c r="M221" s="306">
        <f t="shared" ca="1" si="103"/>
        <v>1.2452292839726433</v>
      </c>
      <c r="N221" s="304">
        <f t="shared" ca="1" si="104"/>
        <v>71.346382497729948</v>
      </c>
      <c r="P221" s="310">
        <f t="shared" ca="1" si="105"/>
        <v>8</v>
      </c>
      <c r="Q221" s="304">
        <f t="shared" ca="1" si="106"/>
        <v>2048.1214707379131</v>
      </c>
      <c r="R221" s="306">
        <f t="shared" ca="1" si="107"/>
        <v>1.2316872814095319</v>
      </c>
      <c r="S221" s="307">
        <f t="shared" ca="1" si="108"/>
        <v>17.565410003739636</v>
      </c>
      <c r="T221" s="304">
        <f t="shared" ca="1" si="88"/>
        <v>172.31667213668584</v>
      </c>
      <c r="U221" s="311">
        <f t="shared" ca="1" si="89"/>
        <v>0</v>
      </c>
      <c r="V221" s="306">
        <f t="shared" ca="1" si="90"/>
        <v>1.2026482588640939</v>
      </c>
      <c r="W221" s="304">
        <f t="shared" ca="1" si="91"/>
        <v>237.22799399162241</v>
      </c>
      <c r="Y221" s="314" t="str">
        <f t="shared" ca="1" si="109"/>
        <v/>
      </c>
      <c r="Z221" s="315" t="str">
        <f t="shared" ca="1" si="110"/>
        <v/>
      </c>
      <c r="AA221" s="316" t="str">
        <f t="shared" ca="1" si="111"/>
        <v/>
      </c>
      <c r="AC221" s="310" t="e">
        <f t="shared" ca="1" si="112"/>
        <v>#N/A</v>
      </c>
      <c r="AD221" s="323" t="e">
        <f t="shared" ca="1" si="113"/>
        <v>#N/A</v>
      </c>
      <c r="AE221" s="324">
        <f t="shared" ca="1" si="92"/>
        <v>184.14316039642944</v>
      </c>
      <c r="AG221" s="306">
        <f t="shared" ca="1" si="114"/>
        <v>93.932312544006024</v>
      </c>
      <c r="AH221" s="304">
        <f t="shared" ca="1" si="115"/>
        <v>103.22751550219905</v>
      </c>
    </row>
    <row r="222" spans="1:34" x14ac:dyDescent="0.2">
      <c r="A222" s="347">
        <f t="shared" ca="1" si="93"/>
        <v>0.01</v>
      </c>
      <c r="B222" s="304">
        <f t="shared" ca="1" si="94"/>
        <v>2.1799999999999975</v>
      </c>
      <c r="D222" s="306">
        <f t="shared" ca="1" si="95"/>
        <v>33.026051634969846</v>
      </c>
      <c r="E222" s="307">
        <f t="shared" ca="1" si="96"/>
        <v>88.021981436262138</v>
      </c>
      <c r="F222" s="304">
        <f t="shared" ca="1" si="97"/>
        <v>94.013771877110486</v>
      </c>
      <c r="G222" s="306">
        <f t="shared" ca="1" si="98"/>
        <v>60.032598997780781</v>
      </c>
      <c r="H222" s="307">
        <f t="shared" ca="1" si="99"/>
        <v>177.73448427727644</v>
      </c>
      <c r="I222" s="304">
        <f t="shared" ca="1" si="100"/>
        <v>187.59920000825639</v>
      </c>
      <c r="J222" s="306">
        <f t="shared" ca="1" si="101"/>
        <v>59.34802699232511</v>
      </c>
      <c r="K222" s="307">
        <f t="shared" ca="1" si="102"/>
        <v>185.91610414013039</v>
      </c>
      <c r="L222" s="304">
        <f t="shared" ca="1" si="87"/>
        <v>195.15887396304979</v>
      </c>
      <c r="M222" s="306">
        <f t="shared" ca="1" si="103"/>
        <v>1.2450620289850329</v>
      </c>
      <c r="N222" s="304">
        <f t="shared" ca="1" si="104"/>
        <v>71.336799492837358</v>
      </c>
      <c r="P222" s="310">
        <f t="shared" ca="1" si="105"/>
        <v>8</v>
      </c>
      <c r="Q222" s="304">
        <f t="shared" ca="1" si="106"/>
        <v>2049.6904910941475</v>
      </c>
      <c r="R222" s="306">
        <f t="shared" ca="1" si="107"/>
        <v>1.2326308496717944</v>
      </c>
      <c r="S222" s="307">
        <f t="shared" ca="1" si="108"/>
        <v>17.553083695242918</v>
      </c>
      <c r="T222" s="304">
        <f t="shared" ca="1" si="88"/>
        <v>172.19575105033303</v>
      </c>
      <c r="U222" s="311">
        <f t="shared" ca="1" si="89"/>
        <v>0</v>
      </c>
      <c r="V222" s="306">
        <f t="shared" ca="1" si="90"/>
        <v>1.2024350367457488</v>
      </c>
      <c r="W222" s="304">
        <f t="shared" ca="1" si="91"/>
        <v>239.57986262523877</v>
      </c>
      <c r="Y222" s="314" t="str">
        <f t="shared" ca="1" si="109"/>
        <v/>
      </c>
      <c r="Z222" s="315" t="str">
        <f t="shared" ca="1" si="110"/>
        <v/>
      </c>
      <c r="AA222" s="316" t="str">
        <f t="shared" ca="1" si="111"/>
        <v/>
      </c>
      <c r="AC222" s="310" t="e">
        <f t="shared" ca="1" si="112"/>
        <v>#N/A</v>
      </c>
      <c r="AD222" s="323" t="e">
        <f t="shared" ca="1" si="113"/>
        <v>#N/A</v>
      </c>
      <c r="AE222" s="324">
        <f t="shared" ca="1" si="92"/>
        <v>185.91610414013039</v>
      </c>
      <c r="AG222" s="306">
        <f t="shared" ca="1" si="114"/>
        <v>93.961397408412537</v>
      </c>
      <c r="AH222" s="304">
        <f t="shared" ca="1" si="115"/>
        <v>103.25607332424003</v>
      </c>
    </row>
    <row r="223" spans="1:34" x14ac:dyDescent="0.2">
      <c r="A223" s="347">
        <f t="shared" ca="1" si="93"/>
        <v>0.01</v>
      </c>
      <c r="B223" s="304">
        <f t="shared" ca="1" si="94"/>
        <v>2.1899999999999973</v>
      </c>
      <c r="D223" s="306">
        <f t="shared" ca="1" si="95"/>
        <v>33.051369649986874</v>
      </c>
      <c r="E223" s="307">
        <f t="shared" ca="1" si="96"/>
        <v>88.042970510492154</v>
      </c>
      <c r="F223" s="304">
        <f t="shared" ca="1" si="97"/>
        <v>94.042318623327574</v>
      </c>
      <c r="G223" s="306">
        <f t="shared" ca="1" si="98"/>
        <v>60.363112694280652</v>
      </c>
      <c r="H223" s="307">
        <f t="shared" ca="1" si="99"/>
        <v>178.61491398238135</v>
      </c>
      <c r="I223" s="304">
        <f t="shared" ca="1" si="100"/>
        <v>188.53910170326981</v>
      </c>
      <c r="J223" s="306">
        <f t="shared" ca="1" si="101"/>
        <v>59.95000555078542</v>
      </c>
      <c r="K223" s="307">
        <f t="shared" ca="1" si="102"/>
        <v>187.69785113142868</v>
      </c>
      <c r="L223" s="304">
        <f t="shared" ca="1" si="87"/>
        <v>197.03930187882611</v>
      </c>
      <c r="M223" s="306">
        <f t="shared" ca="1" si="103"/>
        <v>1.2448955253422429</v>
      </c>
      <c r="N223" s="304">
        <f t="shared" ca="1" si="104"/>
        <v>71.327259536831932</v>
      </c>
      <c r="P223" s="310">
        <f t="shared" ca="1" si="105"/>
        <v>8</v>
      </c>
      <c r="Q223" s="304">
        <f t="shared" ca="1" si="106"/>
        <v>2051.2595114503815</v>
      </c>
      <c r="R223" s="306">
        <f t="shared" ca="1" si="107"/>
        <v>1.2335744179340566</v>
      </c>
      <c r="S223" s="307">
        <f t="shared" ca="1" si="108"/>
        <v>17.54074795106358</v>
      </c>
      <c r="T223" s="304">
        <f t="shared" ca="1" si="88"/>
        <v>172.07473739993372</v>
      </c>
      <c r="U223" s="311">
        <f t="shared" ca="1" si="89"/>
        <v>0</v>
      </c>
      <c r="V223" s="306">
        <f t="shared" ca="1" si="90"/>
        <v>1.2022207936406066</v>
      </c>
      <c r="W223" s="304">
        <f t="shared" ca="1" si="91"/>
        <v>241.94342677393487</v>
      </c>
      <c r="Y223" s="314" t="str">
        <f t="shared" ca="1" si="109"/>
        <v/>
      </c>
      <c r="Z223" s="315" t="str">
        <f t="shared" ca="1" si="110"/>
        <v/>
      </c>
      <c r="AA223" s="316" t="str">
        <f t="shared" ca="1" si="111"/>
        <v/>
      </c>
      <c r="AC223" s="310" t="e">
        <f t="shared" ca="1" si="112"/>
        <v>#N/A</v>
      </c>
      <c r="AD223" s="323" t="e">
        <f t="shared" ca="1" si="113"/>
        <v>#N/A</v>
      </c>
      <c r="AE223" s="324">
        <f t="shared" ca="1" si="92"/>
        <v>187.69785113142868</v>
      </c>
      <c r="AG223" s="306">
        <f t="shared" ca="1" si="114"/>
        <v>93.989908153504118</v>
      </c>
      <c r="AH223" s="304">
        <f t="shared" ca="1" si="115"/>
        <v>103.2840591449974</v>
      </c>
    </row>
    <row r="224" spans="1:34" x14ac:dyDescent="0.2">
      <c r="A224" s="347">
        <f t="shared" ca="1" si="93"/>
        <v>0.01</v>
      </c>
      <c r="B224" s="304">
        <f t="shared" ca="1" si="94"/>
        <v>2.1999999999999971</v>
      </c>
      <c r="D224" s="306">
        <f t="shared" ca="1" si="95"/>
        <v>33.07643886674267</v>
      </c>
      <c r="E224" s="307">
        <f t="shared" ca="1" si="96"/>
        <v>88.063436596097034</v>
      </c>
      <c r="F224" s="304">
        <f t="shared" ca="1" si="97"/>
        <v>94.070291129666273</v>
      </c>
      <c r="G224" s="306">
        <f t="shared" ca="1" si="98"/>
        <v>60.693877082948077</v>
      </c>
      <c r="H224" s="307">
        <f t="shared" ca="1" si="99"/>
        <v>179.49554834834231</v>
      </c>
      <c r="I224" s="304">
        <f t="shared" ca="1" si="100"/>
        <v>189.47928275205209</v>
      </c>
      <c r="J224" s="306">
        <f t="shared" ca="1" si="101"/>
        <v>60.555290499671564</v>
      </c>
      <c r="K224" s="307">
        <f t="shared" ca="1" si="102"/>
        <v>189.48840344308229</v>
      </c>
      <c r="L224" s="304">
        <f t="shared" ca="1" si="87"/>
        <v>198.92912870393801</v>
      </c>
      <c r="M224" s="306">
        <f t="shared" ca="1" si="103"/>
        <v>1.2447297662077912</v>
      </c>
      <c r="N224" s="304">
        <f t="shared" ca="1" si="104"/>
        <v>71.317762238012108</v>
      </c>
      <c r="P224" s="310">
        <f t="shared" ca="1" si="105"/>
        <v>8</v>
      </c>
      <c r="Q224" s="304">
        <f t="shared" ca="1" si="106"/>
        <v>2052.8285318066155</v>
      </c>
      <c r="R224" s="306">
        <f t="shared" ca="1" si="107"/>
        <v>1.2345179861963187</v>
      </c>
      <c r="S224" s="307">
        <f t="shared" ca="1" si="108"/>
        <v>17.528402771201616</v>
      </c>
      <c r="T224" s="304">
        <f t="shared" ca="1" si="88"/>
        <v>171.95363118548786</v>
      </c>
      <c r="U224" s="311">
        <f t="shared" ca="1" si="89"/>
        <v>0</v>
      </c>
      <c r="V224" s="306">
        <f t="shared" ca="1" si="90"/>
        <v>1.2020055298500592</v>
      </c>
      <c r="W224" s="304">
        <f t="shared" ca="1" si="91"/>
        <v>244.31866968234402</v>
      </c>
      <c r="Y224" s="314" t="str">
        <f t="shared" ca="1" si="109"/>
        <v/>
      </c>
      <c r="Z224" s="315" t="str">
        <f t="shared" ca="1" si="110"/>
        <v/>
      </c>
      <c r="AA224" s="316" t="str">
        <f t="shared" ca="1" si="111"/>
        <v/>
      </c>
      <c r="AC224" s="310" t="e">
        <f t="shared" ca="1" si="112"/>
        <v>#N/A</v>
      </c>
      <c r="AD224" s="323" t="e">
        <f t="shared" ca="1" si="113"/>
        <v>#N/A</v>
      </c>
      <c r="AE224" s="324">
        <f t="shared" ca="1" si="92"/>
        <v>189.48840344308229</v>
      </c>
      <c r="AG224" s="306">
        <f t="shared" ca="1" si="114"/>
        <v>94.017844570731924</v>
      </c>
      <c r="AH224" s="304">
        <f t="shared" ca="1" si="115"/>
        <v>103.31147273771482</v>
      </c>
    </row>
    <row r="225" spans="1:34" x14ac:dyDescent="0.2">
      <c r="A225" s="347">
        <f t="shared" ca="1" si="93"/>
        <v>0.01</v>
      </c>
      <c r="B225" s="304">
        <f t="shared" ca="1" si="94"/>
        <v>2.2099999999999969</v>
      </c>
      <c r="D225" s="306">
        <f t="shared" ca="1" si="95"/>
        <v>33.101259569417522</v>
      </c>
      <c r="E225" s="307">
        <f t="shared" ca="1" si="96"/>
        <v>88.083379414752869</v>
      </c>
      <c r="F225" s="304">
        <f t="shared" ca="1" si="97"/>
        <v>94.097689207574405</v>
      </c>
      <c r="G225" s="306">
        <f t="shared" ca="1" si="98"/>
        <v>61.024889678642253</v>
      </c>
      <c r="H225" s="307">
        <f t="shared" ca="1" si="99"/>
        <v>180.37638214248983</v>
      </c>
      <c r="I225" s="304">
        <f t="shared" ca="1" si="100"/>
        <v>190.41973740950274</v>
      </c>
      <c r="J225" s="306">
        <f t="shared" ca="1" si="101"/>
        <v>61.163884333479515</v>
      </c>
      <c r="K225" s="307">
        <f t="shared" ca="1" si="102"/>
        <v>191.28776309553646</v>
      </c>
      <c r="L225" s="304">
        <f t="shared" ca="1" si="87"/>
        <v>200.82835720299397</v>
      </c>
      <c r="M225" s="306">
        <f t="shared" ca="1" si="103"/>
        <v>1.2445647448348085</v>
      </c>
      <c r="N225" s="304">
        <f t="shared" ca="1" si="104"/>
        <v>71.308307209810749</v>
      </c>
      <c r="P225" s="310">
        <f t="shared" ca="1" si="105"/>
        <v>8</v>
      </c>
      <c r="Q225" s="304">
        <f t="shared" ca="1" si="106"/>
        <v>2054.3975521628495</v>
      </c>
      <c r="R225" s="306">
        <f t="shared" ca="1" si="107"/>
        <v>1.235461554458581</v>
      </c>
      <c r="S225" s="307">
        <f t="shared" ca="1" si="108"/>
        <v>17.516048155657032</v>
      </c>
      <c r="T225" s="304">
        <f t="shared" ca="1" si="88"/>
        <v>171.83243240699548</v>
      </c>
      <c r="U225" s="311">
        <f t="shared" ca="1" si="89"/>
        <v>0</v>
      </c>
      <c r="V225" s="306">
        <f t="shared" ca="1" si="90"/>
        <v>1.2017892456844361</v>
      </c>
      <c r="W225" s="304">
        <f t="shared" ca="1" si="91"/>
        <v>246.70557424156007</v>
      </c>
      <c r="Y225" s="314" t="str">
        <f t="shared" ca="1" si="109"/>
        <v/>
      </c>
      <c r="Z225" s="315" t="str">
        <f t="shared" ca="1" si="110"/>
        <v/>
      </c>
      <c r="AA225" s="316" t="str">
        <f t="shared" ca="1" si="111"/>
        <v/>
      </c>
      <c r="AC225" s="310" t="e">
        <f t="shared" ca="1" si="112"/>
        <v>#N/A</v>
      </c>
      <c r="AD225" s="323" t="e">
        <f t="shared" ca="1" si="113"/>
        <v>#N/A</v>
      </c>
      <c r="AE225" s="324">
        <f t="shared" ca="1" si="92"/>
        <v>191.28776309553646</v>
      </c>
      <c r="AG225" s="306">
        <f t="shared" ca="1" si="114"/>
        <v>94.04520646904416</v>
      </c>
      <c r="AH225" s="304">
        <f t="shared" ca="1" si="115"/>
        <v>103.33831389336055</v>
      </c>
    </row>
    <row r="226" spans="1:34" x14ac:dyDescent="0.2">
      <c r="A226" s="347">
        <f t="shared" ca="1" si="93"/>
        <v>0.01</v>
      </c>
      <c r="B226" s="304">
        <f t="shared" ca="1" si="94"/>
        <v>2.2199999999999966</v>
      </c>
      <c r="D226" s="306">
        <f t="shared" ca="1" si="95"/>
        <v>33.125832041951355</v>
      </c>
      <c r="E226" s="307">
        <f t="shared" ca="1" si="96"/>
        <v>88.102798706429255</v>
      </c>
      <c r="F226" s="304">
        <f t="shared" ca="1" si="97"/>
        <v>94.124512686000998</v>
      </c>
      <c r="G226" s="306">
        <f t="shared" ca="1" si="98"/>
        <v>61.356147999061768</v>
      </c>
      <c r="H226" s="307">
        <f t="shared" ca="1" si="99"/>
        <v>181.25741012955413</v>
      </c>
      <c r="I226" s="304">
        <f t="shared" ca="1" si="100"/>
        <v>191.36045992878508</v>
      </c>
      <c r="J226" s="306">
        <f t="shared" ca="1" si="101"/>
        <v>61.775789521868035</v>
      </c>
      <c r="K226" s="307">
        <f t="shared" ca="1" si="102"/>
        <v>193.09593205689669</v>
      </c>
      <c r="L226" s="304">
        <f t="shared" ca="1" si="87"/>
        <v>202.73699008314148</v>
      </c>
      <c r="M226" s="306">
        <f t="shared" ca="1" si="103"/>
        <v>1.2444004545644656</v>
      </c>
      <c r="N226" s="304">
        <f t="shared" ca="1" si="104"/>
        <v>71.298894070705032</v>
      </c>
      <c r="P226" s="310">
        <f t="shared" ca="1" si="105"/>
        <v>8</v>
      </c>
      <c r="Q226" s="304">
        <f t="shared" ca="1" si="106"/>
        <v>2055.9665725190835</v>
      </c>
      <c r="R226" s="306">
        <f t="shared" ca="1" si="107"/>
        <v>1.2364051227208432</v>
      </c>
      <c r="S226" s="307">
        <f t="shared" ca="1" si="108"/>
        <v>17.503684104429823</v>
      </c>
      <c r="T226" s="304">
        <f t="shared" ca="1" si="88"/>
        <v>171.71114106445657</v>
      </c>
      <c r="U226" s="311">
        <f t="shared" ca="1" si="89"/>
        <v>0</v>
      </c>
      <c r="V226" s="306">
        <f t="shared" ca="1" si="90"/>
        <v>1.2015719414630042</v>
      </c>
      <c r="W226" s="304">
        <f t="shared" ca="1" si="91"/>
        <v>249.10412298967833</v>
      </c>
      <c r="Y226" s="314" t="str">
        <f t="shared" ca="1" si="109"/>
        <v/>
      </c>
      <c r="Z226" s="315" t="str">
        <f t="shared" ca="1" si="110"/>
        <v/>
      </c>
      <c r="AA226" s="316" t="str">
        <f t="shared" ca="1" si="111"/>
        <v/>
      </c>
      <c r="AC226" s="310" t="e">
        <f t="shared" ca="1" si="112"/>
        <v>#N/A</v>
      </c>
      <c r="AD226" s="323" t="e">
        <f t="shared" ca="1" si="113"/>
        <v>#N/A</v>
      </c>
      <c r="AE226" s="324">
        <f t="shared" ca="1" si="92"/>
        <v>193.09593205689669</v>
      </c>
      <c r="AG226" s="306">
        <f t="shared" ca="1" si="114"/>
        <v>94.071993674922027</v>
      </c>
      <c r="AH226" s="304">
        <f t="shared" ca="1" si="115"/>
        <v>103.36458242065947</v>
      </c>
    </row>
    <row r="227" spans="1:34" x14ac:dyDescent="0.2">
      <c r="A227" s="347">
        <f t="shared" ca="1" si="93"/>
        <v>0.01</v>
      </c>
      <c r="B227" s="304">
        <f t="shared" ca="1" si="94"/>
        <v>2.2299999999999964</v>
      </c>
      <c r="D227" s="306">
        <f t="shared" ca="1" si="95"/>
        <v>33.150156568177742</v>
      </c>
      <c r="E227" s="307">
        <f t="shared" ca="1" si="96"/>
        <v>88.121694229386932</v>
      </c>
      <c r="F227" s="304">
        <f t="shared" ca="1" si="97"/>
        <v>94.150761411431318</v>
      </c>
      <c r="G227" s="306">
        <f t="shared" ca="1" si="98"/>
        <v>61.687649564743545</v>
      </c>
      <c r="H227" s="307">
        <f t="shared" ca="1" si="99"/>
        <v>182.13862707184799</v>
      </c>
      <c r="I227" s="304">
        <f t="shared" ca="1" si="100"/>
        <v>192.30144456150174</v>
      </c>
      <c r="J227" s="306">
        <f t="shared" ca="1" si="101"/>
        <v>62.391008509687062</v>
      </c>
      <c r="K227" s="307">
        <f t="shared" ca="1" si="102"/>
        <v>194.9129122429037</v>
      </c>
      <c r="L227" s="304">
        <f t="shared" ca="1" si="87"/>
        <v>204.65502999405052</v>
      </c>
      <c r="M227" s="306">
        <f t="shared" ca="1" si="103"/>
        <v>1.2442368888244366</v>
      </c>
      <c r="N227" s="304">
        <f t="shared" ca="1" si="104"/>
        <v>71.289522444128437</v>
      </c>
      <c r="P227" s="310">
        <f t="shared" ca="1" si="105"/>
        <v>8</v>
      </c>
      <c r="Q227" s="304">
        <f t="shared" ca="1" si="106"/>
        <v>2057.5355928753179</v>
      </c>
      <c r="R227" s="306">
        <f t="shared" ca="1" si="107"/>
        <v>1.2373486909831055</v>
      </c>
      <c r="S227" s="307">
        <f t="shared" ca="1" si="108"/>
        <v>17.491310617519993</v>
      </c>
      <c r="T227" s="304">
        <f t="shared" ca="1" si="88"/>
        <v>171.58975715787113</v>
      </c>
      <c r="U227" s="311">
        <f t="shared" ca="1" si="89"/>
        <v>0</v>
      </c>
      <c r="V227" s="306">
        <f t="shared" ca="1" si="90"/>
        <v>1.2013536175139625</v>
      </c>
      <c r="W227" s="304">
        <f t="shared" ca="1" si="91"/>
        <v>251.51429811235957</v>
      </c>
      <c r="Y227" s="314" t="str">
        <f t="shared" ca="1" si="109"/>
        <v/>
      </c>
      <c r="Z227" s="315" t="str">
        <f t="shared" ca="1" si="110"/>
        <v/>
      </c>
      <c r="AA227" s="316" t="str">
        <f t="shared" ca="1" si="111"/>
        <v/>
      </c>
      <c r="AC227" s="310" t="e">
        <f t="shared" ca="1" si="112"/>
        <v>#N/A</v>
      </c>
      <c r="AD227" s="323" t="e">
        <f t="shared" ca="1" si="113"/>
        <v>#N/A</v>
      </c>
      <c r="AE227" s="324">
        <f t="shared" ca="1" si="92"/>
        <v>194.9129122429037</v>
      </c>
      <c r="AG227" s="306">
        <f t="shared" ca="1" si="114"/>
        <v>94.098206032414055</v>
      </c>
      <c r="AH227" s="304">
        <f t="shared" ca="1" si="115"/>
        <v>103.39027814612375</v>
      </c>
    </row>
    <row r="228" spans="1:34" x14ac:dyDescent="0.2">
      <c r="A228" s="347">
        <f t="shared" ca="1" si="93"/>
        <v>0.01</v>
      </c>
      <c r="B228" s="304">
        <f t="shared" ca="1" si="94"/>
        <v>2.2399999999999962</v>
      </c>
      <c r="D228" s="306">
        <f t="shared" ca="1" si="95"/>
        <v>33.17423343195486</v>
      </c>
      <c r="E228" s="307">
        <f t="shared" ca="1" si="96"/>
        <v>88.140065760174963</v>
      </c>
      <c r="F228" s="304">
        <f t="shared" ca="1" si="97"/>
        <v>94.176435247920679</v>
      </c>
      <c r="G228" s="306">
        <f t="shared" ca="1" si="98"/>
        <v>62.019391899063095</v>
      </c>
      <c r="H228" s="307">
        <f t="shared" ca="1" si="99"/>
        <v>183.02002772944974</v>
      </c>
      <c r="I228" s="304">
        <f t="shared" ca="1" si="100"/>
        <v>193.24268555787077</v>
      </c>
      <c r="J228" s="306">
        <f t="shared" ca="1" si="101"/>
        <v>63.009543717006096</v>
      </c>
      <c r="K228" s="307">
        <f t="shared" ca="1" si="102"/>
        <v>196.73870551691019</v>
      </c>
      <c r="L228" s="304">
        <f t="shared" ca="1" si="87"/>
        <v>206.58247952789901</v>
      </c>
      <c r="M228" s="306">
        <f t="shared" ca="1" si="103"/>
        <v>1.2440740411273969</v>
      </c>
      <c r="N228" s="304">
        <f t="shared" ca="1" si="104"/>
        <v>71.280191958384648</v>
      </c>
      <c r="P228" s="310">
        <f t="shared" ca="1" si="105"/>
        <v>8</v>
      </c>
      <c r="Q228" s="304">
        <f t="shared" ca="1" si="106"/>
        <v>2059.1046132315519</v>
      </c>
      <c r="R228" s="306">
        <f t="shared" ca="1" si="107"/>
        <v>1.2382922592453678</v>
      </c>
      <c r="S228" s="307">
        <f t="shared" ca="1" si="108"/>
        <v>17.478927694927538</v>
      </c>
      <c r="T228" s="304">
        <f t="shared" ca="1" si="88"/>
        <v>171.46828068723917</v>
      </c>
      <c r="U228" s="311">
        <f t="shared" ca="1" si="89"/>
        <v>0</v>
      </c>
      <c r="V228" s="306">
        <f t="shared" ca="1" si="90"/>
        <v>1.2011342741744357</v>
      </c>
      <c r="W228" s="304">
        <f t="shared" ca="1" si="91"/>
        <v>253.93608144341718</v>
      </c>
      <c r="Y228" s="314" t="str">
        <f t="shared" ca="1" si="109"/>
        <v/>
      </c>
      <c r="Z228" s="315" t="str">
        <f t="shared" ca="1" si="110"/>
        <v/>
      </c>
      <c r="AA228" s="316" t="str">
        <f t="shared" ca="1" si="111"/>
        <v/>
      </c>
      <c r="AC228" s="310" t="e">
        <f t="shared" ca="1" si="112"/>
        <v>#N/A</v>
      </c>
      <c r="AD228" s="323" t="e">
        <f t="shared" ca="1" si="113"/>
        <v>#N/A</v>
      </c>
      <c r="AE228" s="324">
        <f t="shared" ca="1" si="92"/>
        <v>196.73870551691019</v>
      </c>
      <c r="AG228" s="306">
        <f t="shared" ca="1" si="114"/>
        <v>94.12384340316963</v>
      </c>
      <c r="AH228" s="304">
        <f t="shared" ca="1" si="115"/>
        <v>103.41540091408257</v>
      </c>
    </row>
    <row r="229" spans="1:34" x14ac:dyDescent="0.2">
      <c r="A229" s="347">
        <f t="shared" ca="1" si="93"/>
        <v>0.01</v>
      </c>
      <c r="B229" s="304">
        <f t="shared" ca="1" si="94"/>
        <v>2.249999999999996</v>
      </c>
      <c r="D229" s="306">
        <f t="shared" ca="1" si="95"/>
        <v>33.198062917293399</v>
      </c>
      <c r="E229" s="307">
        <f t="shared" ca="1" si="96"/>
        <v>88.157913093627755</v>
      </c>
      <c r="F229" s="304">
        <f t="shared" ca="1" si="97"/>
        <v>94.201534077127405</v>
      </c>
      <c r="G229" s="306">
        <f t="shared" ca="1" si="98"/>
        <v>62.351372528236027</v>
      </c>
      <c r="H229" s="307">
        <f t="shared" ca="1" si="99"/>
        <v>183.90160686038601</v>
      </c>
      <c r="I229" s="304">
        <f t="shared" ca="1" si="100"/>
        <v>194.18417716690215</v>
      </c>
      <c r="J229" s="306">
        <f t="shared" ca="1" si="101"/>
        <v>63.63139753914259</v>
      </c>
      <c r="K229" s="307">
        <f t="shared" ca="1" si="102"/>
        <v>198.57331368985936</v>
      </c>
      <c r="L229" s="304">
        <f t="shared" ca="1" si="87"/>
        <v>208.51934121935955</v>
      </c>
      <c r="M229" s="306">
        <f t="shared" ca="1" si="103"/>
        <v>1.2439119050695517</v>
      </c>
      <c r="N229" s="304">
        <f t="shared" ca="1" si="104"/>
        <v>71.270902246563224</v>
      </c>
      <c r="P229" s="310">
        <f t="shared" ca="1" si="105"/>
        <v>8</v>
      </c>
      <c r="Q229" s="304">
        <f t="shared" ca="1" si="106"/>
        <v>2060.6736335877858</v>
      </c>
      <c r="R229" s="306">
        <f t="shared" ca="1" si="107"/>
        <v>1.2392358275076301</v>
      </c>
      <c r="S229" s="307">
        <f t="shared" ca="1" si="108"/>
        <v>17.466535336652463</v>
      </c>
      <c r="T229" s="304">
        <f t="shared" ca="1" si="88"/>
        <v>171.34671165256066</v>
      </c>
      <c r="U229" s="311">
        <f t="shared" ca="1" si="89"/>
        <v>0</v>
      </c>
      <c r="V229" s="306">
        <f t="shared" ca="1" si="90"/>
        <v>1.2009139117904719</v>
      </c>
      <c r="W229" s="304">
        <f t="shared" ca="1" si="91"/>
        <v>256.36945446542933</v>
      </c>
      <c r="Y229" s="314" t="str">
        <f t="shared" ca="1" si="109"/>
        <v/>
      </c>
      <c r="Z229" s="315" t="str">
        <f t="shared" ca="1" si="110"/>
        <v/>
      </c>
      <c r="AA229" s="316" t="str">
        <f t="shared" ca="1" si="111"/>
        <v/>
      </c>
      <c r="AC229" s="310" t="e">
        <f t="shared" ca="1" si="112"/>
        <v>#N/A</v>
      </c>
      <c r="AD229" s="323" t="e">
        <f t="shared" ca="1" si="113"/>
        <v>#N/A</v>
      </c>
      <c r="AE229" s="324">
        <f t="shared" ca="1" si="92"/>
        <v>198.57331368985936</v>
      </c>
      <c r="AG229" s="306">
        <f t="shared" ca="1" si="114"/>
        <v>94.148905666471251</v>
      </c>
      <c r="AH229" s="304">
        <f t="shared" ca="1" si="115"/>
        <v>103.43995058671079</v>
      </c>
    </row>
    <row r="230" spans="1:34" x14ac:dyDescent="0.2">
      <c r="A230" s="347">
        <f t="shared" ca="1" si="93"/>
        <v>0.01</v>
      </c>
      <c r="B230" s="304">
        <f t="shared" ca="1" si="94"/>
        <v>2.2599999999999958</v>
      </c>
      <c r="D230" s="306">
        <f t="shared" ca="1" si="95"/>
        <v>33.221645308481733</v>
      </c>
      <c r="E230" s="307">
        <f t="shared" ca="1" si="96"/>
        <v>88.175236042861499</v>
      </c>
      <c r="F230" s="304">
        <f t="shared" ca="1" si="97"/>
        <v>94.226057798344229</v>
      </c>
      <c r="G230" s="306">
        <f t="shared" ca="1" si="98"/>
        <v>62.683588981320845</v>
      </c>
      <c r="H230" s="307">
        <f t="shared" ca="1" si="99"/>
        <v>184.78335922081462</v>
      </c>
      <c r="I230" s="304">
        <f t="shared" ca="1" si="100"/>
        <v>195.12591363657413</v>
      </c>
      <c r="J230" s="306">
        <f t="shared" ca="1" si="101"/>
        <v>64.256572346690376</v>
      </c>
      <c r="K230" s="307">
        <f t="shared" ca="1" si="102"/>
        <v>200.41673852026537</v>
      </c>
      <c r="L230" s="304">
        <f t="shared" ca="1" si="87"/>
        <v>210.46561754558837</v>
      </c>
      <c r="M230" s="306">
        <f t="shared" ca="1" si="103"/>
        <v>1.2437504743291969</v>
      </c>
      <c r="N230" s="304">
        <f t="shared" ca="1" si="104"/>
        <v>71.261652946457218</v>
      </c>
      <c r="P230" s="310">
        <f t="shared" ca="1" si="105"/>
        <v>8</v>
      </c>
      <c r="Q230" s="304">
        <f t="shared" ca="1" si="106"/>
        <v>2062.2426539440198</v>
      </c>
      <c r="R230" s="306">
        <f t="shared" ca="1" si="107"/>
        <v>1.2401793957698921</v>
      </c>
      <c r="S230" s="307">
        <f t="shared" ca="1" si="108"/>
        <v>17.454133542694763</v>
      </c>
      <c r="T230" s="304">
        <f t="shared" ca="1" si="88"/>
        <v>171.22505005383562</v>
      </c>
      <c r="U230" s="311">
        <f t="shared" ca="1" si="89"/>
        <v>0</v>
      </c>
      <c r="V230" s="306">
        <f t="shared" ca="1" si="90"/>
        <v>1.2006925307170364</v>
      </c>
      <c r="W230" s="304">
        <f t="shared" ca="1" si="91"/>
        <v>258.81439831037284</v>
      </c>
      <c r="Y230" s="314" t="str">
        <f t="shared" ca="1" si="109"/>
        <v/>
      </c>
      <c r="Z230" s="315" t="str">
        <f t="shared" ca="1" si="110"/>
        <v/>
      </c>
      <c r="AA230" s="316" t="str">
        <f t="shared" ca="1" si="111"/>
        <v/>
      </c>
      <c r="AC230" s="310" t="e">
        <f t="shared" ca="1" si="112"/>
        <v>#N/A</v>
      </c>
      <c r="AD230" s="323" t="e">
        <f t="shared" ca="1" si="113"/>
        <v>#N/A</v>
      </c>
      <c r="AE230" s="324">
        <f t="shared" ca="1" si="92"/>
        <v>200.41673852026537</v>
      </c>
      <c r="AG230" s="306">
        <f t="shared" ca="1" si="114"/>
        <v>94.173392719265593</v>
      </c>
      <c r="AH230" s="304">
        <f t="shared" ca="1" si="115"/>
        <v>103.46392704405652</v>
      </c>
    </row>
    <row r="231" spans="1:34" x14ac:dyDescent="0.2">
      <c r="A231" s="347">
        <f t="shared" ca="1" si="93"/>
        <v>0.01</v>
      </c>
      <c r="B231" s="304">
        <f t="shared" ca="1" si="94"/>
        <v>2.2699999999999956</v>
      </c>
      <c r="D231" s="306">
        <f t="shared" ca="1" si="95"/>
        <v>33.244980890208197</v>
      </c>
      <c r="E231" s="307">
        <f t="shared" ca="1" si="96"/>
        <v>88.192034439270103</v>
      </c>
      <c r="F231" s="304">
        <f t="shared" ca="1" si="97"/>
        <v>94.250006328528755</v>
      </c>
      <c r="G231" s="306">
        <f t="shared" ca="1" si="98"/>
        <v>63.016038790222929</v>
      </c>
      <c r="H231" s="307">
        <f t="shared" ca="1" si="99"/>
        <v>185.66527956520733</v>
      </c>
      <c r="I231" s="304">
        <f t="shared" ca="1" si="100"/>
        <v>196.06788921401045</v>
      </c>
      <c r="J231" s="306">
        <f t="shared" ca="1" si="101"/>
        <v>64.885070485548098</v>
      </c>
      <c r="K231" s="307">
        <f t="shared" ca="1" si="102"/>
        <v>202.26898171419549</v>
      </c>
      <c r="L231" s="304">
        <f t="shared" ca="1" si="87"/>
        <v>212.42131092621591</v>
      </c>
      <c r="M231" s="306">
        <f t="shared" ca="1" si="103"/>
        <v>1.2435897426653137</v>
      </c>
      <c r="N231" s="304">
        <f t="shared" ca="1" si="104"/>
        <v>71.252443700482601</v>
      </c>
      <c r="P231" s="310">
        <f t="shared" ca="1" si="105"/>
        <v>8</v>
      </c>
      <c r="Q231" s="304">
        <f t="shared" ca="1" si="106"/>
        <v>2063.8116743002538</v>
      </c>
      <c r="R231" s="306">
        <f t="shared" ca="1" si="107"/>
        <v>1.2411229640321544</v>
      </c>
      <c r="S231" s="307">
        <f t="shared" ca="1" si="108"/>
        <v>17.441722313054441</v>
      </c>
      <c r="T231" s="304">
        <f t="shared" ca="1" si="88"/>
        <v>171.10329589106408</v>
      </c>
      <c r="U231" s="311">
        <f t="shared" ca="1" si="89"/>
        <v>0</v>
      </c>
      <c r="V231" s="306">
        <f t="shared" ca="1" si="90"/>
        <v>1.2004701313180057</v>
      </c>
      <c r="W231" s="304">
        <f t="shared" ca="1" si="91"/>
        <v>261.27089376028255</v>
      </c>
      <c r="Y231" s="314" t="str">
        <f t="shared" ca="1" si="109"/>
        <v/>
      </c>
      <c r="Z231" s="315" t="str">
        <f t="shared" ca="1" si="110"/>
        <v/>
      </c>
      <c r="AA231" s="316" t="str">
        <f t="shared" ca="1" si="111"/>
        <v/>
      </c>
      <c r="AC231" s="310" t="e">
        <f t="shared" ca="1" si="112"/>
        <v>#N/A</v>
      </c>
      <c r="AD231" s="323" t="e">
        <f t="shared" ca="1" si="113"/>
        <v>#N/A</v>
      </c>
      <c r="AE231" s="324">
        <f t="shared" ca="1" si="92"/>
        <v>202.26898171419549</v>
      </c>
      <c r="AG231" s="306">
        <f t="shared" ca="1" si="114"/>
        <v>94.197304476193338</v>
      </c>
      <c r="AH231" s="304">
        <f t="shared" ca="1" si="115"/>
        <v>103.48733018406742</v>
      </c>
    </row>
    <row r="232" spans="1:34" x14ac:dyDescent="0.2">
      <c r="A232" s="347">
        <f t="shared" ca="1" si="93"/>
        <v>0.01</v>
      </c>
      <c r="B232" s="304">
        <f t="shared" ca="1" si="94"/>
        <v>2.2799999999999954</v>
      </c>
      <c r="D232" s="306">
        <f t="shared" ca="1" si="95"/>
        <v>33.268069947680466</v>
      </c>
      <c r="E232" s="307">
        <f t="shared" ca="1" si="96"/>
        <v>88.208308132520983</v>
      </c>
      <c r="F232" s="304">
        <f t="shared" ca="1" si="97"/>
        <v>94.273379602332739</v>
      </c>
      <c r="G232" s="306">
        <f t="shared" ca="1" si="98"/>
        <v>63.348719489699732</v>
      </c>
      <c r="H232" s="307">
        <f t="shared" ca="1" si="99"/>
        <v>186.54736264653255</v>
      </c>
      <c r="I232" s="304">
        <f t="shared" ca="1" si="100"/>
        <v>197.01009814565748</v>
      </c>
      <c r="J232" s="306">
        <f t="shared" ca="1" si="101"/>
        <v>65.51689427694771</v>
      </c>
      <c r="K232" s="307">
        <f t="shared" ca="1" si="102"/>
        <v>204.1300449252542</v>
      </c>
      <c r="L232" s="304">
        <f t="shared" ca="1" si="87"/>
        <v>214.38642372333899</v>
      </c>
      <c r="M232" s="306">
        <f t="shared" ca="1" si="103"/>
        <v>1.2434297039161895</v>
      </c>
      <c r="N232" s="304">
        <f t="shared" ca="1" si="104"/>
        <v>71.243274155599224</v>
      </c>
      <c r="P232" s="310">
        <f t="shared" ca="1" si="105"/>
        <v>8</v>
      </c>
      <c r="Q232" s="304">
        <f t="shared" ca="1" si="106"/>
        <v>2065.3806946564882</v>
      </c>
      <c r="R232" s="306">
        <f t="shared" ca="1" si="107"/>
        <v>1.2420665322944169</v>
      </c>
      <c r="S232" s="307">
        <f t="shared" ca="1" si="108"/>
        <v>17.429301647731496</v>
      </c>
      <c r="T232" s="304">
        <f t="shared" ca="1" si="88"/>
        <v>170.98144916424599</v>
      </c>
      <c r="U232" s="311">
        <f t="shared" ca="1" si="89"/>
        <v>0</v>
      </c>
      <c r="V232" s="306">
        <f t="shared" ca="1" si="90"/>
        <v>1.200246713966163</v>
      </c>
      <c r="W232" s="304">
        <f t="shared" ca="1" si="91"/>
        <v>263.73892124793286</v>
      </c>
      <c r="Y232" s="314" t="str">
        <f t="shared" ca="1" si="109"/>
        <v/>
      </c>
      <c r="Z232" s="315" t="str">
        <f t="shared" ca="1" si="110"/>
        <v/>
      </c>
      <c r="AA232" s="316" t="str">
        <f t="shared" ca="1" si="111"/>
        <v/>
      </c>
      <c r="AC232" s="310" t="e">
        <f t="shared" ca="1" si="112"/>
        <v>#N/A</v>
      </c>
      <c r="AD232" s="323" t="e">
        <f t="shared" ca="1" si="113"/>
        <v>#N/A</v>
      </c>
      <c r="AE232" s="324">
        <f t="shared" ca="1" si="92"/>
        <v>204.1300449252542</v>
      </c>
      <c r="AG232" s="306">
        <f t="shared" ca="1" si="114"/>
        <v>94.220640869618066</v>
      </c>
      <c r="AH232" s="304">
        <f t="shared" ca="1" si="115"/>
        <v>103.51015992261624</v>
      </c>
    </row>
    <row r="233" spans="1:34" x14ac:dyDescent="0.2">
      <c r="A233" s="347">
        <f t="shared" ca="1" si="93"/>
        <v>0.01</v>
      </c>
      <c r="B233" s="304">
        <f t="shared" ca="1" si="94"/>
        <v>2.2899999999999952</v>
      </c>
      <c r="D233" s="306">
        <f t="shared" ca="1" si="95"/>
        <v>33.290912766742437</v>
      </c>
      <c r="E233" s="307">
        <f t="shared" ca="1" si="96"/>
        <v>88.224056990549911</v>
      </c>
      <c r="F233" s="304">
        <f t="shared" ca="1" si="97"/>
        <v>94.296177572129892</v>
      </c>
      <c r="G233" s="306">
        <f t="shared" ca="1" si="98"/>
        <v>63.68162861736716</v>
      </c>
      <c r="H233" s="307">
        <f t="shared" ca="1" si="99"/>
        <v>187.42960321643804</v>
      </c>
      <c r="I233" s="304">
        <f t="shared" ca="1" si="100"/>
        <v>197.9525346774617</v>
      </c>
      <c r="J233" s="306">
        <f t="shared" ca="1" si="101"/>
        <v>66.152046017483045</v>
      </c>
      <c r="K233" s="307">
        <f t="shared" ca="1" si="102"/>
        <v>205.99992975456905</v>
      </c>
      <c r="L233" s="304">
        <f t="shared" ca="1" si="87"/>
        <v>216.36095824151496</v>
      </c>
      <c r="M233" s="306">
        <f t="shared" ca="1" si="103"/>
        <v>1.243270351998071</v>
      </c>
      <c r="N233" s="304">
        <f t="shared" ca="1" si="104"/>
        <v>71.23414396323372</v>
      </c>
      <c r="P233" s="310">
        <f t="shared" ca="1" si="105"/>
        <v>8</v>
      </c>
      <c r="Q233" s="304">
        <f t="shared" ca="1" si="106"/>
        <v>2066.9497150127222</v>
      </c>
      <c r="R233" s="306">
        <f t="shared" ca="1" si="107"/>
        <v>1.2430101005566789</v>
      </c>
      <c r="S233" s="307">
        <f t="shared" ca="1" si="108"/>
        <v>17.416871546725929</v>
      </c>
      <c r="T233" s="304">
        <f t="shared" ca="1" si="88"/>
        <v>170.85950987338137</v>
      </c>
      <c r="U233" s="311">
        <f t="shared" ca="1" si="89"/>
        <v>0</v>
      </c>
      <c r="V233" s="306">
        <f t="shared" ca="1" si="90"/>
        <v>1.2000222790431918</v>
      </c>
      <c r="W233" s="304">
        <f t="shared" ca="1" si="91"/>
        <v>266.21846085754356</v>
      </c>
      <c r="Y233" s="314" t="str">
        <f t="shared" ca="1" si="109"/>
        <v/>
      </c>
      <c r="Z233" s="315" t="str">
        <f t="shared" ca="1" si="110"/>
        <v/>
      </c>
      <c r="AA233" s="316" t="str">
        <f t="shared" ca="1" si="111"/>
        <v/>
      </c>
      <c r="AC233" s="310" t="e">
        <f t="shared" ca="1" si="112"/>
        <v>#N/A</v>
      </c>
      <c r="AD233" s="323" t="e">
        <f t="shared" ca="1" si="113"/>
        <v>#N/A</v>
      </c>
      <c r="AE233" s="324">
        <f t="shared" ca="1" si="92"/>
        <v>205.99992975456905</v>
      </c>
      <c r="AG233" s="306">
        <f t="shared" ca="1" si="114"/>
        <v>94.243401849653623</v>
      </c>
      <c r="AH233" s="304">
        <f t="shared" ca="1" si="115"/>
        <v>103.53241619352482</v>
      </c>
    </row>
    <row r="234" spans="1:34" x14ac:dyDescent="0.2">
      <c r="A234" s="347">
        <f t="shared" ca="1" si="93"/>
        <v>0.01</v>
      </c>
      <c r="B234" s="304">
        <f t="shared" ca="1" si="94"/>
        <v>2.2999999999999949</v>
      </c>
      <c r="D234" s="306">
        <f t="shared" ca="1" si="95"/>
        <v>33.313509633988396</v>
      </c>
      <c r="E234" s="307">
        <f t="shared" ca="1" si="96"/>
        <v>88.239280899555936</v>
      </c>
      <c r="F234" s="304">
        <f t="shared" ca="1" si="97"/>
        <v>94.318400208043045</v>
      </c>
      <c r="G234" s="306">
        <f t="shared" ca="1" si="98"/>
        <v>64.01476371370704</v>
      </c>
      <c r="H234" s="307">
        <f t="shared" ca="1" si="99"/>
        <v>188.31199602543359</v>
      </c>
      <c r="I234" s="304">
        <f t="shared" ca="1" si="100"/>
        <v>198.8951930550476</v>
      </c>
      <c r="J234" s="306">
        <f t="shared" ca="1" si="101"/>
        <v>66.790527979138417</v>
      </c>
      <c r="K234" s="307">
        <f t="shared" ca="1" si="102"/>
        <v>207.87863775077841</v>
      </c>
      <c r="L234" s="304">
        <f t="shared" ca="1" si="87"/>
        <v>218.34491672775766</v>
      </c>
      <c r="M234" s="306">
        <f t="shared" ca="1" si="103"/>
        <v>1.2431116809038458</v>
      </c>
      <c r="N234" s="304">
        <f t="shared" ca="1" si="104"/>
        <v>71.225052779203907</v>
      </c>
      <c r="P234" s="310">
        <f t="shared" ca="1" si="105"/>
        <v>8</v>
      </c>
      <c r="Q234" s="304">
        <f t="shared" ca="1" si="106"/>
        <v>2068.5187353689562</v>
      </c>
      <c r="R234" s="306">
        <f t="shared" ca="1" si="107"/>
        <v>1.2439536688189412</v>
      </c>
      <c r="S234" s="307">
        <f t="shared" ca="1" si="108"/>
        <v>17.404432010037741</v>
      </c>
      <c r="T234" s="304">
        <f t="shared" ca="1" si="88"/>
        <v>170.73747801847026</v>
      </c>
      <c r="U234" s="311">
        <f t="shared" ca="1" si="89"/>
        <v>0</v>
      </c>
      <c r="V234" s="306">
        <f t="shared" ca="1" si="90"/>
        <v>1.1997968269396686</v>
      </c>
      <c r="W234" s="304">
        <f t="shared" ca="1" si="91"/>
        <v>268.70949232550885</v>
      </c>
      <c r="Y234" s="314" t="str">
        <f t="shared" ca="1" si="109"/>
        <v/>
      </c>
      <c r="Z234" s="315" t="str">
        <f t="shared" ca="1" si="110"/>
        <v/>
      </c>
      <c r="AA234" s="316" t="str">
        <f t="shared" ca="1" si="111"/>
        <v/>
      </c>
      <c r="AC234" s="310" t="e">
        <f t="shared" ca="1" si="112"/>
        <v>#N/A</v>
      </c>
      <c r="AD234" s="323" t="e">
        <f t="shared" ca="1" si="113"/>
        <v>#N/A</v>
      </c>
      <c r="AE234" s="324">
        <f t="shared" ca="1" si="92"/>
        <v>207.87863775077841</v>
      </c>
      <c r="AG234" s="306">
        <f t="shared" ca="1" si="114"/>
        <v>94.265587384190766</v>
      </c>
      <c r="AH234" s="304">
        <f t="shared" ca="1" si="115"/>
        <v>103.55409894858755</v>
      </c>
    </row>
    <row r="235" spans="1:34" x14ac:dyDescent="0.2">
      <c r="A235" s="347">
        <f t="shared" ca="1" si="93"/>
        <v>0.01</v>
      </c>
      <c r="B235" s="304">
        <f t="shared" ca="1" si="94"/>
        <v>2.3099999999999947</v>
      </c>
      <c r="D235" s="306">
        <f t="shared" ca="1" si="95"/>
        <v>33.33586083687446</v>
      </c>
      <c r="E235" s="307">
        <f t="shared" ca="1" si="96"/>
        <v>88.253979763995346</v>
      </c>
      <c r="F235" s="304">
        <f t="shared" ca="1" si="97"/>
        <v>94.340047497969593</v>
      </c>
      <c r="G235" s="306">
        <f t="shared" ca="1" si="98"/>
        <v>64.348122322075781</v>
      </c>
      <c r="H235" s="307">
        <f t="shared" ca="1" si="99"/>
        <v>189.19453582307355</v>
      </c>
      <c r="I235" s="304">
        <f t="shared" ca="1" si="100"/>
        <v>199.83806752389566</v>
      </c>
      <c r="J235" s="306">
        <f t="shared" ca="1" si="101"/>
        <v>67.432342409317329</v>
      </c>
      <c r="K235" s="307">
        <f t="shared" ca="1" si="102"/>
        <v>209.76617041002095</v>
      </c>
      <c r="L235" s="304">
        <f t="shared" ca="1" si="87"/>
        <v>220.33830137153495</v>
      </c>
      <c r="M235" s="306">
        <f t="shared" ca="1" si="103"/>
        <v>1.2429536847017513</v>
      </c>
      <c r="N235" s="304">
        <f t="shared" ca="1" si="104"/>
        <v>71.216000263644787</v>
      </c>
      <c r="P235" s="310">
        <f t="shared" ca="1" si="105"/>
        <v>8</v>
      </c>
      <c r="Q235" s="304">
        <f t="shared" ca="1" si="106"/>
        <v>2070.0877557251902</v>
      </c>
      <c r="R235" s="306">
        <f t="shared" ca="1" si="107"/>
        <v>1.2448972370812033</v>
      </c>
      <c r="S235" s="307">
        <f t="shared" ca="1" si="108"/>
        <v>17.391983037666929</v>
      </c>
      <c r="T235" s="304">
        <f t="shared" ca="1" si="88"/>
        <v>170.61535359951259</v>
      </c>
      <c r="U235" s="311">
        <f t="shared" ca="1" si="89"/>
        <v>0</v>
      </c>
      <c r="V235" s="306">
        <f t="shared" ca="1" si="90"/>
        <v>1.199570358055057</v>
      </c>
      <c r="W235" s="304">
        <f t="shared" ca="1" si="91"/>
        <v>271.2119950411502</v>
      </c>
      <c r="Y235" s="314" t="str">
        <f t="shared" ca="1" si="109"/>
        <v/>
      </c>
      <c r="Z235" s="315" t="str">
        <f t="shared" ca="1" si="110"/>
        <v/>
      </c>
      <c r="AA235" s="316" t="str">
        <f t="shared" ca="1" si="111"/>
        <v/>
      </c>
      <c r="AC235" s="310" t="e">
        <f t="shared" ca="1" si="112"/>
        <v>#N/A</v>
      </c>
      <c r="AD235" s="323" t="e">
        <f t="shared" ca="1" si="113"/>
        <v>#N/A</v>
      </c>
      <c r="AE235" s="324">
        <f t="shared" ca="1" si="92"/>
        <v>209.76617041002095</v>
      </c>
      <c r="AG235" s="306">
        <f t="shared" ca="1" si="114"/>
        <v>94.287197458922222</v>
      </c>
      <c r="AH235" s="304">
        <f t="shared" ca="1" si="115"/>
        <v>103.57520815759315</v>
      </c>
    </row>
    <row r="236" spans="1:34" x14ac:dyDescent="0.2">
      <c r="A236" s="347">
        <f t="shared" ca="1" si="93"/>
        <v>0.01</v>
      </c>
      <c r="B236" s="304">
        <f t="shared" ca="1" si="94"/>
        <v>2.3199999999999945</v>
      </c>
      <c r="D236" s="306">
        <f t="shared" ca="1" si="95"/>
        <v>33.357966663827668</v>
      </c>
      <c r="E236" s="307">
        <f t="shared" ca="1" si="96"/>
        <v>88.268153506575345</v>
      </c>
      <c r="F236" s="304">
        <f t="shared" ca="1" si="97"/>
        <v>94.3611194476061</v>
      </c>
      <c r="G236" s="306">
        <f t="shared" ca="1" si="98"/>
        <v>64.681701988714053</v>
      </c>
      <c r="H236" s="307">
        <f t="shared" ca="1" si="99"/>
        <v>190.07721735813931</v>
      </c>
      <c r="I236" s="304">
        <f t="shared" ca="1" si="100"/>
        <v>200.78115232952058</v>
      </c>
      <c r="J236" s="306">
        <f t="shared" ca="1" si="101"/>
        <v>68.077491530871271</v>
      </c>
      <c r="K236" s="307">
        <f t="shared" ca="1" si="102"/>
        <v>211.66252917592701</v>
      </c>
      <c r="L236" s="304">
        <f t="shared" ca="1" si="87"/>
        <v>222.34111430476821</v>
      </c>
      <c r="M236" s="306">
        <f t="shared" ca="1" si="103"/>
        <v>1.2427963575341106</v>
      </c>
      <c r="N236" s="304">
        <f t="shared" ca="1" si="104"/>
        <v>71.206986080936218</v>
      </c>
      <c r="P236" s="310">
        <f t="shared" ca="1" si="105"/>
        <v>8</v>
      </c>
      <c r="Q236" s="304">
        <f t="shared" ca="1" si="106"/>
        <v>2071.6567760814241</v>
      </c>
      <c r="R236" s="306">
        <f t="shared" ca="1" si="107"/>
        <v>1.2458408053434655</v>
      </c>
      <c r="S236" s="307">
        <f t="shared" ca="1" si="108"/>
        <v>17.379524629613496</v>
      </c>
      <c r="T236" s="304">
        <f t="shared" ca="1" si="88"/>
        <v>170.49313661650839</v>
      </c>
      <c r="U236" s="311">
        <f t="shared" ca="1" si="89"/>
        <v>0</v>
      </c>
      <c r="V236" s="306">
        <f t="shared" ca="1" si="90"/>
        <v>1.1993428727977005</v>
      </c>
      <c r="W236" s="304">
        <f t="shared" ca="1" si="91"/>
        <v>273.72594804749156</v>
      </c>
      <c r="Y236" s="314" t="str">
        <f t="shared" ca="1" si="109"/>
        <v/>
      </c>
      <c r="Z236" s="315" t="str">
        <f t="shared" ca="1" si="110"/>
        <v/>
      </c>
      <c r="AA236" s="316" t="str">
        <f t="shared" ca="1" si="111"/>
        <v/>
      </c>
      <c r="AC236" s="310" t="e">
        <f t="shared" ca="1" si="112"/>
        <v>#N/A</v>
      </c>
      <c r="AD236" s="323" t="e">
        <f t="shared" ca="1" si="113"/>
        <v>#N/A</v>
      </c>
      <c r="AE236" s="324">
        <f t="shared" ca="1" si="92"/>
        <v>211.66252917592701</v>
      </c>
      <c r="AG236" s="306">
        <f t="shared" ca="1" si="114"/>
        <v>94.308232077366711</v>
      </c>
      <c r="AH236" s="304">
        <f t="shared" ca="1" si="115"/>
        <v>103.5957438083457</v>
      </c>
    </row>
    <row r="237" spans="1:34" x14ac:dyDescent="0.2">
      <c r="A237" s="347">
        <f t="shared" ca="1" si="93"/>
        <v>0.01</v>
      </c>
      <c r="B237" s="304">
        <f t="shared" ca="1" si="94"/>
        <v>2.3299999999999943</v>
      </c>
      <c r="D237" s="306">
        <f t="shared" ca="1" si="95"/>
        <v>33.379827404352518</v>
      </c>
      <c r="E237" s="307">
        <f t="shared" ca="1" si="96"/>
        <v>88.281802068247188</v>
      </c>
      <c r="F237" s="304">
        <f t="shared" ca="1" si="97"/>
        <v>94.381616080471602</v>
      </c>
      <c r="G237" s="306">
        <f t="shared" ca="1" si="98"/>
        <v>65.015500262757584</v>
      </c>
      <c r="H237" s="307">
        <f t="shared" ca="1" si="99"/>
        <v>190.96003537882177</v>
      </c>
      <c r="I237" s="304">
        <f t="shared" ca="1" si="100"/>
        <v>201.72444171764982</v>
      </c>
      <c r="J237" s="306">
        <f t="shared" ca="1" si="101"/>
        <v>68.725977542128632</v>
      </c>
      <c r="K237" s="307">
        <f t="shared" ca="1" si="102"/>
        <v>213.56771543961182</v>
      </c>
      <c r="L237" s="304">
        <f t="shared" ca="1" si="87"/>
        <v>224.35335760183349</v>
      </c>
      <c r="M237" s="306">
        <f t="shared" ca="1" si="103"/>
        <v>1.2426396936160959</v>
      </c>
      <c r="N237" s="304">
        <f t="shared" ca="1" si="104"/>
        <v>71.198009899631998</v>
      </c>
      <c r="P237" s="310">
        <f t="shared" ca="1" si="105"/>
        <v>8</v>
      </c>
      <c r="Q237" s="304">
        <f t="shared" ca="1" si="106"/>
        <v>2073.2257964376586</v>
      </c>
      <c r="R237" s="306">
        <f t="shared" ca="1" si="107"/>
        <v>1.246784373605728</v>
      </c>
      <c r="S237" s="307">
        <f t="shared" ca="1" si="108"/>
        <v>17.367056785877438</v>
      </c>
      <c r="T237" s="304">
        <f t="shared" ca="1" si="88"/>
        <v>170.37082706945768</v>
      </c>
      <c r="U237" s="311">
        <f t="shared" ca="1" si="89"/>
        <v>0</v>
      </c>
      <c r="V237" s="306">
        <f t="shared" ca="1" si="90"/>
        <v>1.1991143715848154</v>
      </c>
      <c r="W237" s="304">
        <f t="shared" ca="1" si="91"/>
        <v>276.25133004205952</v>
      </c>
      <c r="Y237" s="314" t="str">
        <f t="shared" ca="1" si="109"/>
        <v/>
      </c>
      <c r="Z237" s="315" t="str">
        <f t="shared" ca="1" si="110"/>
        <v/>
      </c>
      <c r="AA237" s="316" t="str">
        <f t="shared" ca="1" si="111"/>
        <v/>
      </c>
      <c r="AC237" s="310" t="e">
        <f t="shared" ca="1" si="112"/>
        <v>#N/A</v>
      </c>
      <c r="AD237" s="323" t="e">
        <f t="shared" ca="1" si="113"/>
        <v>#N/A</v>
      </c>
      <c r="AE237" s="324">
        <f t="shared" ca="1" si="92"/>
        <v>213.56771543961182</v>
      </c>
      <c r="AG237" s="306">
        <f t="shared" ca="1" si="114"/>
        <v>94.3286912608921</v>
      </c>
      <c r="AH237" s="304">
        <f t="shared" ca="1" si="115"/>
        <v>103.61570590668457</v>
      </c>
    </row>
    <row r="238" spans="1:34" x14ac:dyDescent="0.2">
      <c r="A238" s="347">
        <f t="shared" ca="1" si="93"/>
        <v>0.01</v>
      </c>
      <c r="B238" s="304">
        <f t="shared" ca="1" si="94"/>
        <v>2.3399999999999941</v>
      </c>
      <c r="D238" s="306">
        <f t="shared" ca="1" si="95"/>
        <v>33.40144334913505</v>
      </c>
      <c r="E238" s="307">
        <f t="shared" ca="1" si="96"/>
        <v>88.294925408198466</v>
      </c>
      <c r="F238" s="304">
        <f t="shared" ca="1" si="97"/>
        <v>94.40153743792952</v>
      </c>
      <c r="G238" s="306">
        <f t="shared" ca="1" si="98"/>
        <v>65.349514696248932</v>
      </c>
      <c r="H238" s="307">
        <f t="shared" ca="1" si="99"/>
        <v>191.84298463290375</v>
      </c>
      <c r="I238" s="304">
        <f t="shared" ca="1" si="100"/>
        <v>202.66792993440231</v>
      </c>
      <c r="J238" s="306">
        <f t="shared" ca="1" si="101"/>
        <v>69.37780261692366</v>
      </c>
      <c r="K238" s="307">
        <f t="shared" ca="1" si="102"/>
        <v>215.48173053967045</v>
      </c>
      <c r="L238" s="304">
        <f t="shared" ca="1" si="87"/>
        <v>226.37503327956455</v>
      </c>
      <c r="M238" s="306">
        <f t="shared" ca="1" si="103"/>
        <v>1.2424836872345184</v>
      </c>
      <c r="N238" s="304">
        <f t="shared" ca="1" si="104"/>
        <v>71.189071392390503</v>
      </c>
      <c r="P238" s="310">
        <f t="shared" ca="1" si="105"/>
        <v>8</v>
      </c>
      <c r="Q238" s="304">
        <f t="shared" ca="1" si="106"/>
        <v>2074.7948167938926</v>
      </c>
      <c r="R238" s="306">
        <f t="shared" ca="1" si="107"/>
        <v>1.2477279418679901</v>
      </c>
      <c r="S238" s="307">
        <f t="shared" ca="1" si="108"/>
        <v>17.354579506458759</v>
      </c>
      <c r="T238" s="304">
        <f t="shared" ca="1" si="88"/>
        <v>170.24842495836043</v>
      </c>
      <c r="U238" s="311">
        <f t="shared" ca="1" si="89"/>
        <v>0</v>
      </c>
      <c r="V238" s="306">
        <f t="shared" ca="1" si="90"/>
        <v>1.1988848548424822</v>
      </c>
      <c r="W238" s="304">
        <f t="shared" ca="1" si="91"/>
        <v>278.78811937770558</v>
      </c>
      <c r="Y238" s="314" t="str">
        <f t="shared" ca="1" si="109"/>
        <v/>
      </c>
      <c r="Z238" s="315" t="str">
        <f t="shared" ca="1" si="110"/>
        <v/>
      </c>
      <c r="AA238" s="316" t="str">
        <f t="shared" ca="1" si="111"/>
        <v/>
      </c>
      <c r="AC238" s="310" t="e">
        <f t="shared" ca="1" si="112"/>
        <v>#N/A</v>
      </c>
      <c r="AD238" s="323" t="e">
        <f t="shared" ca="1" si="113"/>
        <v>#N/A</v>
      </c>
      <c r="AE238" s="324">
        <f t="shared" ca="1" si="92"/>
        <v>215.48173053967045</v>
      </c>
      <c r="AG238" s="306">
        <f t="shared" ca="1" si="114"/>
        <v>94.34857504873662</v>
      </c>
      <c r="AH238" s="304">
        <f t="shared" ca="1" si="115"/>
        <v>103.6350944765028</v>
      </c>
    </row>
    <row r="239" spans="1:34" x14ac:dyDescent="0.2">
      <c r="A239" s="347">
        <f t="shared" ca="1" si="93"/>
        <v>0.01</v>
      </c>
      <c r="B239" s="304">
        <f t="shared" ca="1" si="94"/>
        <v>2.3499999999999939</v>
      </c>
      <c r="D239" s="306">
        <f t="shared" ca="1" si="95"/>
        <v>33.422814790144592</v>
      </c>
      <c r="E239" s="307">
        <f t="shared" ca="1" si="96"/>
        <v>88.307523503845459</v>
      </c>
      <c r="F239" s="304">
        <f t="shared" ca="1" si="97"/>
        <v>94.420883579208919</v>
      </c>
      <c r="G239" s="306">
        <f t="shared" ca="1" si="98"/>
        <v>65.683742844150373</v>
      </c>
      <c r="H239" s="307">
        <f t="shared" ca="1" si="99"/>
        <v>192.72605986794221</v>
      </c>
      <c r="I239" s="304">
        <f t="shared" ca="1" si="100"/>
        <v>203.61161122646743</v>
      </c>
      <c r="J239" s="306">
        <f t="shared" ca="1" si="101"/>
        <v>70.032968904625662</v>
      </c>
      <c r="K239" s="307">
        <f t="shared" ca="1" si="102"/>
        <v>217.40457576217469</v>
      </c>
      <c r="L239" s="304">
        <f t="shared" ca="1" si="87"/>
        <v>228.4061432972577</v>
      </c>
      <c r="M239" s="306">
        <f t="shared" ca="1" si="103"/>
        <v>1.242328332746641</v>
      </c>
      <c r="N239" s="304">
        <f t="shared" ca="1" si="104"/>
        <v>71.180170235906715</v>
      </c>
      <c r="P239" s="310">
        <f t="shared" ca="1" si="105"/>
        <v>8</v>
      </c>
      <c r="Q239" s="304">
        <f t="shared" ca="1" si="106"/>
        <v>2076.3638371501265</v>
      </c>
      <c r="R239" s="306">
        <f t="shared" ca="1" si="107"/>
        <v>1.2486715101302523</v>
      </c>
      <c r="S239" s="307">
        <f t="shared" ca="1" si="108"/>
        <v>17.342092791357455</v>
      </c>
      <c r="T239" s="304">
        <f t="shared" ca="1" si="88"/>
        <v>170.12593028321663</v>
      </c>
      <c r="U239" s="311">
        <f t="shared" ca="1" si="89"/>
        <v>0</v>
      </c>
      <c r="V239" s="306">
        <f t="shared" ca="1" si="90"/>
        <v>1.1986543230056399</v>
      </c>
      <c r="W239" s="304">
        <f t="shared" ca="1" si="91"/>
        <v>281.33629406345278</v>
      </c>
      <c r="Y239" s="314" t="str">
        <f t="shared" ca="1" si="109"/>
        <v/>
      </c>
      <c r="Z239" s="315" t="str">
        <f t="shared" ca="1" si="110"/>
        <v/>
      </c>
      <c r="AA239" s="316" t="str">
        <f t="shared" ca="1" si="111"/>
        <v/>
      </c>
      <c r="AC239" s="310" t="e">
        <f t="shared" ca="1" si="112"/>
        <v>#N/A</v>
      </c>
      <c r="AD239" s="323" t="e">
        <f t="shared" ca="1" si="113"/>
        <v>#N/A</v>
      </c>
      <c r="AE239" s="324">
        <f t="shared" ca="1" si="92"/>
        <v>217.40457576217469</v>
      </c>
      <c r="AG239" s="306">
        <f t="shared" ca="1" si="114"/>
        <v>94.36788349802994</v>
      </c>
      <c r="AH239" s="304">
        <f t="shared" ca="1" si="115"/>
        <v>103.65390955976515</v>
      </c>
    </row>
    <row r="240" spans="1:34" x14ac:dyDescent="0.2">
      <c r="A240" s="347">
        <f t="shared" ca="1" si="93"/>
        <v>0.01</v>
      </c>
      <c r="B240" s="304">
        <f t="shared" ca="1" si="94"/>
        <v>2.3599999999999937</v>
      </c>
      <c r="D240" s="306">
        <f t="shared" ca="1" si="95"/>
        <v>33.443942020733175</v>
      </c>
      <c r="E240" s="307">
        <f t="shared" ca="1" si="96"/>
        <v>88.319596350824156</v>
      </c>
      <c r="F240" s="304">
        <f t="shared" ca="1" si="97"/>
        <v>94.439654581423966</v>
      </c>
      <c r="G240" s="306">
        <f t="shared" ca="1" si="98"/>
        <v>66.018182264357705</v>
      </c>
      <c r="H240" s="307">
        <f t="shared" ca="1" si="99"/>
        <v>193.60925583145044</v>
      </c>
      <c r="I240" s="304">
        <f t="shared" ca="1" si="100"/>
        <v>204.5554798412841</v>
      </c>
      <c r="J240" s="306">
        <f t="shared" ca="1" si="101"/>
        <v>70.691478530168197</v>
      </c>
      <c r="K240" s="307">
        <f t="shared" ca="1" si="102"/>
        <v>219.33625234067165</v>
      </c>
      <c r="L240" s="304">
        <f t="shared" ca="1" si="87"/>
        <v>230.44668955667822</v>
      </c>
      <c r="M240" s="306">
        <f t="shared" ca="1" si="103"/>
        <v>1.242173624579018</v>
      </c>
      <c r="N240" s="304">
        <f t="shared" ca="1" si="104"/>
        <v>71.17130611084572</v>
      </c>
      <c r="P240" s="310">
        <f t="shared" ca="1" si="105"/>
        <v>8</v>
      </c>
      <c r="Q240" s="304">
        <f t="shared" ca="1" si="106"/>
        <v>2077.9328575063605</v>
      </c>
      <c r="R240" s="306">
        <f t="shared" ca="1" si="107"/>
        <v>1.2496150783925146</v>
      </c>
      <c r="S240" s="307">
        <f t="shared" ca="1" si="108"/>
        <v>17.329596640573531</v>
      </c>
      <c r="T240" s="304">
        <f t="shared" ca="1" si="88"/>
        <v>170.00334304402634</v>
      </c>
      <c r="U240" s="311">
        <f t="shared" ca="1" si="89"/>
        <v>0</v>
      </c>
      <c r="V240" s="306">
        <f t="shared" ca="1" si="90"/>
        <v>1.1984227765180751</v>
      </c>
      <c r="W240" s="304">
        <f t="shared" ca="1" si="91"/>
        <v>283.89583176536411</v>
      </c>
      <c r="Y240" s="314" t="str">
        <f t="shared" ca="1" si="109"/>
        <v/>
      </c>
      <c r="Z240" s="315" t="str">
        <f t="shared" ca="1" si="110"/>
        <v/>
      </c>
      <c r="AA240" s="316" t="str">
        <f t="shared" ca="1" si="111"/>
        <v/>
      </c>
      <c r="AC240" s="310" t="e">
        <f t="shared" ca="1" si="112"/>
        <v>#N/A</v>
      </c>
      <c r="AD240" s="323" t="e">
        <f t="shared" ca="1" si="113"/>
        <v>#N/A</v>
      </c>
      <c r="AE240" s="324">
        <f t="shared" ca="1" si="92"/>
        <v>219.33625234067165</v>
      </c>
      <c r="AG240" s="306">
        <f t="shared" ca="1" si="114"/>
        <v>94.386616683812036</v>
      </c>
      <c r="AH240" s="304">
        <f t="shared" ca="1" si="115"/>
        <v>103.67215121652413</v>
      </c>
    </row>
    <row r="241" spans="1:34" x14ac:dyDescent="0.2">
      <c r="A241" s="347">
        <f t="shared" ca="1" si="93"/>
        <v>0.01</v>
      </c>
      <c r="B241" s="304">
        <f t="shared" ca="1" si="94"/>
        <v>2.3699999999999934</v>
      </c>
      <c r="D241" s="306">
        <f t="shared" ca="1" si="95"/>
        <v>33.464825335732677</v>
      </c>
      <c r="E241" s="307">
        <f t="shared" ca="1" si="96"/>
        <v>88.331143962981315</v>
      </c>
      <c r="F241" s="304">
        <f t="shared" ca="1" si="97"/>
        <v>94.457850539592656</v>
      </c>
      <c r="G241" s="306">
        <f t="shared" ca="1" si="98"/>
        <v>66.352830517715034</v>
      </c>
      <c r="H241" s="307">
        <f t="shared" ca="1" si="99"/>
        <v>194.49256727108025</v>
      </c>
      <c r="I241" s="304">
        <f t="shared" ca="1" si="100"/>
        <v>205.49953002721998</v>
      </c>
      <c r="J241" s="306">
        <f t="shared" ca="1" si="101"/>
        <v>71.353333594078563</v>
      </c>
      <c r="K241" s="307">
        <f t="shared" ca="1" si="102"/>
        <v>221.27676145618429</v>
      </c>
      <c r="L241" s="304">
        <f t="shared" ca="1" si="87"/>
        <v>232.49667390206886</v>
      </c>
      <c r="M241" s="306">
        <f t="shared" ca="1" si="103"/>
        <v>1.2420195572263588</v>
      </c>
      <c r="N241" s="304">
        <f t="shared" ca="1" si="104"/>
        <v>71.162478701777587</v>
      </c>
      <c r="P241" s="310">
        <f t="shared" ca="1" si="105"/>
        <v>8</v>
      </c>
      <c r="Q241" s="304">
        <f t="shared" ca="1" si="106"/>
        <v>2079.5018778625945</v>
      </c>
      <c r="R241" s="306">
        <f t="shared" ca="1" si="107"/>
        <v>1.2505586466547767</v>
      </c>
      <c r="S241" s="307">
        <f t="shared" ca="1" si="108"/>
        <v>17.317091054106982</v>
      </c>
      <c r="T241" s="304">
        <f t="shared" ca="1" si="88"/>
        <v>169.88066324078949</v>
      </c>
      <c r="U241" s="311">
        <f t="shared" ca="1" si="89"/>
        <v>0</v>
      </c>
      <c r="V241" s="306">
        <f t="shared" ca="1" si="90"/>
        <v>1.1981902158324145</v>
      </c>
      <c r="W241" s="304">
        <f t="shared" ca="1" si="91"/>
        <v>286.46670980743522</v>
      </c>
      <c r="Y241" s="314" t="str">
        <f t="shared" ca="1" si="109"/>
        <v/>
      </c>
      <c r="Z241" s="315" t="str">
        <f t="shared" ca="1" si="110"/>
        <v/>
      </c>
      <c r="AA241" s="316" t="str">
        <f t="shared" ca="1" si="111"/>
        <v/>
      </c>
      <c r="AC241" s="310" t="e">
        <f t="shared" ca="1" si="112"/>
        <v>#N/A</v>
      </c>
      <c r="AD241" s="323" t="e">
        <f t="shared" ca="1" si="113"/>
        <v>#N/A</v>
      </c>
      <c r="AE241" s="324">
        <f t="shared" ca="1" si="92"/>
        <v>221.27676145618429</v>
      </c>
      <c r="AG241" s="306">
        <f t="shared" ca="1" si="114"/>
        <v>94.404774699051657</v>
      </c>
      <c r="AH241" s="304">
        <f t="shared" ca="1" si="115"/>
        <v>103.68981952493563</v>
      </c>
    </row>
    <row r="242" spans="1:34" x14ac:dyDescent="0.2">
      <c r="A242" s="347">
        <f t="shared" ca="1" si="93"/>
        <v>0.01</v>
      </c>
      <c r="B242" s="304">
        <f t="shared" ca="1" si="94"/>
        <v>2.3799999999999932</v>
      </c>
      <c r="D242" s="306">
        <f t="shared" ca="1" si="95"/>
        <v>33.485465031549644</v>
      </c>
      <c r="E242" s="307">
        <f t="shared" ca="1" si="96"/>
        <v>88.342166372364517</v>
      </c>
      <c r="F242" s="304">
        <f t="shared" ca="1" si="97"/>
        <v>94.475471566654093</v>
      </c>
      <c r="G242" s="306">
        <f t="shared" ca="1" si="98"/>
        <v>66.687685168030526</v>
      </c>
      <c r="H242" s="307">
        <f t="shared" ca="1" si="99"/>
        <v>195.3759889348039</v>
      </c>
      <c r="I242" s="304">
        <f t="shared" ca="1" si="100"/>
        <v>206.44375603375119</v>
      </c>
      <c r="J242" s="306">
        <f t="shared" ca="1" si="101"/>
        <v>72.018536172507297</v>
      </c>
      <c r="K242" s="307">
        <f t="shared" ca="1" si="102"/>
        <v>223.22610423721372</v>
      </c>
      <c r="L242" s="304">
        <f t="shared" ca="1" si="87"/>
        <v>234.55609812016004</v>
      </c>
      <c r="M242" s="306">
        <f t="shared" ca="1" si="103"/>
        <v>1.2418661252504128</v>
      </c>
      <c r="N242" s="304">
        <f t="shared" ca="1" si="104"/>
        <v>71.153687697113526</v>
      </c>
      <c r="P242" s="310">
        <f t="shared" ca="1" si="105"/>
        <v>8</v>
      </c>
      <c r="Q242" s="304">
        <f t="shared" ca="1" si="106"/>
        <v>2081.0708982188285</v>
      </c>
      <c r="R242" s="306">
        <f t="shared" ca="1" si="107"/>
        <v>1.2515022149170389</v>
      </c>
      <c r="S242" s="307">
        <f t="shared" ca="1" si="108"/>
        <v>17.304576031957811</v>
      </c>
      <c r="T242" s="304">
        <f t="shared" ca="1" si="88"/>
        <v>169.75789087350614</v>
      </c>
      <c r="U242" s="311">
        <f t="shared" ca="1" si="89"/>
        <v>0</v>
      </c>
      <c r="V242" s="306">
        <f t="shared" ca="1" si="90"/>
        <v>1.197956641410117</v>
      </c>
      <c r="W242" s="304">
        <f t="shared" ca="1" si="91"/>
        <v>289.04890517251113</v>
      </c>
      <c r="Y242" s="314" t="str">
        <f t="shared" ca="1" si="109"/>
        <v/>
      </c>
      <c r="Z242" s="315" t="str">
        <f t="shared" ca="1" si="110"/>
        <v/>
      </c>
      <c r="AA242" s="316" t="str">
        <f t="shared" ca="1" si="111"/>
        <v/>
      </c>
      <c r="AC242" s="310" t="e">
        <f t="shared" ca="1" si="112"/>
        <v>#N/A</v>
      </c>
      <c r="AD242" s="323" t="e">
        <f t="shared" ca="1" si="113"/>
        <v>#N/A</v>
      </c>
      <c r="AE242" s="324">
        <f t="shared" ca="1" si="92"/>
        <v>223.22610423721372</v>
      </c>
      <c r="AG242" s="306">
        <f t="shared" ca="1" si="114"/>
        <v>94.422357654663159</v>
      </c>
      <c r="AH242" s="304">
        <f t="shared" ca="1" si="115"/>
        <v>103.70691458127303</v>
      </c>
    </row>
    <row r="243" spans="1:34" x14ac:dyDescent="0.2">
      <c r="A243" s="347">
        <f t="shared" ca="1" si="93"/>
        <v>0.01</v>
      </c>
      <c r="B243" s="304">
        <f t="shared" ca="1" si="94"/>
        <v>2.389999999999993</v>
      </c>
      <c r="D243" s="306">
        <f t="shared" ca="1" si="95"/>
        <v>33.505861406258084</v>
      </c>
      <c r="E243" s="307">
        <f t="shared" ca="1" si="96"/>
        <v>88.352663629211705</v>
      </c>
      <c r="F243" s="304">
        <f t="shared" ca="1" si="97"/>
        <v>94.492517793484595</v>
      </c>
      <c r="G243" s="306">
        <f t="shared" ca="1" si="98"/>
        <v>67.022743782093102</v>
      </c>
      <c r="H243" s="307">
        <f t="shared" ca="1" si="99"/>
        <v>196.25951557109602</v>
      </c>
      <c r="I243" s="304">
        <f t="shared" ca="1" si="100"/>
        <v>207.38815211164157</v>
      </c>
      <c r="J243" s="306">
        <f t="shared" ca="1" si="101"/>
        <v>72.687088317257917</v>
      </c>
      <c r="K243" s="307">
        <f t="shared" ca="1" si="102"/>
        <v>225.18428175974321</v>
      </c>
      <c r="L243" s="304">
        <f t="shared" ca="1" si="87"/>
        <v>236.62496394018169</v>
      </c>
      <c r="M243" s="306">
        <f t="shared" ca="1" si="103"/>
        <v>1.2417133232788797</v>
      </c>
      <c r="N243" s="304">
        <f t="shared" ca="1" si="104"/>
        <v>71.144932789043409</v>
      </c>
      <c r="P243" s="310">
        <f t="shared" ca="1" si="105"/>
        <v>8</v>
      </c>
      <c r="Q243" s="304">
        <f t="shared" ca="1" si="106"/>
        <v>2082.6399185750629</v>
      </c>
      <c r="R243" s="306">
        <f t="shared" ca="1" si="107"/>
        <v>1.2524457831793014</v>
      </c>
      <c r="S243" s="307">
        <f t="shared" ca="1" si="108"/>
        <v>17.292051574126017</v>
      </c>
      <c r="T243" s="304">
        <f t="shared" ca="1" si="88"/>
        <v>169.63502594217624</v>
      </c>
      <c r="U243" s="311">
        <f t="shared" ca="1" si="89"/>
        <v>0</v>
      </c>
      <c r="V243" s="306">
        <f t="shared" ca="1" si="90"/>
        <v>1.1977220537214623</v>
      </c>
      <c r="W243" s="304">
        <f t="shared" ca="1" si="91"/>
        <v>291.6423945032227</v>
      </c>
      <c r="Y243" s="314" t="str">
        <f t="shared" ca="1" si="109"/>
        <v/>
      </c>
      <c r="Z243" s="315" t="str">
        <f t="shared" ca="1" si="110"/>
        <v/>
      </c>
      <c r="AA243" s="316" t="str">
        <f t="shared" ca="1" si="111"/>
        <v/>
      </c>
      <c r="AC243" s="310" t="e">
        <f t="shared" ca="1" si="112"/>
        <v>#N/A</v>
      </c>
      <c r="AD243" s="323" t="e">
        <f t="shared" ca="1" si="113"/>
        <v>#N/A</v>
      </c>
      <c r="AE243" s="324">
        <f t="shared" ca="1" si="92"/>
        <v>225.18428175974321</v>
      </c>
      <c r="AG243" s="306">
        <f t="shared" ca="1" si="114"/>
        <v>94.439365679522325</v>
      </c>
      <c r="AH243" s="304">
        <f t="shared" ca="1" si="115"/>
        <v>103.72343649994025</v>
      </c>
    </row>
    <row r="244" spans="1:34" x14ac:dyDescent="0.2">
      <c r="A244" s="347">
        <f t="shared" ca="1" si="93"/>
        <v>0.01</v>
      </c>
      <c r="B244" s="304">
        <f t="shared" ca="1" si="94"/>
        <v>2.3999999999999928</v>
      </c>
      <c r="D244" s="306">
        <f t="shared" ca="1" si="95"/>
        <v>33.526014759690007</v>
      </c>
      <c r="E244" s="307">
        <f t="shared" ca="1" si="96"/>
        <v>88.362635801940129</v>
      </c>
      <c r="F244" s="304">
        <f t="shared" ca="1" si="97"/>
        <v>94.508989368912751</v>
      </c>
      <c r="G244" s="306">
        <f t="shared" ca="1" si="98"/>
        <v>67.35800392969</v>
      </c>
      <c r="H244" s="307">
        <f t="shared" ca="1" si="99"/>
        <v>197.14314192911542</v>
      </c>
      <c r="I244" s="304">
        <f t="shared" ca="1" si="100"/>
        <v>208.3327125131228</v>
      </c>
      <c r="J244" s="306">
        <f t="shared" ca="1" si="101"/>
        <v>73.358992055816827</v>
      </c>
      <c r="K244" s="307">
        <f t="shared" ca="1" si="102"/>
        <v>227.15129504724428</v>
      </c>
      <c r="L244" s="304">
        <f t="shared" ca="1" si="87"/>
        <v>238.70327303387697</v>
      </c>
      <c r="M244" s="306">
        <f t="shared" ca="1" si="103"/>
        <v>1.2415611460043408</v>
      </c>
      <c r="N244" s="304">
        <f t="shared" ca="1" si="104"/>
        <v>71.136213673474515</v>
      </c>
      <c r="P244" s="310">
        <f t="shared" ca="1" si="105"/>
        <v>8</v>
      </c>
      <c r="Q244" s="304">
        <f t="shared" ca="1" si="106"/>
        <v>2084.2089389312969</v>
      </c>
      <c r="R244" s="306">
        <f t="shared" ca="1" si="107"/>
        <v>1.2533893514415635</v>
      </c>
      <c r="S244" s="307">
        <f t="shared" ca="1" si="108"/>
        <v>17.279517680611601</v>
      </c>
      <c r="T244" s="304">
        <f t="shared" ca="1" si="88"/>
        <v>169.51206844679982</v>
      </c>
      <c r="U244" s="311">
        <f t="shared" ca="1" si="89"/>
        <v>0</v>
      </c>
      <c r="V244" s="306">
        <f t="shared" ca="1" si="90"/>
        <v>1.1974864532455434</v>
      </c>
      <c r="W244" s="304">
        <f t="shared" ca="1" si="91"/>
        <v>294.24715410295039</v>
      </c>
      <c r="Y244" s="314" t="str">
        <f t="shared" ca="1" si="109"/>
        <v/>
      </c>
      <c r="Z244" s="315" t="str">
        <f t="shared" ca="1" si="110"/>
        <v/>
      </c>
      <c r="AA244" s="316" t="str">
        <f t="shared" ca="1" si="111"/>
        <v/>
      </c>
      <c r="AC244" s="310" t="e">
        <f t="shared" ca="1" si="112"/>
        <v>#N/A</v>
      </c>
      <c r="AD244" s="323" t="e">
        <f t="shared" ca="1" si="113"/>
        <v>#N/A</v>
      </c>
      <c r="AE244" s="324">
        <f t="shared" ca="1" si="92"/>
        <v>227.15129504724428</v>
      </c>
      <c r="AG244" s="306">
        <f t="shared" ca="1" si="114"/>
        <v>94.455798920480945</v>
      </c>
      <c r="AH244" s="304">
        <f t="shared" ca="1" si="115"/>
        <v>103.73938541348377</v>
      </c>
    </row>
    <row r="245" spans="1:34" x14ac:dyDescent="0.2">
      <c r="A245" s="347">
        <f t="shared" ca="1" si="93"/>
        <v>0.01</v>
      </c>
      <c r="B245" s="304">
        <f t="shared" ca="1" si="94"/>
        <v>2.4099999999999926</v>
      </c>
      <c r="D245" s="306">
        <f t="shared" ca="1" si="95"/>
        <v>33.545925393523881</v>
      </c>
      <c r="E245" s="307">
        <f t="shared" ca="1" si="96"/>
        <v>88.372082977134767</v>
      </c>
      <c r="F245" s="304">
        <f t="shared" ca="1" si="97"/>
        <v>94.524886459733253</v>
      </c>
      <c r="G245" s="306">
        <f t="shared" ca="1" si="98"/>
        <v>67.693463183625241</v>
      </c>
      <c r="H245" s="307">
        <f t="shared" ca="1" si="99"/>
        <v>198.02686275888675</v>
      </c>
      <c r="I245" s="304">
        <f t="shared" ca="1" si="100"/>
        <v>209.27743149207416</v>
      </c>
      <c r="J245" s="306">
        <f t="shared" ca="1" si="101"/>
        <v>74.034249391383398</v>
      </c>
      <c r="K245" s="307">
        <f t="shared" ca="1" si="102"/>
        <v>229.12714507068429</v>
      </c>
      <c r="L245" s="304">
        <f t="shared" ca="1" si="87"/>
        <v>240.7910270155181</v>
      </c>
      <c r="M245" s="306">
        <f t="shared" ca="1" si="103"/>
        <v>1.2414095881832119</v>
      </c>
      <c r="N245" s="304">
        <f t="shared" ca="1" si="104"/>
        <v>71.127530049971639</v>
      </c>
      <c r="P245" s="310">
        <f t="shared" ca="1" si="105"/>
        <v>8</v>
      </c>
      <c r="Q245" s="304">
        <f t="shared" ca="1" si="106"/>
        <v>2085.7779592875308</v>
      </c>
      <c r="R245" s="306">
        <f t="shared" ca="1" si="107"/>
        <v>1.2543329197038258</v>
      </c>
      <c r="S245" s="307">
        <f t="shared" ca="1" si="108"/>
        <v>17.266974351414564</v>
      </c>
      <c r="T245" s="304">
        <f t="shared" ca="1" si="88"/>
        <v>169.38901838737689</v>
      </c>
      <c r="U245" s="311">
        <f t="shared" ca="1" si="89"/>
        <v>0</v>
      </c>
      <c r="V245" s="306">
        <f t="shared" ca="1" si="90"/>
        <v>1.1972498404702565</v>
      </c>
      <c r="W245" s="304">
        <f t="shared" ca="1" si="91"/>
        <v>296.86315993680819</v>
      </c>
      <c r="Y245" s="314" t="str">
        <f t="shared" ca="1" si="109"/>
        <v/>
      </c>
      <c r="Z245" s="315" t="str">
        <f t="shared" ca="1" si="110"/>
        <v/>
      </c>
      <c r="AA245" s="316" t="str">
        <f t="shared" ca="1" si="111"/>
        <v/>
      </c>
      <c r="AC245" s="310" t="e">
        <f t="shared" ca="1" si="112"/>
        <v>#N/A</v>
      </c>
      <c r="AD245" s="323" t="e">
        <f t="shared" ca="1" si="113"/>
        <v>#N/A</v>
      </c>
      <c r="AE245" s="324">
        <f t="shared" ca="1" si="92"/>
        <v>229.12714507068429</v>
      </c>
      <c r="AG245" s="306">
        <f t="shared" ca="1" si="114"/>
        <v>94.471657542380328</v>
      </c>
      <c r="AH245" s="304">
        <f t="shared" ca="1" si="115"/>
        <v>103.75476147260349</v>
      </c>
    </row>
    <row r="246" spans="1:34" x14ac:dyDescent="0.2">
      <c r="A246" s="347">
        <f t="shared" ca="1" si="93"/>
        <v>0.01</v>
      </c>
      <c r="B246" s="304">
        <f t="shared" ca="1" si="94"/>
        <v>2.4199999999999924</v>
      </c>
      <c r="D246" s="306">
        <f t="shared" ca="1" si="95"/>
        <v>33.565593611371028</v>
      </c>
      <c r="E246" s="307">
        <f t="shared" ca="1" si="96"/>
        <v>88.38100525953574</v>
      </c>
      <c r="F246" s="304">
        <f t="shared" ca="1" si="97"/>
        <v>94.540209250719329</v>
      </c>
      <c r="G246" s="306">
        <f t="shared" ca="1" si="98"/>
        <v>68.029119119738951</v>
      </c>
      <c r="H246" s="307">
        <f t="shared" ca="1" si="99"/>
        <v>198.9106728114821</v>
      </c>
      <c r="I246" s="304">
        <f t="shared" ca="1" si="100"/>
        <v>210.22230330420251</v>
      </c>
      <c r="J246" s="306">
        <f t="shared" ca="1" si="101"/>
        <v>74.71286230290022</v>
      </c>
      <c r="K246" s="307">
        <f t="shared" ca="1" si="102"/>
        <v>231.11183274853613</v>
      </c>
      <c r="L246" s="304">
        <f t="shared" ca="1" si="87"/>
        <v>242.88822744192331</v>
      </c>
      <c r="M246" s="306">
        <f t="shared" ca="1" si="103"/>
        <v>1.2412586446347187</v>
      </c>
      <c r="N246" s="304">
        <f t="shared" ca="1" si="104"/>
        <v>71.11888162169825</v>
      </c>
      <c r="P246" s="310">
        <f t="shared" ca="1" si="105"/>
        <v>8</v>
      </c>
      <c r="Q246" s="304">
        <f t="shared" ca="1" si="106"/>
        <v>2087.3469796437648</v>
      </c>
      <c r="R246" s="306">
        <f t="shared" ca="1" si="107"/>
        <v>1.2552764879660878</v>
      </c>
      <c r="S246" s="307">
        <f t="shared" ca="1" si="108"/>
        <v>17.254421586534903</v>
      </c>
      <c r="T246" s="304">
        <f t="shared" ca="1" si="88"/>
        <v>169.26587576390742</v>
      </c>
      <c r="U246" s="311">
        <f t="shared" ca="1" si="89"/>
        <v>0</v>
      </c>
      <c r="V246" s="306">
        <f t="shared" ca="1" si="90"/>
        <v>1.1970122158922898</v>
      </c>
      <c r="W246" s="304">
        <f t="shared" ca="1" si="91"/>
        <v>299.49038763265105</v>
      </c>
      <c r="Y246" s="314" t="str">
        <f t="shared" ca="1" si="109"/>
        <v/>
      </c>
      <c r="Z246" s="315" t="str">
        <f t="shared" ca="1" si="110"/>
        <v/>
      </c>
      <c r="AA246" s="316" t="str">
        <f t="shared" ca="1" si="111"/>
        <v/>
      </c>
      <c r="AC246" s="310" t="e">
        <f t="shared" ca="1" si="112"/>
        <v>#N/A</v>
      </c>
      <c r="AD246" s="323" t="e">
        <f t="shared" ca="1" si="113"/>
        <v>#N/A</v>
      </c>
      <c r="AE246" s="324">
        <f t="shared" ca="1" si="92"/>
        <v>231.11183274853613</v>
      </c>
      <c r="AG246" s="306">
        <f t="shared" ca="1" si="114"/>
        <v>94.486941728063456</v>
      </c>
      <c r="AH246" s="304">
        <f t="shared" ca="1" si="115"/>
        <v>103.76956484616233</v>
      </c>
    </row>
    <row r="247" spans="1:34" x14ac:dyDescent="0.2">
      <c r="A247" s="347">
        <f t="shared" ca="1" si="93"/>
        <v>0.01</v>
      </c>
      <c r="B247" s="304">
        <f t="shared" ca="1" si="94"/>
        <v>2.4299999999999922</v>
      </c>
      <c r="D247" s="306">
        <f t="shared" ca="1" si="95"/>
        <v>33.585019718860018</v>
      </c>
      <c r="E247" s="307">
        <f t="shared" ca="1" si="96"/>
        <v>88.38940277202542</v>
      </c>
      <c r="F247" s="304">
        <f t="shared" ca="1" si="97"/>
        <v>94.554957944634253</v>
      </c>
      <c r="G247" s="306">
        <f t="shared" ca="1" si="98"/>
        <v>68.364969316927557</v>
      </c>
      <c r="H247" s="307">
        <f t="shared" ca="1" si="99"/>
        <v>199.79456683920236</v>
      </c>
      <c r="I247" s="304">
        <f t="shared" ca="1" si="100"/>
        <v>211.16732220722255</v>
      </c>
      <c r="J247" s="306">
        <f t="shared" ca="1" si="101"/>
        <v>75.394832745083548</v>
      </c>
      <c r="K247" s="307">
        <f t="shared" ca="1" si="102"/>
        <v>233.10535894678955</v>
      </c>
      <c r="L247" s="304">
        <f t="shared" ca="1" si="87"/>
        <v>244.99487581247638</v>
      </c>
      <c r="M247" s="306">
        <f t="shared" ca="1" si="103"/>
        <v>1.2411083102398908</v>
      </c>
      <c r="N247" s="304">
        <f t="shared" ca="1" si="104"/>
        <v>71.110268095358947</v>
      </c>
      <c r="P247" s="310">
        <f t="shared" ca="1" si="105"/>
        <v>8</v>
      </c>
      <c r="Q247" s="304">
        <f t="shared" ca="1" si="106"/>
        <v>2088.9159999999988</v>
      </c>
      <c r="R247" s="306">
        <f t="shared" ca="1" si="107"/>
        <v>1.2562200562283501</v>
      </c>
      <c r="S247" s="307">
        <f t="shared" ca="1" si="108"/>
        <v>17.241859385972621</v>
      </c>
      <c r="T247" s="304">
        <f t="shared" ca="1" si="88"/>
        <v>169.14264057639141</v>
      </c>
      <c r="U247" s="311">
        <f t="shared" ca="1" si="89"/>
        <v>0</v>
      </c>
      <c r="V247" s="306">
        <f t="shared" ca="1" si="90"/>
        <v>1.1967735800171133</v>
      </c>
      <c r="W247" s="304">
        <f t="shared" ca="1" si="91"/>
        <v>302.1288124821051</v>
      </c>
      <c r="Y247" s="314" t="str">
        <f t="shared" ca="1" si="109"/>
        <v/>
      </c>
      <c r="Z247" s="315" t="str">
        <f t="shared" ca="1" si="110"/>
        <v/>
      </c>
      <c r="AA247" s="316" t="str">
        <f t="shared" ca="1" si="111"/>
        <v/>
      </c>
      <c r="AC247" s="310" t="e">
        <f t="shared" ca="1" si="112"/>
        <v>#N/A</v>
      </c>
      <c r="AD247" s="323" t="e">
        <f t="shared" ca="1" si="113"/>
        <v>#N/A</v>
      </c>
      <c r="AE247" s="324">
        <f t="shared" ca="1" si="92"/>
        <v>233.10535894678955</v>
      </c>
      <c r="AG247" s="306">
        <f t="shared" ca="1" si="114"/>
        <v>94.50165167838604</v>
      </c>
      <c r="AH247" s="304">
        <f t="shared" ca="1" si="115"/>
        <v>103.78379572119479</v>
      </c>
    </row>
    <row r="248" spans="1:34" x14ac:dyDescent="0.2">
      <c r="A248" s="347">
        <f t="shared" ca="1" si="93"/>
        <v>0.01</v>
      </c>
      <c r="B248" s="304">
        <f t="shared" ca="1" si="94"/>
        <v>2.439999999999992</v>
      </c>
      <c r="D248" s="306">
        <f t="shared" ca="1" si="95"/>
        <v>33.755506040004917</v>
      </c>
      <c r="E248" s="307">
        <f t="shared" ca="1" si="96"/>
        <v>88.839451247994162</v>
      </c>
      <c r="F248" s="304">
        <f t="shared" ca="1" si="97"/>
        <v>95.036215655199257</v>
      </c>
      <c r="G248" s="306">
        <f t="shared" ca="1" si="98"/>
        <v>68.702524377327606</v>
      </c>
      <c r="H248" s="307">
        <f t="shared" ca="1" si="99"/>
        <v>200.68296135168231</v>
      </c>
      <c r="I248" s="304">
        <f t="shared" ca="1" si="100"/>
        <v>212.11715591318423</v>
      </c>
      <c r="J248" s="306">
        <f t="shared" ca="1" si="101"/>
        <v>76.080170213554823</v>
      </c>
      <c r="K248" s="307">
        <f t="shared" ca="1" si="102"/>
        <v>235.10774658774397</v>
      </c>
      <c r="L248" s="304">
        <f t="shared" ca="1" si="87"/>
        <v>247.11099693313997</v>
      </c>
      <c r="M248" s="306">
        <f t="shared" ca="1" si="103"/>
        <v>1.2409585832394976</v>
      </c>
      <c r="N248" s="304">
        <f t="shared" ca="1" si="104"/>
        <v>71.101689370157274</v>
      </c>
      <c r="P248" s="310">
        <f t="shared" ca="1" si="105"/>
        <v>9</v>
      </c>
      <c r="Q248" s="304">
        <f t="shared" ca="1" si="106"/>
        <v>2098.5319999999929</v>
      </c>
      <c r="R248" s="306">
        <f t="shared" ca="1" si="107"/>
        <v>1.2620028699272658</v>
      </c>
      <c r="S248" s="307">
        <f t="shared" ca="1" si="108"/>
        <v>17.229239357273347</v>
      </c>
      <c r="T248" s="304">
        <f t="shared" ca="1" si="88"/>
        <v>169.01883809485153</v>
      </c>
      <c r="U248" s="311">
        <f t="shared" ca="1" si="89"/>
        <v>0</v>
      </c>
      <c r="V248" s="306">
        <f t="shared" ca="1" si="90"/>
        <v>1.196533930713213</v>
      </c>
      <c r="W248" s="304">
        <f t="shared" ca="1" si="91"/>
        <v>304.79183921727946</v>
      </c>
      <c r="Y248" s="314" t="str">
        <f t="shared" ca="1" si="109"/>
        <v/>
      </c>
      <c r="Z248" s="315" t="str">
        <f t="shared" ca="1" si="110"/>
        <v/>
      </c>
      <c r="AA248" s="316" t="str">
        <f t="shared" ca="1" si="111"/>
        <v/>
      </c>
      <c r="AC248" s="310" t="e">
        <f t="shared" ca="1" si="112"/>
        <v>#N/A</v>
      </c>
      <c r="AD248" s="323" t="e">
        <f t="shared" ca="1" si="113"/>
        <v>#N/A</v>
      </c>
      <c r="AE248" s="324">
        <f t="shared" ca="1" si="92"/>
        <v>235.10774658774397</v>
      </c>
      <c r="AG248" s="306">
        <f t="shared" ca="1" si="114"/>
        <v>94.983132832195892</v>
      </c>
      <c r="AH248" s="304">
        <f t="shared" ca="1" si="115"/>
        <v>104.26479952288398</v>
      </c>
    </row>
    <row r="249" spans="1:34" x14ac:dyDescent="0.2">
      <c r="A249" s="347">
        <f t="shared" ca="1" si="93"/>
        <v>0.01</v>
      </c>
      <c r="B249" s="304">
        <f t="shared" ca="1" si="94"/>
        <v>2.4499999999999917</v>
      </c>
      <c r="D249" s="306">
        <f t="shared" ca="1" si="95"/>
        <v>33.925947762114802</v>
      </c>
      <c r="E249" s="307">
        <f t="shared" ca="1" si="96"/>
        <v>89.289119359440789</v>
      </c>
      <c r="F249" s="304">
        <f t="shared" ca="1" si="97"/>
        <v>95.517101963691331</v>
      </c>
      <c r="G249" s="306">
        <f t="shared" ca="1" si="98"/>
        <v>69.041783854948747</v>
      </c>
      <c r="H249" s="307">
        <f t="shared" ca="1" si="99"/>
        <v>201.57585254527672</v>
      </c>
      <c r="I249" s="304">
        <f t="shared" ca="1" si="100"/>
        <v>213.07180068518829</v>
      </c>
      <c r="J249" s="306">
        <f t="shared" ca="1" si="101"/>
        <v>76.768891754716208</v>
      </c>
      <c r="K249" s="307">
        <f t="shared" ca="1" si="102"/>
        <v>237.11904065722877</v>
      </c>
      <c r="L249" s="304">
        <f t="shared" ca="1" si="87"/>
        <v>249.23663892664706</v>
      </c>
      <c r="M249" s="306">
        <f t="shared" ca="1" si="103"/>
        <v>1.2408094618532381</v>
      </c>
      <c r="N249" s="304">
        <f t="shared" ca="1" si="104"/>
        <v>71.093145344089464</v>
      </c>
      <c r="P249" s="310">
        <f t="shared" ca="1" si="105"/>
        <v>9</v>
      </c>
      <c r="Q249" s="304">
        <f t="shared" ca="1" si="106"/>
        <v>2108.1479999999924</v>
      </c>
      <c r="R249" s="306">
        <f t="shared" ca="1" si="107"/>
        <v>1.2677856836261849</v>
      </c>
      <c r="S249" s="307">
        <f t="shared" ca="1" si="108"/>
        <v>17.216561500437084</v>
      </c>
      <c r="T249" s="304">
        <f t="shared" ca="1" si="88"/>
        <v>168.8944683192878</v>
      </c>
      <c r="U249" s="311">
        <f t="shared" ca="1" si="89"/>
        <v>0</v>
      </c>
      <c r="V249" s="306">
        <f t="shared" ca="1" si="90"/>
        <v>1.1962932632138463</v>
      </c>
      <c r="W249" s="304">
        <f t="shared" ca="1" si="91"/>
        <v>307.47961916466068</v>
      </c>
      <c r="Y249" s="314" t="str">
        <f t="shared" ca="1" si="109"/>
        <v/>
      </c>
      <c r="Z249" s="315" t="str">
        <f t="shared" ca="1" si="110"/>
        <v/>
      </c>
      <c r="AA249" s="316" t="str">
        <f t="shared" ca="1" si="111"/>
        <v/>
      </c>
      <c r="AC249" s="310" t="e">
        <f t="shared" ca="1" si="112"/>
        <v>#N/A</v>
      </c>
      <c r="AD249" s="323" t="e">
        <f t="shared" ca="1" si="113"/>
        <v>#N/A</v>
      </c>
      <c r="AE249" s="324">
        <f t="shared" ca="1" si="92"/>
        <v>237.11904065722877</v>
      </c>
      <c r="AG249" s="306">
        <f t="shared" ca="1" si="114"/>
        <v>95.464240294523108</v>
      </c>
      <c r="AH249" s="304">
        <f t="shared" ca="1" si="115"/>
        <v>104.74543135323104</v>
      </c>
    </row>
    <row r="250" spans="1:34" x14ac:dyDescent="0.2">
      <c r="A250" s="347">
        <f t="shared" ca="1" si="93"/>
        <v>0.01</v>
      </c>
      <c r="B250" s="304">
        <f t="shared" ca="1" si="94"/>
        <v>2.4599999999999915</v>
      </c>
      <c r="D250" s="306">
        <f t="shared" ca="1" si="95"/>
        <v>34.09634252797705</v>
      </c>
      <c r="E250" s="307">
        <f t="shared" ca="1" si="96"/>
        <v>89.738402865609231</v>
      </c>
      <c r="F250" s="304">
        <f t="shared" ca="1" si="97"/>
        <v>95.997612067465099</v>
      </c>
      <c r="G250" s="306">
        <f t="shared" ca="1" si="98"/>
        <v>69.382747280228514</v>
      </c>
      <c r="H250" s="307">
        <f t="shared" ca="1" si="99"/>
        <v>202.47323657393281</v>
      </c>
      <c r="I250" s="304">
        <f t="shared" ca="1" si="100"/>
        <v>214.03125273864987</v>
      </c>
      <c r="J250" s="306">
        <f t="shared" ca="1" si="101"/>
        <v>77.461014410392096</v>
      </c>
      <c r="K250" s="307">
        <f t="shared" ca="1" si="102"/>
        <v>239.13928610282483</v>
      </c>
      <c r="L250" s="304">
        <f t="shared" ca="1" si="87"/>
        <v>251.37184987833399</v>
      </c>
      <c r="M250" s="306">
        <f t="shared" ca="1" si="103"/>
        <v>1.2406609442803567</v>
      </c>
      <c r="N250" s="304">
        <f t="shared" ca="1" si="104"/>
        <v>71.084635913979824</v>
      </c>
      <c r="P250" s="310">
        <f t="shared" ca="1" si="105"/>
        <v>9</v>
      </c>
      <c r="Q250" s="304">
        <f t="shared" ca="1" si="106"/>
        <v>2117.7639999999924</v>
      </c>
      <c r="R250" s="306">
        <f t="shared" ca="1" si="107"/>
        <v>1.2735684973251042</v>
      </c>
      <c r="S250" s="307">
        <f t="shared" ca="1" si="108"/>
        <v>17.203825815463833</v>
      </c>
      <c r="T250" s="304">
        <f t="shared" ca="1" si="88"/>
        <v>168.76953124970021</v>
      </c>
      <c r="U250" s="311">
        <f t="shared" ca="1" si="89"/>
        <v>0</v>
      </c>
      <c r="V250" s="306">
        <f t="shared" ca="1" si="90"/>
        <v>1.1960515727635601</v>
      </c>
      <c r="W250" s="304">
        <f t="shared" ca="1" si="91"/>
        <v>310.19230394557906</v>
      </c>
      <c r="Y250" s="314" t="str">
        <f t="shared" ca="1" si="109"/>
        <v/>
      </c>
      <c r="Z250" s="315" t="str">
        <f t="shared" ca="1" si="110"/>
        <v/>
      </c>
      <c r="AA250" s="316" t="str">
        <f t="shared" ca="1" si="111"/>
        <v/>
      </c>
      <c r="AC250" s="310" t="e">
        <f t="shared" ca="1" si="112"/>
        <v>#N/A</v>
      </c>
      <c r="AD250" s="323" t="e">
        <f t="shared" ca="1" si="113"/>
        <v>#N/A</v>
      </c>
      <c r="AE250" s="324">
        <f t="shared" ca="1" si="92"/>
        <v>239.13928610282483</v>
      </c>
      <c r="AG250" s="306">
        <f t="shared" ca="1" si="114"/>
        <v>95.944969296768505</v>
      </c>
      <c r="AH250" s="304">
        <f t="shared" ca="1" si="115"/>
        <v>105.22568644052065</v>
      </c>
    </row>
    <row r="251" spans="1:34" x14ac:dyDescent="0.2">
      <c r="A251" s="347">
        <f t="shared" ca="1" si="93"/>
        <v>0.01</v>
      </c>
      <c r="B251" s="304">
        <f t="shared" ca="1" si="94"/>
        <v>2.4699999999999913</v>
      </c>
      <c r="D251" s="306">
        <f t="shared" ca="1" si="95"/>
        <v>34.266687971773941</v>
      </c>
      <c r="E251" s="307">
        <f t="shared" ca="1" si="96"/>
        <v>90.187297487976807</v>
      </c>
      <c r="F251" s="304">
        <f t="shared" ca="1" si="97"/>
        <v>96.477741125814845</v>
      </c>
      <c r="G251" s="306">
        <f t="shared" ca="1" si="98"/>
        <v>69.725414159946254</v>
      </c>
      <c r="H251" s="307">
        <f t="shared" ca="1" si="99"/>
        <v>203.37510954881259</v>
      </c>
      <c r="I251" s="304">
        <f t="shared" ca="1" si="100"/>
        <v>214.99550824091082</v>
      </c>
      <c r="J251" s="306">
        <f t="shared" ca="1" si="101"/>
        <v>78.156555217592967</v>
      </c>
      <c r="K251" s="307">
        <f t="shared" ca="1" si="102"/>
        <v>241.16852783343856</v>
      </c>
      <c r="L251" s="304">
        <f t="shared" ca="1" si="87"/>
        <v>253.51667783565776</v>
      </c>
      <c r="M251" s="306">
        <f t="shared" ca="1" si="103"/>
        <v>1.2405130287002497</v>
      </c>
      <c r="N251" s="304">
        <f t="shared" ca="1" si="104"/>
        <v>71.076160975515478</v>
      </c>
      <c r="P251" s="310">
        <f t="shared" ca="1" si="105"/>
        <v>9</v>
      </c>
      <c r="Q251" s="304">
        <f t="shared" ca="1" si="106"/>
        <v>2127.3799999999919</v>
      </c>
      <c r="R251" s="306">
        <f t="shared" ca="1" si="107"/>
        <v>1.2793513110240233</v>
      </c>
      <c r="S251" s="307">
        <f t="shared" ca="1" si="108"/>
        <v>17.191032302353594</v>
      </c>
      <c r="T251" s="304">
        <f t="shared" ca="1" si="88"/>
        <v>168.64402688608877</v>
      </c>
      <c r="U251" s="311">
        <f t="shared" ca="1" si="89"/>
        <v>0</v>
      </c>
      <c r="V251" s="306">
        <f t="shared" ca="1" si="90"/>
        <v>1.1958088546182781</v>
      </c>
      <c r="W251" s="304">
        <f t="shared" ca="1" si="91"/>
        <v>312.93004546653316</v>
      </c>
      <c r="Y251" s="314" t="str">
        <f t="shared" ca="1" si="109"/>
        <v/>
      </c>
      <c r="Z251" s="315" t="str">
        <f t="shared" ca="1" si="110"/>
        <v/>
      </c>
      <c r="AA251" s="316" t="str">
        <f t="shared" ca="1" si="111"/>
        <v/>
      </c>
      <c r="AC251" s="310" t="e">
        <f t="shared" ca="1" si="112"/>
        <v>#N/A</v>
      </c>
      <c r="AD251" s="323" t="e">
        <f t="shared" ca="1" si="113"/>
        <v>#N/A</v>
      </c>
      <c r="AE251" s="324">
        <f t="shared" ca="1" si="92"/>
        <v>241.16852783343856</v>
      </c>
      <c r="AG251" s="306">
        <f t="shared" ca="1" si="114"/>
        <v>96.425315031555641</v>
      </c>
      <c r="AH251" s="304">
        <f t="shared" ca="1" si="115"/>
        <v>105.70555997417472</v>
      </c>
    </row>
    <row r="252" spans="1:34" x14ac:dyDescent="0.2">
      <c r="A252" s="347">
        <f t="shared" ca="1" si="93"/>
        <v>0.01</v>
      </c>
      <c r="B252" s="304">
        <f t="shared" ca="1" si="94"/>
        <v>2.4799999999999911</v>
      </c>
      <c r="D252" s="306">
        <f t="shared" ca="1" si="95"/>
        <v>34.436981719143432</v>
      </c>
      <c r="E252" s="307">
        <f t="shared" ca="1" si="96"/>
        <v>90.63579891049946</v>
      </c>
      <c r="F252" s="304">
        <f t="shared" ca="1" si="97"/>
        <v>96.95748426021126</v>
      </c>
      <c r="G252" s="306">
        <f t="shared" ca="1" si="98"/>
        <v>70.069783977137689</v>
      </c>
      <c r="H252" s="307">
        <f t="shared" ca="1" si="99"/>
        <v>204.28146753791759</v>
      </c>
      <c r="I252" s="304">
        <f t="shared" ca="1" si="100"/>
        <v>215.96456331085434</v>
      </c>
      <c r="J252" s="306">
        <f t="shared" ca="1" si="101"/>
        <v>78.855531208278393</v>
      </c>
      <c r="K252" s="307">
        <f t="shared" ca="1" si="102"/>
        <v>243.20681071887222</v>
      </c>
      <c r="L252" s="304">
        <f t="shared" ca="1" si="87"/>
        <v>255.67117080770979</v>
      </c>
      <c r="M252" s="306">
        <f t="shared" ca="1" si="103"/>
        <v>1.2403657132730637</v>
      </c>
      <c r="N252" s="304">
        <f t="shared" ca="1" si="104"/>
        <v>71.067720423280548</v>
      </c>
      <c r="P252" s="310">
        <f t="shared" ca="1" si="105"/>
        <v>9</v>
      </c>
      <c r="Q252" s="304">
        <f t="shared" ca="1" si="106"/>
        <v>2136.9959999999919</v>
      </c>
      <c r="R252" s="306">
        <f t="shared" ca="1" si="107"/>
        <v>1.2851341247229426</v>
      </c>
      <c r="S252" s="307">
        <f t="shared" ca="1" si="108"/>
        <v>17.178180961106364</v>
      </c>
      <c r="T252" s="304">
        <f t="shared" ca="1" si="88"/>
        <v>168.51795522845345</v>
      </c>
      <c r="U252" s="311">
        <f t="shared" ca="1" si="89"/>
        <v>0</v>
      </c>
      <c r="V252" s="306">
        <f t="shared" ca="1" si="90"/>
        <v>1.1955651040453865</v>
      </c>
      <c r="W252" s="304">
        <f t="shared" ca="1" si="91"/>
        <v>315.69299590943712</v>
      </c>
      <c r="Y252" s="314" t="str">
        <f t="shared" ca="1" si="109"/>
        <v/>
      </c>
      <c r="Z252" s="315" t="str">
        <f t="shared" ca="1" si="110"/>
        <v/>
      </c>
      <c r="AA252" s="316" t="str">
        <f t="shared" ca="1" si="111"/>
        <v/>
      </c>
      <c r="AC252" s="310" t="e">
        <f t="shared" ca="1" si="112"/>
        <v>#N/A</v>
      </c>
      <c r="AD252" s="323" t="e">
        <f t="shared" ca="1" si="113"/>
        <v>#N/A</v>
      </c>
      <c r="AE252" s="324">
        <f t="shared" ca="1" si="92"/>
        <v>243.20681071887222</v>
      </c>
      <c r="AG252" s="306">
        <f t="shared" ca="1" si="114"/>
        <v>96.905272652985943</v>
      </c>
      <c r="AH252" s="304">
        <f t="shared" ca="1" si="115"/>
        <v>106.18504710500963</v>
      </c>
    </row>
    <row r="253" spans="1:34" x14ac:dyDescent="0.2">
      <c r="A253" s="347">
        <f t="shared" ca="1" si="93"/>
        <v>0.01</v>
      </c>
      <c r="B253" s="304">
        <f t="shared" ca="1" si="94"/>
        <v>2.4899999999999909</v>
      </c>
      <c r="D253" s="306">
        <f t="shared" ca="1" si="95"/>
        <v>34.607221387240692</v>
      </c>
      <c r="E253" s="307">
        <f t="shared" ca="1" si="96"/>
        <v>91.083902779860196</v>
      </c>
      <c r="F253" s="304">
        <f t="shared" ca="1" si="97"/>
        <v>97.436836554541898</v>
      </c>
      <c r="G253" s="306">
        <f t="shared" ca="1" si="98"/>
        <v>70.415856191010093</v>
      </c>
      <c r="H253" s="307">
        <f t="shared" ca="1" si="99"/>
        <v>205.19230656571619</v>
      </c>
      <c r="I253" s="304">
        <f t="shared" ca="1" si="100"/>
        <v>216.93841401852248</v>
      </c>
      <c r="J253" s="306">
        <f t="shared" ca="1" si="101"/>
        <v>79.557959409119135</v>
      </c>
      <c r="K253" s="307">
        <f t="shared" ca="1" si="102"/>
        <v>245.25417958939039</v>
      </c>
      <c r="L253" s="304">
        <f t="shared" ca="1" si="87"/>
        <v>257.83537676472559</v>
      </c>
      <c r="M253" s="306">
        <f t="shared" ca="1" si="103"/>
        <v>1.2402189961402847</v>
      </c>
      <c r="N253" s="304">
        <f t="shared" ca="1" si="104"/>
        <v>71.059314150790058</v>
      </c>
      <c r="P253" s="310">
        <f t="shared" ca="1" si="105"/>
        <v>9</v>
      </c>
      <c r="Q253" s="304">
        <f t="shared" ca="1" si="106"/>
        <v>2146.6119999999914</v>
      </c>
      <c r="R253" s="306">
        <f t="shared" ca="1" si="107"/>
        <v>1.2909169384218617</v>
      </c>
      <c r="S253" s="307">
        <f t="shared" ca="1" si="108"/>
        <v>17.165271791722144</v>
      </c>
      <c r="T253" s="304">
        <f t="shared" ca="1" si="88"/>
        <v>168.39131627679424</v>
      </c>
      <c r="U253" s="311">
        <f t="shared" ca="1" si="89"/>
        <v>0</v>
      </c>
      <c r="V253" s="306">
        <f t="shared" ca="1" si="90"/>
        <v>1.1953203163238231</v>
      </c>
      <c r="W253" s="304">
        <f t="shared" ca="1" si="91"/>
        <v>318.48130772179348</v>
      </c>
      <c r="Y253" s="314" t="str">
        <f t="shared" ca="1" si="109"/>
        <v/>
      </c>
      <c r="Z253" s="315" t="str">
        <f t="shared" ca="1" si="110"/>
        <v/>
      </c>
      <c r="AA253" s="316" t="str">
        <f t="shared" ca="1" si="111"/>
        <v/>
      </c>
      <c r="AC253" s="310" t="e">
        <f t="shared" ca="1" si="112"/>
        <v>#N/A</v>
      </c>
      <c r="AD253" s="323" t="e">
        <f t="shared" ca="1" si="113"/>
        <v>#N/A</v>
      </c>
      <c r="AE253" s="324">
        <f t="shared" ca="1" si="92"/>
        <v>245.25417958939039</v>
      </c>
      <c r="AG253" s="306">
        <f t="shared" ca="1" si="114"/>
        <v>97.384837276897528</v>
      </c>
      <c r="AH253" s="304">
        <f t="shared" ca="1" si="115"/>
        <v>106.66414294549678</v>
      </c>
    </row>
    <row r="254" spans="1:34" x14ac:dyDescent="0.2">
      <c r="A254" s="347">
        <f t="shared" ca="1" si="93"/>
        <v>0.01</v>
      </c>
      <c r="B254" s="304">
        <f t="shared" ca="1" si="94"/>
        <v>2.4999999999999907</v>
      </c>
      <c r="D254" s="306">
        <f t="shared" ca="1" si="95"/>
        <v>34.777404584800387</v>
      </c>
      <c r="E254" s="307">
        <f t="shared" ca="1" si="96"/>
        <v>91.531604705721861</v>
      </c>
      <c r="F254" s="304">
        <f t="shared" ca="1" si="97"/>
        <v>97.915793055356602</v>
      </c>
      <c r="G254" s="306">
        <f t="shared" ca="1" si="98"/>
        <v>70.763630236858091</v>
      </c>
      <c r="H254" s="307">
        <f t="shared" ca="1" si="99"/>
        <v>206.10762261277341</v>
      </c>
      <c r="I254" s="304">
        <f t="shared" ca="1" si="100"/>
        <v>217.91705638473599</v>
      </c>
      <c r="J254" s="306">
        <f t="shared" ca="1" si="101"/>
        <v>80.263856841258473</v>
      </c>
      <c r="K254" s="307">
        <f t="shared" ca="1" si="102"/>
        <v>247.31067923528283</v>
      </c>
      <c r="L254" s="304">
        <f t="shared" ca="1" si="87"/>
        <v>260.0093436375912</v>
      </c>
      <c r="M254" s="306">
        <f t="shared" ca="1" si="103"/>
        <v>1.2400728754253194</v>
      </c>
      <c r="N254" s="304">
        <f t="shared" ca="1" si="104"/>
        <v>71.050942050523105</v>
      </c>
      <c r="P254" s="310">
        <f t="shared" ca="1" si="105"/>
        <v>9</v>
      </c>
      <c r="Q254" s="304">
        <f t="shared" ca="1" si="106"/>
        <v>2156.2279999999914</v>
      </c>
      <c r="R254" s="306">
        <f t="shared" ca="1" si="107"/>
        <v>1.2966997521207813</v>
      </c>
      <c r="S254" s="307">
        <f t="shared" ca="1" si="108"/>
        <v>17.152304794200937</v>
      </c>
      <c r="T254" s="304">
        <f t="shared" ca="1" si="88"/>
        <v>168.26411003111119</v>
      </c>
      <c r="U254" s="311">
        <f t="shared" ca="1" si="89"/>
        <v>0</v>
      </c>
      <c r="V254" s="306">
        <f t="shared" ca="1" si="90"/>
        <v>1.1950744867441658</v>
      </c>
      <c r="W254" s="304">
        <f t="shared" ca="1" si="91"/>
        <v>321.29513360678936</v>
      </c>
      <c r="Y254" s="314" t="str">
        <f t="shared" ca="1" si="109"/>
        <v/>
      </c>
      <c r="Z254" s="315" t="str">
        <f t="shared" ca="1" si="110"/>
        <v/>
      </c>
      <c r="AA254" s="316" t="str">
        <f t="shared" ca="1" si="111"/>
        <v/>
      </c>
      <c r="AC254" s="310" t="e">
        <f t="shared" ca="1" si="112"/>
        <v>#N/A</v>
      </c>
      <c r="AD254" s="323" t="e">
        <f t="shared" ca="1" si="113"/>
        <v>#N/A</v>
      </c>
      <c r="AE254" s="324">
        <f t="shared" ca="1" si="92"/>
        <v>247.31067923528283</v>
      </c>
      <c r="AG254" s="306">
        <f t="shared" ca="1" si="114"/>
        <v>97.86400398112815</v>
      </c>
      <c r="AH254" s="304">
        <f t="shared" ca="1" si="115"/>
        <v>107.14284257002744</v>
      </c>
    </row>
    <row r="255" spans="1:34" x14ac:dyDescent="0.2">
      <c r="A255" s="347">
        <f t="shared" ca="1" si="93"/>
        <v>0.01</v>
      </c>
      <c r="B255" s="304">
        <f t="shared" ca="1" si="94"/>
        <v>2.5099999999999905</v>
      </c>
      <c r="D255" s="306">
        <f t="shared" ca="1" si="95"/>
        <v>34.947528912199708</v>
      </c>
      <c r="E255" s="307">
        <f t="shared" ca="1" si="96"/>
        <v>91.978900260983224</v>
      </c>
      <c r="F255" s="304">
        <f t="shared" ca="1" si="97"/>
        <v>98.394348772116658</v>
      </c>
      <c r="G255" s="306">
        <f t="shared" ca="1" si="98"/>
        <v>71.113105525980089</v>
      </c>
      <c r="H255" s="307">
        <f t="shared" ca="1" si="99"/>
        <v>207.02741161538324</v>
      </c>
      <c r="I255" s="304">
        <f t="shared" ca="1" si="100"/>
        <v>218.90048638071707</v>
      </c>
      <c r="J255" s="306">
        <f t="shared" ca="1" si="101"/>
        <v>80.973240520072665</v>
      </c>
      <c r="K255" s="307">
        <f t="shared" ca="1" si="102"/>
        <v>249.37635440642362</v>
      </c>
      <c r="L255" s="304">
        <f t="shared" ca="1" si="87"/>
        <v>262.19311931734541</v>
      </c>
      <c r="M255" s="306">
        <f t="shared" ca="1" si="103"/>
        <v>1.2399273492340659</v>
      </c>
      <c r="N255" s="304">
        <f t="shared" ca="1" si="104"/>
        <v>71.042604013955668</v>
      </c>
      <c r="P255" s="310">
        <f t="shared" ca="1" si="105"/>
        <v>9</v>
      </c>
      <c r="Q255" s="304">
        <f t="shared" ca="1" si="106"/>
        <v>2165.843999999991</v>
      </c>
      <c r="R255" s="306">
        <f t="shared" ca="1" si="107"/>
        <v>1.3024825658197001</v>
      </c>
      <c r="S255" s="307">
        <f t="shared" ca="1" si="108"/>
        <v>17.139279968542741</v>
      </c>
      <c r="T255" s="304">
        <f t="shared" ca="1" si="88"/>
        <v>168.13633649140431</v>
      </c>
      <c r="U255" s="311">
        <f t="shared" ca="1" si="89"/>
        <v>0</v>
      </c>
      <c r="V255" s="306">
        <f t="shared" ca="1" si="90"/>
        <v>1.1948276106087197</v>
      </c>
      <c r="W255" s="304">
        <f t="shared" ca="1" si="91"/>
        <v>324.13462651331633</v>
      </c>
      <c r="Y255" s="314" t="str">
        <f t="shared" ca="1" si="109"/>
        <v/>
      </c>
      <c r="Z255" s="315" t="str">
        <f t="shared" ca="1" si="110"/>
        <v/>
      </c>
      <c r="AA255" s="316" t="str">
        <f t="shared" ca="1" si="111"/>
        <v/>
      </c>
      <c r="AC255" s="310" t="e">
        <f t="shared" ca="1" si="112"/>
        <v>#N/A</v>
      </c>
      <c r="AD255" s="323" t="e">
        <f t="shared" ca="1" si="113"/>
        <v>#N/A</v>
      </c>
      <c r="AE255" s="324">
        <f t="shared" ca="1" si="92"/>
        <v>249.37635440642362</v>
      </c>
      <c r="AG255" s="306">
        <f t="shared" ca="1" si="114"/>
        <v>98.342767805781392</v>
      </c>
      <c r="AH255" s="304">
        <f t="shared" ca="1" si="115"/>
        <v>107.62114101518077</v>
      </c>
    </row>
    <row r="256" spans="1:34" x14ac:dyDescent="0.2">
      <c r="A256" s="347">
        <f t="shared" ca="1" si="93"/>
        <v>0.01</v>
      </c>
      <c r="B256" s="304">
        <f t="shared" ca="1" si="94"/>
        <v>2.5199999999999902</v>
      </c>
      <c r="D256" s="306">
        <f t="shared" ca="1" si="95"/>
        <v>35.117591961522287</v>
      </c>
      <c r="E256" s="307">
        <f t="shared" ca="1" si="96"/>
        <v>92.425784982039019</v>
      </c>
      <c r="F256" s="304">
        <f t="shared" ca="1" si="97"/>
        <v>98.872498677448633</v>
      </c>
      <c r="G256" s="306">
        <f t="shared" ca="1" si="98"/>
        <v>71.464281445595319</v>
      </c>
      <c r="H256" s="307">
        <f t="shared" ca="1" si="99"/>
        <v>207.95166946520362</v>
      </c>
      <c r="I256" s="304">
        <f t="shared" ca="1" si="100"/>
        <v>219.88869992771473</v>
      </c>
      <c r="J256" s="306">
        <f t="shared" ca="1" si="101"/>
        <v>81.686127454930542</v>
      </c>
      <c r="K256" s="307">
        <f t="shared" ca="1" si="102"/>
        <v>251.45124981182656</v>
      </c>
      <c r="L256" s="304">
        <f t="shared" ca="1" si="87"/>
        <v>264.38675165467873</v>
      </c>
      <c r="M256" s="306">
        <f t="shared" ca="1" si="103"/>
        <v>1.2397824156554784</v>
      </c>
      <c r="N256" s="304">
        <f t="shared" ca="1" si="104"/>
        <v>71.034299931592869</v>
      </c>
      <c r="P256" s="310">
        <f t="shared" ca="1" si="105"/>
        <v>9</v>
      </c>
      <c r="Q256" s="304">
        <f t="shared" ca="1" si="106"/>
        <v>2175.4599999999909</v>
      </c>
      <c r="R256" s="306">
        <f t="shared" ca="1" si="107"/>
        <v>1.3082653795186197</v>
      </c>
      <c r="S256" s="307">
        <f t="shared" ca="1" si="108"/>
        <v>17.126197314747554</v>
      </c>
      <c r="T256" s="304">
        <f t="shared" ca="1" si="88"/>
        <v>168.00799565767352</v>
      </c>
      <c r="U256" s="311">
        <f t="shared" ca="1" si="89"/>
        <v>0</v>
      </c>
      <c r="V256" s="306">
        <f t="shared" ca="1" si="90"/>
        <v>1.1945796832316056</v>
      </c>
      <c r="W256" s="304">
        <f t="shared" ca="1" si="91"/>
        <v>326.99993962591549</v>
      </c>
      <c r="Y256" s="314" t="str">
        <f t="shared" ca="1" si="109"/>
        <v/>
      </c>
      <c r="Z256" s="315" t="str">
        <f t="shared" ca="1" si="110"/>
        <v/>
      </c>
      <c r="AA256" s="316" t="str">
        <f t="shared" ca="1" si="111"/>
        <v/>
      </c>
      <c r="AC256" s="310" t="e">
        <f t="shared" ca="1" si="112"/>
        <v>#N/A</v>
      </c>
      <c r="AD256" s="323" t="e">
        <f t="shared" ca="1" si="113"/>
        <v>#N/A</v>
      </c>
      <c r="AE256" s="324">
        <f t="shared" ca="1" si="92"/>
        <v>251.45124981182656</v>
      </c>
      <c r="AG256" s="306">
        <f t="shared" ca="1" si="114"/>
        <v>98.821123753497076</v>
      </c>
      <c r="AH256" s="304">
        <f t="shared" ca="1" si="115"/>
        <v>108.09903327999604</v>
      </c>
    </row>
    <row r="257" spans="1:34" x14ac:dyDescent="0.2">
      <c r="A257" s="347">
        <f t="shared" ca="1" si="93"/>
        <v>0.01</v>
      </c>
      <c r="B257" s="304">
        <f t="shared" ca="1" si="94"/>
        <v>2.52999999999999</v>
      </c>
      <c r="D257" s="306">
        <f t="shared" ca="1" si="95"/>
        <v>35.203424183162731</v>
      </c>
      <c r="E257" s="307">
        <f t="shared" ca="1" si="96"/>
        <v>92.627339069217157</v>
      </c>
      <c r="F257" s="304">
        <f t="shared" ca="1" si="97"/>
        <v>99.091397291911321</v>
      </c>
      <c r="G257" s="306">
        <f t="shared" ca="1" si="98"/>
        <v>71.81631568742695</v>
      </c>
      <c r="H257" s="307">
        <f t="shared" ca="1" si="99"/>
        <v>208.87794285589578</v>
      </c>
      <c r="I257" s="304">
        <f t="shared" ca="1" si="100"/>
        <v>220.87910315515822</v>
      </c>
      <c r="J257" s="306">
        <f t="shared" ca="1" si="101"/>
        <v>82.402530440595655</v>
      </c>
      <c r="K257" s="307">
        <f t="shared" ca="1" si="102"/>
        <v>253.53539787343206</v>
      </c>
      <c r="L257" s="304">
        <f t="shared" ca="1" si="87"/>
        <v>266.5902755125415</v>
      </c>
      <c r="M257" s="306">
        <f t="shared" ca="1" si="103"/>
        <v>1.2396380710697448</v>
      </c>
      <c r="N257" s="304">
        <f t="shared" ca="1" si="104"/>
        <v>71.026029596034775</v>
      </c>
      <c r="P257" s="310">
        <f t="shared" ca="1" si="105"/>
        <v>10</v>
      </c>
      <c r="Q257" s="304">
        <f t="shared" ca="1" si="106"/>
        <v>2180.647045643153</v>
      </c>
      <c r="R257" s="306">
        <f t="shared" ca="1" si="107"/>
        <v>1.311384734614522</v>
      </c>
      <c r="S257" s="307">
        <f t="shared" ca="1" si="108"/>
        <v>17.11308346740141</v>
      </c>
      <c r="T257" s="304">
        <f t="shared" ca="1" si="88"/>
        <v>167.87934881520783</v>
      </c>
      <c r="U257" s="311">
        <f t="shared" ca="1" si="89"/>
        <v>0</v>
      </c>
      <c r="V257" s="306">
        <f t="shared" ca="1" si="90"/>
        <v>1.1943307014016364</v>
      </c>
      <c r="W257" s="304">
        <f t="shared" ca="1" si="91"/>
        <v>329.88349114264537</v>
      </c>
      <c r="Y257" s="314" t="str">
        <f t="shared" ca="1" si="109"/>
        <v/>
      </c>
      <c r="Z257" s="315" t="str">
        <f t="shared" ca="1" si="110"/>
        <v/>
      </c>
      <c r="AA257" s="316" t="str">
        <f t="shared" ca="1" si="111"/>
        <v/>
      </c>
      <c r="AC257" s="310" t="e">
        <f t="shared" ca="1" si="112"/>
        <v>#N/A</v>
      </c>
      <c r="AD257" s="323" t="e">
        <f t="shared" ca="1" si="113"/>
        <v>#N/A</v>
      </c>
      <c r="AE257" s="324">
        <f t="shared" ca="1" si="92"/>
        <v>253.53539787343206</v>
      </c>
      <c r="AG257" s="306">
        <f t="shared" ca="1" si="114"/>
        <v>99.040092639578802</v>
      </c>
      <c r="AH257" s="304">
        <f t="shared" ca="1" si="115"/>
        <v>108.31754017610191</v>
      </c>
    </row>
    <row r="258" spans="1:34" x14ac:dyDescent="0.2">
      <c r="A258" s="347">
        <f t="shared" ca="1" si="93"/>
        <v>0.01</v>
      </c>
      <c r="B258" s="304">
        <f t="shared" ca="1" si="94"/>
        <v>2.5399999999999898</v>
      </c>
      <c r="D258" s="306">
        <f t="shared" ca="1" si="95"/>
        <v>35.204814607558909</v>
      </c>
      <c r="E258" s="307">
        <f t="shared" ca="1" si="96"/>
        <v>92.583295777737717</v>
      </c>
      <c r="F258" s="304">
        <f t="shared" ca="1" si="97"/>
        <v>99.050722504283925</v>
      </c>
      <c r="G258" s="306">
        <f t="shared" ca="1" si="98"/>
        <v>72.168363833502539</v>
      </c>
      <c r="H258" s="307">
        <f t="shared" ca="1" si="99"/>
        <v>209.80377581367316</v>
      </c>
      <c r="I258" s="304">
        <f t="shared" ca="1" si="100"/>
        <v>221.86909898424076</v>
      </c>
      <c r="J258" s="306">
        <f t="shared" ca="1" si="101"/>
        <v>83.1224538382003</v>
      </c>
      <c r="K258" s="307">
        <f t="shared" ca="1" si="102"/>
        <v>255.62880646677991</v>
      </c>
      <c r="L258" s="304">
        <f t="shared" ca="1" si="87"/>
        <v>268.80369980287503</v>
      </c>
      <c r="M258" s="306">
        <f t="shared" ca="1" si="103"/>
        <v>1.2394943102037732</v>
      </c>
      <c r="N258" s="304">
        <f t="shared" ca="1" si="104"/>
        <v>71.017792705155458</v>
      </c>
      <c r="P258" s="310">
        <f t="shared" ca="1" si="105"/>
        <v>10</v>
      </c>
      <c r="Q258" s="304">
        <f t="shared" ca="1" si="106"/>
        <v>2181.4051369294598</v>
      </c>
      <c r="R258" s="306">
        <f t="shared" ca="1" si="107"/>
        <v>1.3118406311073969</v>
      </c>
      <c r="S258" s="307">
        <f t="shared" ca="1" si="108"/>
        <v>17.099965061090337</v>
      </c>
      <c r="T258" s="304">
        <f t="shared" ca="1" si="88"/>
        <v>167.75065724929621</v>
      </c>
      <c r="U258" s="311">
        <f t="shared" ca="1" si="89"/>
        <v>0</v>
      </c>
      <c r="V258" s="306">
        <f t="shared" ca="1" si="90"/>
        <v>1.1940806648449414</v>
      </c>
      <c r="W258" s="304">
        <f t="shared" ca="1" si="91"/>
        <v>332.77755811192816</v>
      </c>
      <c r="Y258" s="314" t="str">
        <f t="shared" ca="1" si="109"/>
        <v/>
      </c>
      <c r="Z258" s="315" t="str">
        <f t="shared" ca="1" si="110"/>
        <v/>
      </c>
      <c r="AA258" s="316" t="str">
        <f t="shared" ca="1" si="111"/>
        <v/>
      </c>
      <c r="AC258" s="310" t="e">
        <f t="shared" ca="1" si="112"/>
        <v>#N/A</v>
      </c>
      <c r="AD258" s="323" t="e">
        <f t="shared" ca="1" si="113"/>
        <v>#N/A</v>
      </c>
      <c r="AE258" s="324">
        <f t="shared" ca="1" si="92"/>
        <v>255.62880646677991</v>
      </c>
      <c r="AG258" s="306">
        <f t="shared" ca="1" si="114"/>
        <v>98.999353637750062</v>
      </c>
      <c r="AH258" s="304">
        <f t="shared" ca="1" si="115"/>
        <v>108.2763408680764</v>
      </c>
    </row>
    <row r="259" spans="1:34" x14ac:dyDescent="0.2">
      <c r="A259" s="347">
        <f t="shared" ca="1" si="93"/>
        <v>0.01</v>
      </c>
      <c r="B259" s="304">
        <f t="shared" ca="1" si="94"/>
        <v>2.5499999999999896</v>
      </c>
      <c r="D259" s="306">
        <f t="shared" ca="1" si="95"/>
        <v>35.205921945726338</v>
      </c>
      <c r="E259" s="307">
        <f t="shared" ca="1" si="96"/>
        <v>92.538660311263726</v>
      </c>
      <c r="F259" s="304">
        <f t="shared" ca="1" si="97"/>
        <v>99.009396484636909</v>
      </c>
      <c r="G259" s="306">
        <f t="shared" ca="1" si="98"/>
        <v>72.520423052959799</v>
      </c>
      <c r="H259" s="307">
        <f t="shared" ca="1" si="99"/>
        <v>210.72916241678578</v>
      </c>
      <c r="I259" s="304">
        <f t="shared" ca="1" si="100"/>
        <v>222.85868090038662</v>
      </c>
      <c r="J259" s="306">
        <f t="shared" ca="1" si="101"/>
        <v>83.845897772632611</v>
      </c>
      <c r="K259" s="307">
        <f t="shared" ca="1" si="102"/>
        <v>257.73147115793222</v>
      </c>
      <c r="L259" s="304">
        <f t="shared" ca="1" si="87"/>
        <v>271.02702042145319</v>
      </c>
      <c r="M259" s="306">
        <f t="shared" ca="1" si="103"/>
        <v>1.2393511278515308</v>
      </c>
      <c r="N259" s="304">
        <f t="shared" ca="1" si="104"/>
        <v>71.009588960671209</v>
      </c>
      <c r="P259" s="310">
        <f t="shared" ca="1" si="105"/>
        <v>10</v>
      </c>
      <c r="Q259" s="304">
        <f t="shared" ca="1" si="106"/>
        <v>2182.163228215767</v>
      </c>
      <c r="R259" s="306">
        <f t="shared" ca="1" si="107"/>
        <v>1.3122965276002723</v>
      </c>
      <c r="S259" s="307">
        <f t="shared" ca="1" si="108"/>
        <v>17.086842095814333</v>
      </c>
      <c r="T259" s="304">
        <f t="shared" ca="1" si="88"/>
        <v>167.62192095993862</v>
      </c>
      <c r="U259" s="311">
        <f t="shared" ca="1" si="89"/>
        <v>0</v>
      </c>
      <c r="V259" s="306">
        <f t="shared" ca="1" si="90"/>
        <v>1.193829574760829</v>
      </c>
      <c r="W259" s="304">
        <f t="shared" ca="1" si="91"/>
        <v>335.68208947450188</v>
      </c>
      <c r="Y259" s="314" t="str">
        <f t="shared" ca="1" si="109"/>
        <v/>
      </c>
      <c r="Z259" s="315" t="str">
        <f t="shared" ca="1" si="110"/>
        <v/>
      </c>
      <c r="AA259" s="316" t="str">
        <f t="shared" ca="1" si="111"/>
        <v/>
      </c>
      <c r="AC259" s="310" t="e">
        <f t="shared" ca="1" si="112"/>
        <v>#N/A</v>
      </c>
      <c r="AD259" s="323" t="e">
        <f t="shared" ca="1" si="113"/>
        <v>#N/A</v>
      </c>
      <c r="AE259" s="324">
        <f t="shared" ca="1" si="92"/>
        <v>257.73147115793222</v>
      </c>
      <c r="AG259" s="306">
        <f t="shared" ca="1" si="114"/>
        <v>98.957963171223767</v>
      </c>
      <c r="AH259" s="304">
        <f t="shared" ca="1" si="115"/>
        <v>108.23449176468205</v>
      </c>
    </row>
    <row r="260" spans="1:34" x14ac:dyDescent="0.2">
      <c r="A260" s="347">
        <f t="shared" ca="1" si="93"/>
        <v>0.01</v>
      </c>
      <c r="B260" s="304">
        <f t="shared" ca="1" si="94"/>
        <v>2.5599999999999894</v>
      </c>
      <c r="D260" s="306">
        <f t="shared" ca="1" si="95"/>
        <v>35.206747018621833</v>
      </c>
      <c r="E260" s="307">
        <f t="shared" ca="1" si="96"/>
        <v>92.49343396143567</v>
      </c>
      <c r="F260" s="304">
        <f t="shared" ca="1" si="97"/>
        <v>98.967420708088071</v>
      </c>
      <c r="G260" s="306">
        <f t="shared" ca="1" si="98"/>
        <v>72.872490523146013</v>
      </c>
      <c r="H260" s="307">
        <f t="shared" ca="1" si="99"/>
        <v>211.65409675640015</v>
      </c>
      <c r="I260" s="304">
        <f t="shared" ca="1" si="100"/>
        <v>223.8478424037489</v>
      </c>
      <c r="J260" s="306">
        <f t="shared" ca="1" si="101"/>
        <v>84.57286234051314</v>
      </c>
      <c r="K260" s="307">
        <f t="shared" ca="1" si="102"/>
        <v>259.84338745379813</v>
      </c>
      <c r="L260" s="304">
        <f t="shared" ref="L260:L323" ca="1" si="116">SQRT(pos_x^2+pos_z^2)</f>
        <v>273.26023319892715</v>
      </c>
      <c r="M260" s="306">
        <f t="shared" ca="1" si="103"/>
        <v>1.2392085188729045</v>
      </c>
      <c r="N260" s="304">
        <f t="shared" ca="1" si="104"/>
        <v>71.001418068075253</v>
      </c>
      <c r="P260" s="310">
        <f t="shared" ca="1" si="105"/>
        <v>10</v>
      </c>
      <c r="Q260" s="304">
        <f t="shared" ca="1" si="106"/>
        <v>2182.9213195020739</v>
      </c>
      <c r="R260" s="306">
        <f t="shared" ca="1" si="107"/>
        <v>1.3127524240931474</v>
      </c>
      <c r="S260" s="307">
        <f t="shared" ca="1" si="108"/>
        <v>17.073714571573401</v>
      </c>
      <c r="T260" s="304">
        <f t="shared" ref="T260:T323" ca="1" si="117">m*g</f>
        <v>167.49313994713506</v>
      </c>
      <c r="U260" s="311">
        <f t="shared" ref="U260:U323" ca="1" si="118">IF(pos_xz&lt;L_rampe,Poids*COS(Beta),0)</f>
        <v>0</v>
      </c>
      <c r="V260" s="306">
        <f t="shared" ref="V260:V323" ca="1" si="119">Rho_moyen*(20000-Alt_rampe-pos_z)/(20000+Alt_rampe+pos_z)</f>
        <v>1.1935774323578414</v>
      </c>
      <c r="W260" s="304">
        <f t="shared" ref="W260:W323" ca="1" si="120">1/2*Rho*Sref*Cx*vit_xz^2</f>
        <v>338.59703385524324</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259.84338745379813</v>
      </c>
      <c r="AG260" s="306">
        <f t="shared" ca="1" si="114"/>
        <v>98.915922712958903</v>
      </c>
      <c r="AH260" s="304">
        <f t="shared" ca="1" si="115"/>
        <v>108.19199432460364</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35.207290649580386</v>
      </c>
      <c r="E261" s="307">
        <f t="shared" ref="E261:E324" ca="1" si="125">IF(AND(L260&lt;L_rampe,Poussee&lt;Poids*SIN(M260)),0,(-W260+Poussee)/m*SIN(M260)+U260/m*COS(M260)-Poids/m)</f>
        <v>92.447618041888276</v>
      </c>
      <c r="F261" s="304">
        <f t="shared" ref="F261:F324" ca="1" si="126">SQRT(acc_x^2+acc_z^2)</f>
        <v>98.924796671526678</v>
      </c>
      <c r="G261" s="306">
        <f t="shared" ref="G261:G324" ca="1" si="127">G260+acc_x*pas</f>
        <v>73.224563429641819</v>
      </c>
      <c r="H261" s="307">
        <f t="shared" ref="H261:H324" ca="1" si="128">H260+acc_z*pas</f>
        <v>212.57857293681903</v>
      </c>
      <c r="I261" s="304">
        <f t="shared" ref="I261:I324" ca="1" si="129">SQRT(vit_x^2+vit_z^2)</f>
        <v>224.83657700942729</v>
      </c>
      <c r="J261" s="306">
        <f t="shared" ref="J261:J324" ca="1" si="130">J260+0.5*(vit_x+G260)*pas*(K260&gt;=0)</f>
        <v>85.303347610277086</v>
      </c>
      <c r="K261" s="307">
        <f t="shared" ref="K261:K324" ca="1" si="131">K260+0.5*(vit_z+H260)*pas</f>
        <v>261.96455080226423</v>
      </c>
      <c r="L261" s="304">
        <f t="shared" ca="1" si="116"/>
        <v>275.5033339009745</v>
      </c>
      <c r="M261" s="306">
        <f t="shared" ref="M261:M324" ca="1" si="132">IF(AND(L260&gt;L_rampe,G261&gt;0),ATAN2(G261,H261),$M$4)</f>
        <v>1.2390664781925884</v>
      </c>
      <c r="N261" s="304">
        <f t="shared" ref="N261:N324" ca="1" si="133">DEGREES(Beta)</f>
        <v>70.993279736573967</v>
      </c>
      <c r="P261" s="310">
        <f t="shared" ref="P261:P324" ca="1" si="134">MATCH(t-pas/2-T_ini,CdP_t)</f>
        <v>10</v>
      </c>
      <c r="Q261" s="304">
        <f t="shared" ref="Q261:Q324" ca="1" si="135">(INDEX(CdP,2,i_P+1)-INDEX(CdP,2,i_P+0))/(INDEX(CdP,1,i_P+1)-INDEX(CdP,1,i_P+0))*(t-pas/2-T_ini-INDEX(CdP,1,i_P+0))+INDEX(CdP,2,i_P+0)</f>
        <v>2183.6794107883811</v>
      </c>
      <c r="R261" s="306">
        <f t="shared" ref="R261:R324" ca="1" si="136">Poussee/(g*ISP)</f>
        <v>1.3132083205860228</v>
      </c>
      <c r="S261" s="307">
        <f t="shared" ref="S261:S324" ca="1" si="137">S260-Débit*pas</f>
        <v>17.06058248836754</v>
      </c>
      <c r="T261" s="304">
        <f t="shared" ca="1" si="117"/>
        <v>167.36431421088557</v>
      </c>
      <c r="U261" s="311">
        <f t="shared" ca="1" si="118"/>
        <v>0</v>
      </c>
      <c r="V261" s="306">
        <f t="shared" ca="1" si="119"/>
        <v>1.1933242388537229</v>
      </c>
      <c r="W261" s="304">
        <f t="shared" ca="1" si="120"/>
        <v>341.52233956603988</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261.96455080226423</v>
      </c>
      <c r="AG261" s="306">
        <f t="shared" ref="AG261:AG324" ca="1" si="143">IF(AND(L260&lt;L_rampe,Poussee&lt;Poids*SIN(M260)),0,(-W260+Poussee)/m-Poids*SIN(M260)/m)</f>
        <v>98.873233757704838</v>
      </c>
      <c r="AH261" s="304">
        <f t="shared" ref="AH261:AH324" ca="1" si="144">IF(AND(L260&lt;L_rampe,Poussee&lt;Poids*SIN(M260)), g*SIN(M260), (-W260+Poussee)/m)</f>
        <v>108.14885002848965</v>
      </c>
    </row>
    <row r="262" spans="1:34" x14ac:dyDescent="0.2">
      <c r="A262" s="347">
        <f t="shared" ca="1" si="122"/>
        <v>0.01</v>
      </c>
      <c r="B262" s="304">
        <f t="shared" ca="1" si="123"/>
        <v>2.579999999999989</v>
      </c>
      <c r="D262" s="306">
        <f t="shared" ca="1" si="124"/>
        <v>35.207553664393529</v>
      </c>
      <c r="E262" s="307">
        <f t="shared" ca="1" si="125"/>
        <v>92.401213888146245</v>
      </c>
      <c r="F262" s="304">
        <f t="shared" ca="1" si="126"/>
        <v>98.881525893536363</v>
      </c>
      <c r="G262" s="306">
        <f t="shared" ca="1" si="127"/>
        <v>73.576638966285756</v>
      </c>
      <c r="H262" s="307">
        <f t="shared" ca="1" si="128"/>
        <v>213.50258507570049</v>
      </c>
      <c r="I262" s="304">
        <f t="shared" ca="1" si="129"/>
        <v>225.82487824768529</v>
      </c>
      <c r="J262" s="306">
        <f t="shared" ca="1" si="130"/>
        <v>86.037353622256731</v>
      </c>
      <c r="K262" s="307">
        <f t="shared" ca="1" si="131"/>
        <v>264.09495659232681</v>
      </c>
      <c r="L262" s="304">
        <f t="shared" ca="1" si="116"/>
        <v>277.75631822845043</v>
      </c>
      <c r="M262" s="306">
        <f t="shared" ca="1" si="132"/>
        <v>1.2389250007989914</v>
      </c>
      <c r="N262" s="304">
        <f t="shared" ca="1" si="133"/>
        <v>70.985173679024356</v>
      </c>
      <c r="P262" s="310">
        <f t="shared" ca="1" si="134"/>
        <v>10</v>
      </c>
      <c r="Q262" s="304">
        <f t="shared" ca="1" si="135"/>
        <v>2184.4375020746879</v>
      </c>
      <c r="R262" s="306">
        <f t="shared" ca="1" si="136"/>
        <v>1.3136642170788977</v>
      </c>
      <c r="S262" s="307">
        <f t="shared" ca="1" si="137"/>
        <v>17.047445846196752</v>
      </c>
      <c r="T262" s="304">
        <f t="shared" ca="1" si="117"/>
        <v>167.23544375119013</v>
      </c>
      <c r="U262" s="311">
        <f t="shared" ca="1" si="118"/>
        <v>0</v>
      </c>
      <c r="V262" s="306">
        <f t="shared" ca="1" si="119"/>
        <v>1.1930699954753861</v>
      </c>
      <c r="W262" s="304">
        <f t="shared" ca="1" si="120"/>
        <v>344.45795460868402</v>
      </c>
      <c r="Y262" s="314" t="str">
        <f t="shared" ca="1" si="138"/>
        <v/>
      </c>
      <c r="Z262" s="315" t="str">
        <f t="shared" ca="1" si="139"/>
        <v/>
      </c>
      <c r="AA262" s="316" t="str">
        <f t="shared" ca="1" si="140"/>
        <v/>
      </c>
      <c r="AC262" s="310" t="e">
        <f t="shared" ca="1" si="141"/>
        <v>#N/A</v>
      </c>
      <c r="AD262" s="323" t="e">
        <f t="shared" ca="1" si="142"/>
        <v>#N/A</v>
      </c>
      <c r="AE262" s="324">
        <f t="shared" ca="1" si="121"/>
        <v>264.09495659232681</v>
      </c>
      <c r="AG262" s="306">
        <f t="shared" ca="1" si="143"/>
        <v>98.829897821923851</v>
      </c>
      <c r="AH262" s="304">
        <f t="shared" ca="1" si="144"/>
        <v>108.10506037887185</v>
      </c>
    </row>
    <row r="263" spans="1:34" x14ac:dyDescent="0.2">
      <c r="A263" s="347">
        <f t="shared" ca="1" si="122"/>
        <v>0.01</v>
      </c>
      <c r="B263" s="304">
        <f t="shared" ca="1" si="123"/>
        <v>2.5899999999999888</v>
      </c>
      <c r="D263" s="306">
        <f t="shared" ca="1" si="124"/>
        <v>35.207536891385423</v>
      </c>
      <c r="E263" s="307">
        <f t="shared" ca="1" si="125"/>
        <v>92.354222857519588</v>
      </c>
      <c r="F263" s="304">
        <f t="shared" ca="1" si="126"/>
        <v>98.837609914316829</v>
      </c>
      <c r="G263" s="306">
        <f t="shared" ca="1" si="127"/>
        <v>73.928714335199615</v>
      </c>
      <c r="H263" s="307">
        <f t="shared" ca="1" si="128"/>
        <v>214.4261273042757</v>
      </c>
      <c r="I263" s="304">
        <f t="shared" ca="1" si="129"/>
        <v>226.81273966416657</v>
      </c>
      <c r="J263" s="306">
        <f t="shared" ca="1" si="130"/>
        <v>86.77488038876416</v>
      </c>
      <c r="K263" s="307">
        <f t="shared" ca="1" si="131"/>
        <v>266.23460015422671</v>
      </c>
      <c r="L263" s="304">
        <f t="shared" ca="1" si="116"/>
        <v>280.01918181754138</v>
      </c>
      <c r="M263" s="306">
        <f t="shared" ca="1" si="132"/>
        <v>1.2387840817431712</v>
      </c>
      <c r="N263" s="304">
        <f t="shared" ca="1" si="133"/>
        <v>70.977099611872887</v>
      </c>
      <c r="P263" s="310">
        <f t="shared" ca="1" si="134"/>
        <v>10</v>
      </c>
      <c r="Q263" s="304">
        <f t="shared" ca="1" si="135"/>
        <v>2185.1955933609952</v>
      </c>
      <c r="R263" s="306">
        <f t="shared" ca="1" si="136"/>
        <v>1.3141201135717731</v>
      </c>
      <c r="S263" s="307">
        <f t="shared" ca="1" si="137"/>
        <v>17.034304645061034</v>
      </c>
      <c r="T263" s="304">
        <f t="shared" ca="1" si="117"/>
        <v>167.10652856804876</v>
      </c>
      <c r="U263" s="311">
        <f t="shared" ca="1" si="118"/>
        <v>0</v>
      </c>
      <c r="V263" s="306">
        <f t="shared" ca="1" si="119"/>
        <v>1.1928147034588805</v>
      </c>
      <c r="W263" s="304">
        <f t="shared" ca="1" si="120"/>
        <v>347.40382667778704</v>
      </c>
      <c r="Y263" s="314" t="str">
        <f t="shared" ca="1" si="138"/>
        <v/>
      </c>
      <c r="Z263" s="315" t="str">
        <f t="shared" ca="1" si="139"/>
        <v/>
      </c>
      <c r="AA263" s="316" t="str">
        <f t="shared" ca="1" si="140"/>
        <v/>
      </c>
      <c r="AC263" s="310" t="e">
        <f t="shared" ca="1" si="141"/>
        <v>#N/A</v>
      </c>
      <c r="AD263" s="323" t="e">
        <f t="shared" ca="1" si="142"/>
        <v>#N/A</v>
      </c>
      <c r="AE263" s="324">
        <f t="shared" ca="1" si="121"/>
        <v>266.23460015422671</v>
      </c>
      <c r="AG263" s="306">
        <f t="shared" ca="1" si="143"/>
        <v>98.785916443712694</v>
      </c>
      <c r="AH263" s="304">
        <f t="shared" ca="1" si="144"/>
        <v>108.06062690008417</v>
      </c>
    </row>
    <row r="264" spans="1:34" x14ac:dyDescent="0.2">
      <c r="A264" s="347">
        <f t="shared" ca="1" si="122"/>
        <v>0.01</v>
      </c>
      <c r="B264" s="304">
        <f t="shared" ca="1" si="123"/>
        <v>2.5999999999999885</v>
      </c>
      <c r="D264" s="306">
        <f t="shared" ca="1" si="124"/>
        <v>35.207241161485797</v>
      </c>
      <c r="E264" s="307">
        <f t="shared" ca="1" si="125"/>
        <v>92.306646328997815</v>
      </c>
      <c r="F264" s="304">
        <f t="shared" ca="1" si="126"/>
        <v>98.79305029560382</v>
      </c>
      <c r="G264" s="306">
        <f t="shared" ca="1" si="127"/>
        <v>74.280786746814471</v>
      </c>
      <c r="H264" s="307">
        <f t="shared" ca="1" si="128"/>
        <v>215.34919376756568</v>
      </c>
      <c r="I264" s="304">
        <f t="shared" ca="1" si="129"/>
        <v>227.80015482011044</v>
      </c>
      <c r="J264" s="306">
        <f t="shared" ca="1" si="130"/>
        <v>87.515927894174226</v>
      </c>
      <c r="K264" s="307">
        <f t="shared" ca="1" si="131"/>
        <v>268.3834767595859</v>
      </c>
      <c r="L264" s="304">
        <f t="shared" ca="1" si="116"/>
        <v>282.29192023992022</v>
      </c>
      <c r="M264" s="306">
        <f t="shared" ca="1" si="132"/>
        <v>1.2386437161377881</v>
      </c>
      <c r="N264" s="304">
        <f t="shared" ca="1" si="133"/>
        <v>70.969057255095635</v>
      </c>
      <c r="P264" s="310">
        <f t="shared" ca="1" si="134"/>
        <v>10</v>
      </c>
      <c r="Q264" s="304">
        <f t="shared" ca="1" si="135"/>
        <v>2185.953684647302</v>
      </c>
      <c r="R264" s="306">
        <f t="shared" ca="1" si="136"/>
        <v>1.314576010064648</v>
      </c>
      <c r="S264" s="307">
        <f t="shared" ca="1" si="137"/>
        <v>17.021158884960389</v>
      </c>
      <c r="T264" s="304">
        <f t="shared" ca="1" si="117"/>
        <v>166.97756866146142</v>
      </c>
      <c r="U264" s="311">
        <f t="shared" ca="1" si="118"/>
        <v>0</v>
      </c>
      <c r="V264" s="306">
        <f t="shared" ca="1" si="119"/>
        <v>1.1925583640493607</v>
      </c>
      <c r="W264" s="304">
        <f t="shared" ca="1" si="120"/>
        <v>350.35990316371419</v>
      </c>
      <c r="Y264" s="314" t="str">
        <f t="shared" ca="1" si="138"/>
        <v/>
      </c>
      <c r="Z264" s="315" t="str">
        <f t="shared" ca="1" si="139"/>
        <v/>
      </c>
      <c r="AA264" s="316" t="str">
        <f t="shared" ca="1" si="140"/>
        <v/>
      </c>
      <c r="AC264" s="310" t="e">
        <f t="shared" ca="1" si="141"/>
        <v>#N/A</v>
      </c>
      <c r="AD264" s="323" t="e">
        <f t="shared" ca="1" si="142"/>
        <v>#N/A</v>
      </c>
      <c r="AE264" s="324">
        <f t="shared" ca="1" si="121"/>
        <v>268.3834767595859</v>
      </c>
      <c r="AG264" s="306">
        <f t="shared" ca="1" si="143"/>
        <v>98.741291182722051</v>
      </c>
      <c r="AH264" s="304">
        <f t="shared" ca="1" si="144"/>
        <v>108.01555113817936</v>
      </c>
    </row>
    <row r="265" spans="1:34" x14ac:dyDescent="0.2">
      <c r="A265" s="347">
        <f t="shared" ca="1" si="122"/>
        <v>0.01</v>
      </c>
      <c r="B265" s="304">
        <f t="shared" ca="1" si="123"/>
        <v>2.6099999999999883</v>
      </c>
      <c r="D265" s="306">
        <f t="shared" ca="1" si="124"/>
        <v>35.206667308300737</v>
      </c>
      <c r="E265" s="307">
        <f t="shared" ca="1" si="125"/>
        <v>92.258485703143407</v>
      </c>
      <c r="F265" s="304">
        <f t="shared" ca="1" si="126"/>
        <v>98.747848620587618</v>
      </c>
      <c r="G265" s="306">
        <f t="shared" ca="1" si="127"/>
        <v>74.632853419897472</v>
      </c>
      <c r="H265" s="307">
        <f t="shared" ca="1" si="128"/>
        <v>216.27177862459712</v>
      </c>
      <c r="I265" s="304">
        <f t="shared" ca="1" si="129"/>
        <v>228.78711729256665</v>
      </c>
      <c r="J265" s="306">
        <f t="shared" ca="1" si="130"/>
        <v>88.260496095007781</v>
      </c>
      <c r="K265" s="307">
        <f t="shared" ca="1" si="131"/>
        <v>270.5415816215467</v>
      </c>
      <c r="L265" s="304">
        <f t="shared" ca="1" si="116"/>
        <v>284.57452900290446</v>
      </c>
      <c r="M265" s="306">
        <f t="shared" ca="1" si="132"/>
        <v>1.2385038991560824</v>
      </c>
      <c r="N265" s="304">
        <f t="shared" ca="1" si="133"/>
        <v>70.961046332139645</v>
      </c>
      <c r="P265" s="310">
        <f t="shared" ca="1" si="134"/>
        <v>10</v>
      </c>
      <c r="Q265" s="304">
        <f t="shared" ca="1" si="135"/>
        <v>2186.7117759336093</v>
      </c>
      <c r="R265" s="306">
        <f t="shared" ca="1" si="136"/>
        <v>1.3150319065575233</v>
      </c>
      <c r="S265" s="307">
        <f t="shared" ca="1" si="137"/>
        <v>17.008008565894816</v>
      </c>
      <c r="T265" s="304">
        <f t="shared" ca="1" si="117"/>
        <v>166.84856403142814</v>
      </c>
      <c r="U265" s="311">
        <f t="shared" ca="1" si="118"/>
        <v>0</v>
      </c>
      <c r="V265" s="306">
        <f t="shared" ca="1" si="119"/>
        <v>1.1923009785010508</v>
      </c>
      <c r="W265" s="304">
        <f t="shared" ca="1" si="120"/>
        <v>353.32613115553909</v>
      </c>
      <c r="Y265" s="314" t="str">
        <f t="shared" ca="1" si="138"/>
        <v/>
      </c>
      <c r="Z265" s="315" t="str">
        <f t="shared" ca="1" si="139"/>
        <v/>
      </c>
      <c r="AA265" s="316" t="str">
        <f t="shared" ca="1" si="140"/>
        <v/>
      </c>
      <c r="AC265" s="310" t="e">
        <f t="shared" ca="1" si="141"/>
        <v>#N/A</v>
      </c>
      <c r="AD265" s="323" t="e">
        <f t="shared" ca="1" si="142"/>
        <v>#N/A</v>
      </c>
      <c r="AE265" s="324">
        <f t="shared" ca="1" si="121"/>
        <v>270.5415816215467</v>
      </c>
      <c r="AG265" s="306">
        <f t="shared" ca="1" si="143"/>
        <v>98.696023620074953</v>
      </c>
      <c r="AH265" s="304">
        <f t="shared" ca="1" si="144"/>
        <v>107.9698346608448</v>
      </c>
    </row>
    <row r="266" spans="1:34" x14ac:dyDescent="0.2">
      <c r="A266" s="347">
        <f t="shared" ca="1" si="122"/>
        <v>0.01</v>
      </c>
      <c r="B266" s="304">
        <f t="shared" ca="1" si="123"/>
        <v>2.6199999999999881</v>
      </c>
      <c r="D266" s="306">
        <f t="shared" ca="1" si="124"/>
        <v>35.205816168180512</v>
      </c>
      <c r="E266" s="307">
        <f t="shared" ca="1" si="125"/>
        <v>92.209742401984371</v>
      </c>
      <c r="F266" s="304">
        <f t="shared" ca="1" si="126"/>
        <v>98.70200649382987</v>
      </c>
      <c r="G266" s="306">
        <f t="shared" ca="1" si="127"/>
        <v>74.984911581579283</v>
      </c>
      <c r="H266" s="307">
        <f t="shared" ca="1" si="128"/>
        <v>217.19387604861697</v>
      </c>
      <c r="I266" s="304">
        <f t="shared" ca="1" si="129"/>
        <v>229.7736206746093</v>
      </c>
      <c r="J266" s="306">
        <f t="shared" ca="1" si="130"/>
        <v>89.008584920015167</v>
      </c>
      <c r="K266" s="307">
        <f t="shared" ca="1" si="131"/>
        <v>272.70890989491278</v>
      </c>
      <c r="L266" s="304">
        <f t="shared" ca="1" si="116"/>
        <v>286.86700354961567</v>
      </c>
      <c r="M266" s="306">
        <f t="shared" ca="1" si="132"/>
        <v>1.2383646260308721</v>
      </c>
      <c r="N266" s="304">
        <f t="shared" ca="1" si="133"/>
        <v>70.953066569865484</v>
      </c>
      <c r="P266" s="310">
        <f t="shared" ca="1" si="134"/>
        <v>10</v>
      </c>
      <c r="Q266" s="304">
        <f t="shared" ca="1" si="135"/>
        <v>2187.4698672199161</v>
      </c>
      <c r="R266" s="306">
        <f t="shared" ca="1" si="136"/>
        <v>1.3154878030503985</v>
      </c>
      <c r="S266" s="307">
        <f t="shared" ca="1" si="137"/>
        <v>16.99485368786431</v>
      </c>
      <c r="T266" s="304">
        <f t="shared" ca="1" si="117"/>
        <v>166.71951467794889</v>
      </c>
      <c r="U266" s="311">
        <f t="shared" ca="1" si="118"/>
        <v>0</v>
      </c>
      <c r="V266" s="306">
        <f t="shared" ca="1" si="119"/>
        <v>1.1920425480772119</v>
      </c>
      <c r="W266" s="304">
        <f t="shared" ca="1" si="120"/>
        <v>356.30245744401867</v>
      </c>
      <c r="Y266" s="314" t="str">
        <f t="shared" ca="1" si="138"/>
        <v/>
      </c>
      <c r="Z266" s="315" t="str">
        <f t="shared" ca="1" si="139"/>
        <v/>
      </c>
      <c r="AA266" s="316" t="str">
        <f t="shared" ca="1" si="140"/>
        <v/>
      </c>
      <c r="AC266" s="310" t="e">
        <f t="shared" ca="1" si="141"/>
        <v>#N/A</v>
      </c>
      <c r="AD266" s="323" t="e">
        <f t="shared" ca="1" si="142"/>
        <v>#N/A</v>
      </c>
      <c r="AE266" s="324">
        <f t="shared" ca="1" si="121"/>
        <v>272.70890989491278</v>
      </c>
      <c r="AG266" s="306">
        <f t="shared" ca="1" si="143"/>
        <v>98.650115358283173</v>
      </c>
      <c r="AH266" s="304">
        <f t="shared" ca="1" si="144"/>
        <v>107.9234790573162</v>
      </c>
    </row>
    <row r="267" spans="1:34" x14ac:dyDescent="0.2">
      <c r="A267" s="347">
        <f t="shared" ca="1" si="122"/>
        <v>0.01</v>
      </c>
      <c r="B267" s="304">
        <f t="shared" ca="1" si="123"/>
        <v>2.6299999999999879</v>
      </c>
      <c r="D267" s="306">
        <f t="shared" ca="1" si="124"/>
        <v>35.204688580285158</v>
      </c>
      <c r="E267" s="307">
        <f t="shared" ca="1" si="125"/>
        <v>92.16041786890608</v>
      </c>
      <c r="F267" s="304">
        <f t="shared" ca="1" si="126"/>
        <v>98.655525541179102</v>
      </c>
      <c r="G267" s="306">
        <f t="shared" ca="1" si="127"/>
        <v>75.336958467382132</v>
      </c>
      <c r="H267" s="307">
        <f t="shared" ca="1" si="128"/>
        <v>218.11548022730602</v>
      </c>
      <c r="I267" s="304">
        <f t="shared" ca="1" si="129"/>
        <v>230.75965857554996</v>
      </c>
      <c r="J267" s="306">
        <f t="shared" ca="1" si="130"/>
        <v>89.760194270259973</v>
      </c>
      <c r="K267" s="307">
        <f t="shared" ca="1" si="131"/>
        <v>274.88545667629239</v>
      </c>
      <c r="L267" s="304">
        <f t="shared" ca="1" si="116"/>
        <v>289.16933925914179</v>
      </c>
      <c r="M267" s="306">
        <f t="shared" ca="1" si="132"/>
        <v>1.2382258920535725</v>
      </c>
      <c r="N267" s="304">
        <f t="shared" ca="1" si="133"/>
        <v>70.94511769849116</v>
      </c>
      <c r="P267" s="310">
        <f t="shared" ca="1" si="134"/>
        <v>10</v>
      </c>
      <c r="Q267" s="304">
        <f t="shared" ca="1" si="135"/>
        <v>2188.2279585062233</v>
      </c>
      <c r="R267" s="306">
        <f t="shared" ca="1" si="136"/>
        <v>1.3159436995432738</v>
      </c>
      <c r="S267" s="307">
        <f t="shared" ca="1" si="137"/>
        <v>16.981694250868877</v>
      </c>
      <c r="T267" s="304">
        <f t="shared" ca="1" si="117"/>
        <v>166.59042060102368</v>
      </c>
      <c r="U267" s="311">
        <f t="shared" ca="1" si="118"/>
        <v>0</v>
      </c>
      <c r="V267" s="306">
        <f t="shared" ca="1" si="119"/>
        <v>1.1917830740501101</v>
      </c>
      <c r="W267" s="304">
        <f t="shared" ca="1" si="120"/>
        <v>359.28882852458781</v>
      </c>
      <c r="Y267" s="314" t="str">
        <f t="shared" ca="1" si="138"/>
        <v/>
      </c>
      <c r="Z267" s="315" t="str">
        <f t="shared" ca="1" si="139"/>
        <v/>
      </c>
      <c r="AA267" s="316" t="str">
        <f t="shared" ca="1" si="140"/>
        <v/>
      </c>
      <c r="AC267" s="310" t="e">
        <f t="shared" ca="1" si="141"/>
        <v>#N/A</v>
      </c>
      <c r="AD267" s="323" t="e">
        <f t="shared" ca="1" si="142"/>
        <v>#N/A</v>
      </c>
      <c r="AE267" s="324">
        <f t="shared" ca="1" si="121"/>
        <v>274.88545667629239</v>
      </c>
      <c r="AG267" s="306">
        <f t="shared" ca="1" si="143"/>
        <v>98.603568021162573</v>
      </c>
      <c r="AH267" s="304">
        <f t="shared" ca="1" si="144"/>
        <v>107.87648593829047</v>
      </c>
    </row>
    <row r="268" spans="1:34" x14ac:dyDescent="0.2">
      <c r="A268" s="347">
        <f t="shared" ca="1" si="122"/>
        <v>0.01</v>
      </c>
      <c r="B268" s="304">
        <f t="shared" ca="1" si="123"/>
        <v>2.6399999999999877</v>
      </c>
      <c r="D268" s="306">
        <f t="shared" ca="1" si="124"/>
        <v>35.20328538664738</v>
      </c>
      <c r="E268" s="307">
        <f t="shared" ca="1" si="125"/>
        <v>92.110513568541919</v>
      </c>
      <c r="F268" s="304">
        <f t="shared" ca="1" si="126"/>
        <v>98.608407409684332</v>
      </c>
      <c r="G268" s="306">
        <f t="shared" ca="1" si="127"/>
        <v>75.688991321248608</v>
      </c>
      <c r="H268" s="307">
        <f t="shared" ca="1" si="128"/>
        <v>219.03658536299145</v>
      </c>
      <c r="I268" s="304">
        <f t="shared" ca="1" si="129"/>
        <v>231.74522462114959</v>
      </c>
      <c r="J268" s="306">
        <f t="shared" ca="1" si="130"/>
        <v>90.515324019203121</v>
      </c>
      <c r="K268" s="307">
        <f t="shared" ca="1" si="131"/>
        <v>277.07121700424386</v>
      </c>
      <c r="L268" s="304">
        <f t="shared" ca="1" si="116"/>
        <v>291.48153144670096</v>
      </c>
      <c r="M268" s="306">
        <f t="shared" ca="1" si="132"/>
        <v>1.2380876925732345</v>
      </c>
      <c r="N268" s="304">
        <f t="shared" ca="1" si="133"/>
        <v>70.937199451536898</v>
      </c>
      <c r="P268" s="310">
        <f t="shared" ca="1" si="134"/>
        <v>10</v>
      </c>
      <c r="Q268" s="304">
        <f t="shared" ca="1" si="135"/>
        <v>2188.9860497925301</v>
      </c>
      <c r="R268" s="306">
        <f t="shared" ca="1" si="136"/>
        <v>1.3163995960361488</v>
      </c>
      <c r="S268" s="307">
        <f t="shared" ca="1" si="137"/>
        <v>16.968530254908515</v>
      </c>
      <c r="T268" s="304">
        <f t="shared" ca="1" si="117"/>
        <v>166.46128180065253</v>
      </c>
      <c r="U268" s="311">
        <f t="shared" ca="1" si="118"/>
        <v>0</v>
      </c>
      <c r="V268" s="306">
        <f t="shared" ca="1" si="119"/>
        <v>1.1915225577009794</v>
      </c>
      <c r="W268" s="304">
        <f t="shared" ca="1" si="120"/>
        <v>362.28519060037127</v>
      </c>
      <c r="Y268" s="314" t="str">
        <f t="shared" ca="1" si="138"/>
        <v/>
      </c>
      <c r="Z268" s="315" t="str">
        <f t="shared" ca="1" si="139"/>
        <v/>
      </c>
      <c r="AA268" s="316" t="str">
        <f t="shared" ca="1" si="140"/>
        <v/>
      </c>
      <c r="AC268" s="310" t="e">
        <f t="shared" ca="1" si="141"/>
        <v>#N/A</v>
      </c>
      <c r="AD268" s="323" t="e">
        <f t="shared" ca="1" si="142"/>
        <v>#N/A</v>
      </c>
      <c r="AE268" s="324">
        <f t="shared" ca="1" si="121"/>
        <v>277.07121700424386</v>
      </c>
      <c r="AG268" s="306">
        <f t="shared" ca="1" si="143"/>
        <v>98.556383253746375</v>
      </c>
      <c r="AH268" s="304">
        <f t="shared" ca="1" si="144"/>
        <v>107.82885693583643</v>
      </c>
    </row>
    <row r="269" spans="1:34" x14ac:dyDescent="0.2">
      <c r="A269" s="347">
        <f t="shared" ca="1" si="122"/>
        <v>0.01</v>
      </c>
      <c r="B269" s="304">
        <f t="shared" ca="1" si="123"/>
        <v>2.6499999999999875</v>
      </c>
      <c r="D269" s="306">
        <f t="shared" ca="1" si="124"/>
        <v>35.201607432233381</v>
      </c>
      <c r="E269" s="307">
        <f t="shared" ca="1" si="125"/>
        <v>92.060030986663506</v>
      </c>
      <c r="F269" s="304">
        <f t="shared" ca="1" si="126"/>
        <v>98.560653767507617</v>
      </c>
      <c r="G269" s="306">
        <f t="shared" ca="1" si="127"/>
        <v>76.041007395570944</v>
      </c>
      <c r="H269" s="307">
        <f t="shared" ca="1" si="128"/>
        <v>219.95718567285809</v>
      </c>
      <c r="I269" s="304">
        <f t="shared" ca="1" si="129"/>
        <v>232.73031245383021</v>
      </c>
      <c r="J269" s="306">
        <f t="shared" ca="1" si="130"/>
        <v>91.273974012787221</v>
      </c>
      <c r="K269" s="307">
        <f t="shared" ca="1" si="131"/>
        <v>279.2661858594231</v>
      </c>
      <c r="L269" s="304">
        <f t="shared" ca="1" si="116"/>
        <v>293.80357536380802</v>
      </c>
      <c r="M269" s="306">
        <f t="shared" ca="1" si="132"/>
        <v>1.2379500229956042</v>
      </c>
      <c r="N269" s="304">
        <f t="shared" ca="1" si="133"/>
        <v>70.929311565771329</v>
      </c>
      <c r="P269" s="310">
        <f t="shared" ca="1" si="134"/>
        <v>10</v>
      </c>
      <c r="Q269" s="304">
        <f t="shared" ca="1" si="135"/>
        <v>2189.7441410788374</v>
      </c>
      <c r="R269" s="306">
        <f t="shared" ca="1" si="136"/>
        <v>1.3168554925290241</v>
      </c>
      <c r="S269" s="307">
        <f t="shared" ca="1" si="137"/>
        <v>16.955361699983225</v>
      </c>
      <c r="T269" s="304">
        <f t="shared" ca="1" si="117"/>
        <v>166.33209827683544</v>
      </c>
      <c r="U269" s="311">
        <f t="shared" ca="1" si="118"/>
        <v>0</v>
      </c>
      <c r="V269" s="306">
        <f t="shared" ca="1" si="119"/>
        <v>1.1912610003199884</v>
      </c>
      <c r="W269" s="304">
        <f t="shared" ca="1" si="120"/>
        <v>365.29148958521711</v>
      </c>
      <c r="Y269" s="314" t="str">
        <f t="shared" ca="1" si="138"/>
        <v/>
      </c>
      <c r="Z269" s="315" t="str">
        <f t="shared" ca="1" si="139"/>
        <v/>
      </c>
      <c r="AA269" s="316" t="str">
        <f t="shared" ca="1" si="140"/>
        <v/>
      </c>
      <c r="AC269" s="310" t="e">
        <f t="shared" ca="1" si="141"/>
        <v>#N/A</v>
      </c>
      <c r="AD269" s="323" t="e">
        <f t="shared" ca="1" si="142"/>
        <v>#N/A</v>
      </c>
      <c r="AE269" s="324">
        <f t="shared" ca="1" si="121"/>
        <v>279.2661858594231</v>
      </c>
      <c r="AG269" s="306">
        <f t="shared" ca="1" si="143"/>
        <v>98.508562722197539</v>
      </c>
      <c r="AH269" s="304">
        <f t="shared" ca="1" si="144"/>
        <v>107.78059370330473</v>
      </c>
    </row>
    <row r="270" spans="1:34" x14ac:dyDescent="0.2">
      <c r="A270" s="347">
        <f t="shared" ca="1" si="122"/>
        <v>0.01</v>
      </c>
      <c r="B270" s="304">
        <f t="shared" ca="1" si="123"/>
        <v>2.6599999999999873</v>
      </c>
      <c r="D270" s="306">
        <f t="shared" ca="1" si="124"/>
        <v>35.199655565000882</v>
      </c>
      <c r="E270" s="307">
        <f t="shared" ca="1" si="125"/>
        <v>92.008971630069595</v>
      </c>
      <c r="F270" s="304">
        <f t="shared" ca="1" si="126"/>
        <v>98.512266303834721</v>
      </c>
      <c r="G270" s="306">
        <f t="shared" ca="1" si="127"/>
        <v>76.393003951220948</v>
      </c>
      <c r="H270" s="307">
        <f t="shared" ca="1" si="128"/>
        <v>220.8772753891588</v>
      </c>
      <c r="I270" s="304">
        <f t="shared" ca="1" si="129"/>
        <v>233.71491573288503</v>
      </c>
      <c r="J270" s="306">
        <f t="shared" ca="1" si="130"/>
        <v>92.036144069521185</v>
      </c>
      <c r="K270" s="307">
        <f t="shared" ca="1" si="131"/>
        <v>281.47035816473317</v>
      </c>
      <c r="L270" s="304">
        <f t="shared" ca="1" si="116"/>
        <v>296.13546619844243</v>
      </c>
      <c r="M270" s="306">
        <f t="shared" ca="1" si="132"/>
        <v>1.2378128787822011</v>
      </c>
      <c r="N270" s="304">
        <f t="shared" ca="1" si="133"/>
        <v>70.921453781158689</v>
      </c>
      <c r="P270" s="310">
        <f t="shared" ca="1" si="134"/>
        <v>10</v>
      </c>
      <c r="Q270" s="304">
        <f t="shared" ca="1" si="135"/>
        <v>2190.5022323651442</v>
      </c>
      <c r="R270" s="306">
        <f t="shared" ca="1" si="136"/>
        <v>1.317311389021899</v>
      </c>
      <c r="S270" s="307">
        <f t="shared" ca="1" si="137"/>
        <v>16.942188586093007</v>
      </c>
      <c r="T270" s="304">
        <f t="shared" ca="1" si="117"/>
        <v>166.20287002957241</v>
      </c>
      <c r="U270" s="311">
        <f t="shared" ca="1" si="118"/>
        <v>0</v>
      </c>
      <c r="V270" s="306">
        <f t="shared" ca="1" si="119"/>
        <v>1.1909984032062064</v>
      </c>
      <c r="W270" s="304">
        <f t="shared" ca="1" si="120"/>
        <v>368.30767110674708</v>
      </c>
      <c r="Y270" s="314" t="str">
        <f t="shared" ca="1" si="138"/>
        <v/>
      </c>
      <c r="Z270" s="315" t="str">
        <f t="shared" ca="1" si="139"/>
        <v/>
      </c>
      <c r="AA270" s="316" t="str">
        <f t="shared" ca="1" si="140"/>
        <v/>
      </c>
      <c r="AC270" s="310" t="e">
        <f t="shared" ca="1" si="141"/>
        <v>#N/A</v>
      </c>
      <c r="AD270" s="323" t="e">
        <f t="shared" ca="1" si="142"/>
        <v>#N/A</v>
      </c>
      <c r="AE270" s="324">
        <f t="shared" ca="1" si="121"/>
        <v>281.47035816473317</v>
      </c>
      <c r="AG270" s="306">
        <f t="shared" ca="1" si="143"/>
        <v>98.460108113719031</v>
      </c>
      <c r="AH270" s="304">
        <f t="shared" ca="1" si="144"/>
        <v>107.73169791523577</v>
      </c>
    </row>
    <row r="271" spans="1:34" x14ac:dyDescent="0.2">
      <c r="A271" s="347">
        <f t="shared" ca="1" si="122"/>
        <v>0.01</v>
      </c>
      <c r="B271" s="304">
        <f t="shared" ca="1" si="123"/>
        <v>2.6699999999999871</v>
      </c>
      <c r="D271" s="306">
        <f t="shared" ca="1" si="124"/>
        <v>35.19743063595525</v>
      </c>
      <c r="E271" s="307">
        <f t="shared" ca="1" si="125"/>
        <v>91.957337026474534</v>
      </c>
      <c r="F271" s="304">
        <f t="shared" ca="1" si="126"/>
        <v>98.463246728784569</v>
      </c>
      <c r="G271" s="306">
        <f t="shared" ca="1" si="127"/>
        <v>76.744978257580499</v>
      </c>
      <c r="H271" s="307">
        <f t="shared" ca="1" si="128"/>
        <v>221.79684875942354</v>
      </c>
      <c r="I271" s="304">
        <f t="shared" ca="1" si="129"/>
        <v>234.69902813468806</v>
      </c>
      <c r="J271" s="306">
        <f t="shared" ca="1" si="130"/>
        <v>92.801833980565192</v>
      </c>
      <c r="K271" s="307">
        <f t="shared" ca="1" si="131"/>
        <v>283.68372878547609</v>
      </c>
      <c r="L271" s="304">
        <f t="shared" ca="1" si="116"/>
        <v>298.47719907521906</v>
      </c>
      <c r="M271" s="306">
        <f t="shared" ca="1" si="132"/>
        <v>1.2376762554494147</v>
      </c>
      <c r="N271" s="304">
        <f t="shared" ca="1" si="133"/>
        <v>70.913625840807015</v>
      </c>
      <c r="P271" s="310">
        <f t="shared" ca="1" si="134"/>
        <v>10</v>
      </c>
      <c r="Q271" s="304">
        <f t="shared" ca="1" si="135"/>
        <v>2191.2603236514515</v>
      </c>
      <c r="R271" s="306">
        <f t="shared" ca="1" si="136"/>
        <v>1.3177672855147744</v>
      </c>
      <c r="S271" s="307">
        <f t="shared" ca="1" si="137"/>
        <v>16.92901091323786</v>
      </c>
      <c r="T271" s="304">
        <f t="shared" ca="1" si="117"/>
        <v>166.07359705886341</v>
      </c>
      <c r="U271" s="311">
        <f t="shared" ca="1" si="118"/>
        <v>0</v>
      </c>
      <c r="V271" s="306">
        <f t="shared" ca="1" si="119"/>
        <v>1.1907347676675675</v>
      </c>
      <c r="W271" s="304">
        <f t="shared" ca="1" si="120"/>
        <v>371.33368050942499</v>
      </c>
      <c r="Y271" s="314" t="str">
        <f t="shared" ca="1" si="138"/>
        <v/>
      </c>
      <c r="Z271" s="315" t="str">
        <f t="shared" ca="1" si="139"/>
        <v/>
      </c>
      <c r="AA271" s="316" t="str">
        <f t="shared" ca="1" si="140"/>
        <v/>
      </c>
      <c r="AC271" s="310" t="e">
        <f t="shared" ca="1" si="141"/>
        <v>#N/A</v>
      </c>
      <c r="AD271" s="323" t="e">
        <f t="shared" ca="1" si="142"/>
        <v>#N/A</v>
      </c>
      <c r="AE271" s="324">
        <f t="shared" ca="1" si="121"/>
        <v>283.68372878547609</v>
      </c>
      <c r="AG271" s="306">
        <f t="shared" ca="1" si="143"/>
        <v>98.411021136463177</v>
      </c>
      <c r="AH271" s="304">
        <f t="shared" ca="1" si="144"/>
        <v>107.6821712672666</v>
      </c>
    </row>
    <row r="272" spans="1:34" x14ac:dyDescent="0.2">
      <c r="A272" s="347">
        <f t="shared" ca="1" si="122"/>
        <v>0.01</v>
      </c>
      <c r="B272" s="304">
        <f t="shared" ca="1" si="123"/>
        <v>2.6799999999999868</v>
      </c>
      <c r="D272" s="306">
        <f t="shared" ca="1" si="124"/>
        <v>35.194933499203145</v>
      </c>
      <c r="E272" s="307">
        <f t="shared" ca="1" si="125"/>
        <v>91.905128724395411</v>
      </c>
      <c r="F272" s="304">
        <f t="shared" ca="1" si="126"/>
        <v>98.413596773316954</v>
      </c>
      <c r="G272" s="306">
        <f t="shared" ca="1" si="127"/>
        <v>77.096927592572527</v>
      </c>
      <c r="H272" s="307">
        <f t="shared" ca="1" si="128"/>
        <v>222.71590004666749</v>
      </c>
      <c r="I272" s="304">
        <f t="shared" ca="1" si="129"/>
        <v>235.68264335290274</v>
      </c>
      <c r="J272" s="306">
        <f t="shared" ca="1" si="130"/>
        <v>93.571043509815951</v>
      </c>
      <c r="K272" s="307">
        <f t="shared" ca="1" si="131"/>
        <v>285.90629252950657</v>
      </c>
      <c r="L272" s="304">
        <f t="shared" ca="1" si="116"/>
        <v>300.82876905556031</v>
      </c>
      <c r="M272" s="306">
        <f t="shared" ca="1" si="132"/>
        <v>1.2375401485676207</v>
      </c>
      <c r="N272" s="304">
        <f t="shared" ca="1" si="133"/>
        <v>70.905827490917545</v>
      </c>
      <c r="P272" s="310">
        <f t="shared" ca="1" si="134"/>
        <v>10</v>
      </c>
      <c r="Q272" s="304">
        <f t="shared" ca="1" si="135"/>
        <v>2192.0184149377583</v>
      </c>
      <c r="R272" s="306">
        <f t="shared" ca="1" si="136"/>
        <v>1.3182231820076495</v>
      </c>
      <c r="S272" s="307">
        <f t="shared" ca="1" si="137"/>
        <v>16.915828681417786</v>
      </c>
      <c r="T272" s="304">
        <f t="shared" ca="1" si="117"/>
        <v>165.94427936470848</v>
      </c>
      <c r="U272" s="311">
        <f t="shared" ca="1" si="118"/>
        <v>0</v>
      </c>
      <c r="V272" s="306">
        <f t="shared" ca="1" si="119"/>
        <v>1.1904700950208349</v>
      </c>
      <c r="W272" s="304">
        <f t="shared" ca="1" si="120"/>
        <v>374.36946285764481</v>
      </c>
      <c r="Y272" s="314" t="str">
        <f t="shared" ca="1" si="138"/>
        <v/>
      </c>
      <c r="Z272" s="315" t="str">
        <f t="shared" ca="1" si="139"/>
        <v/>
      </c>
      <c r="AA272" s="316" t="str">
        <f t="shared" ca="1" si="140"/>
        <v/>
      </c>
      <c r="AC272" s="310" t="e">
        <f t="shared" ca="1" si="141"/>
        <v>#N/A</v>
      </c>
      <c r="AD272" s="323" t="e">
        <f t="shared" ca="1" si="142"/>
        <v>#N/A</v>
      </c>
      <c r="AE272" s="324">
        <f t="shared" ca="1" si="121"/>
        <v>285.90629252950657</v>
      </c>
      <c r="AG272" s="306">
        <f t="shared" ca="1" si="143"/>
        <v>98.361303519439048</v>
      </c>
      <c r="AH272" s="304">
        <f t="shared" ca="1" si="144"/>
        <v>107.63201547603603</v>
      </c>
    </row>
    <row r="273" spans="1:34" x14ac:dyDescent="0.2">
      <c r="A273" s="347">
        <f t="shared" ca="1" si="122"/>
        <v>0.01</v>
      </c>
      <c r="B273" s="304">
        <f t="shared" ca="1" si="123"/>
        <v>2.6899999999999866</v>
      </c>
      <c r="D273" s="306">
        <f t="shared" ca="1" si="124"/>
        <v>35.192165012003954</v>
      </c>
      <c r="E273" s="307">
        <f t="shared" ca="1" si="125"/>
        <v>91.852348293038816</v>
      </c>
      <c r="F273" s="304">
        <f t="shared" ca="1" si="126"/>
        <v>98.363318189139108</v>
      </c>
      <c r="G273" s="306">
        <f t="shared" ca="1" si="127"/>
        <v>77.44884924269256</v>
      </c>
      <c r="H273" s="307">
        <f t="shared" ca="1" si="128"/>
        <v>223.63442352959788</v>
      </c>
      <c r="I273" s="304">
        <f t="shared" ca="1" si="129"/>
        <v>236.66575509868952</v>
      </c>
      <c r="J273" s="306">
        <f t="shared" ca="1" si="130"/>
        <v>94.343772393992282</v>
      </c>
      <c r="K273" s="307">
        <f t="shared" ca="1" si="131"/>
        <v>288.13804414738792</v>
      </c>
      <c r="L273" s="304">
        <f t="shared" ca="1" si="116"/>
        <v>303.19017113787095</v>
      </c>
      <c r="M273" s="306">
        <f t="shared" ca="1" si="132"/>
        <v>1.2374045537603133</v>
      </c>
      <c r="N273" s="304">
        <f t="shared" ca="1" si="133"/>
        <v>70.898058480734932</v>
      </c>
      <c r="P273" s="310">
        <f t="shared" ca="1" si="134"/>
        <v>10</v>
      </c>
      <c r="Q273" s="304">
        <f t="shared" ca="1" si="135"/>
        <v>2192.7765062240655</v>
      </c>
      <c r="R273" s="306">
        <f t="shared" ca="1" si="136"/>
        <v>1.3186790785005249</v>
      </c>
      <c r="S273" s="307">
        <f t="shared" ca="1" si="137"/>
        <v>16.902641890632779</v>
      </c>
      <c r="T273" s="304">
        <f t="shared" ca="1" si="117"/>
        <v>165.81491694710758</v>
      </c>
      <c r="U273" s="311">
        <f t="shared" ca="1" si="118"/>
        <v>0</v>
      </c>
      <c r="V273" s="306">
        <f t="shared" ca="1" si="119"/>
        <v>1.1902043865915657</v>
      </c>
      <c r="W273" s="304">
        <f t="shared" ca="1" si="120"/>
        <v>377.41496293883444</v>
      </c>
      <c r="Y273" s="314" t="str">
        <f t="shared" ca="1" si="138"/>
        <v/>
      </c>
      <c r="Z273" s="315" t="str">
        <f t="shared" ca="1" si="139"/>
        <v/>
      </c>
      <c r="AA273" s="316" t="str">
        <f t="shared" ca="1" si="140"/>
        <v/>
      </c>
      <c r="AC273" s="310" t="e">
        <f t="shared" ca="1" si="141"/>
        <v>#N/A</v>
      </c>
      <c r="AD273" s="323" t="e">
        <f t="shared" ca="1" si="142"/>
        <v>#N/A</v>
      </c>
      <c r="AE273" s="324">
        <f t="shared" ca="1" si="121"/>
        <v>288.13804414738792</v>
      </c>
      <c r="AG273" s="306">
        <f t="shared" ca="1" si="143"/>
        <v>98.310957012418811</v>
      </c>
      <c r="AH273" s="304">
        <f t="shared" ca="1" si="144"/>
        <v>107.58123227908875</v>
      </c>
    </row>
    <row r="274" spans="1:34" x14ac:dyDescent="0.2">
      <c r="A274" s="347">
        <f t="shared" ca="1" si="122"/>
        <v>0.01</v>
      </c>
      <c r="B274" s="304">
        <f t="shared" ca="1" si="123"/>
        <v>2.6999999999999864</v>
      </c>
      <c r="D274" s="306">
        <f t="shared" ca="1" si="124"/>
        <v>35.189126034819139</v>
      </c>
      <c r="E274" s="307">
        <f t="shared" ca="1" si="125"/>
        <v>91.798997322186068</v>
      </c>
      <c r="F274" s="304">
        <f t="shared" ca="1" si="126"/>
        <v>98.312412748610299</v>
      </c>
      <c r="G274" s="306">
        <f t="shared" ca="1" si="127"/>
        <v>77.800740503040757</v>
      </c>
      <c r="H274" s="307">
        <f t="shared" ca="1" si="128"/>
        <v>224.55241350281975</v>
      </c>
      <c r="I274" s="304">
        <f t="shared" ca="1" si="129"/>
        <v>237.64835710091251</v>
      </c>
      <c r="J274" s="306">
        <f t="shared" ca="1" si="130"/>
        <v>95.120020342720949</v>
      </c>
      <c r="K274" s="307">
        <f t="shared" ca="1" si="131"/>
        <v>290.37897833254999</v>
      </c>
      <c r="L274" s="304">
        <f t="shared" ca="1" si="116"/>
        <v>305.56140025771447</v>
      </c>
      <c r="M274" s="306">
        <f t="shared" ca="1" si="132"/>
        <v>1.2372694667032573</v>
      </c>
      <c r="N274" s="304">
        <f t="shared" ca="1" si="133"/>
        <v>70.890318562498777</v>
      </c>
      <c r="P274" s="310">
        <f t="shared" ca="1" si="134"/>
        <v>10</v>
      </c>
      <c r="Q274" s="304">
        <f t="shared" ca="1" si="135"/>
        <v>2193.5345975103724</v>
      </c>
      <c r="R274" s="306">
        <f t="shared" ca="1" si="136"/>
        <v>1.3191349749933998</v>
      </c>
      <c r="S274" s="307">
        <f t="shared" ca="1" si="137"/>
        <v>16.889450540882844</v>
      </c>
      <c r="T274" s="304">
        <f t="shared" ca="1" si="117"/>
        <v>165.68550980606071</v>
      </c>
      <c r="U274" s="311">
        <f t="shared" ca="1" si="118"/>
        <v>0</v>
      </c>
      <c r="V274" s="306">
        <f t="shared" ca="1" si="119"/>
        <v>1.1899376437140747</v>
      </c>
      <c r="W274" s="304">
        <f t="shared" ca="1" si="120"/>
        <v>380.47012526657778</v>
      </c>
      <c r="Y274" s="314" t="str">
        <f t="shared" ca="1" si="138"/>
        <v/>
      </c>
      <c r="Z274" s="315" t="str">
        <f t="shared" ca="1" si="139"/>
        <v/>
      </c>
      <c r="AA274" s="316" t="str">
        <f t="shared" ca="1" si="140"/>
        <v/>
      </c>
      <c r="AC274" s="310" t="e">
        <f t="shared" ca="1" si="141"/>
        <v>#N/A</v>
      </c>
      <c r="AD274" s="323" t="e">
        <f t="shared" ca="1" si="142"/>
        <v>#N/A</v>
      </c>
      <c r="AE274" s="324">
        <f t="shared" ca="1" si="121"/>
        <v>290.37897833254999</v>
      </c>
      <c r="AG274" s="306">
        <f t="shared" ca="1" si="143"/>
        <v>98.259983385842062</v>
      </c>
      <c r="AH274" s="304">
        <f t="shared" ca="1" si="144"/>
        <v>107.5298234347774</v>
      </c>
    </row>
    <row r="275" spans="1:34" x14ac:dyDescent="0.2">
      <c r="A275" s="347">
        <f t="shared" ca="1" si="122"/>
        <v>0.01</v>
      </c>
      <c r="B275" s="304">
        <f t="shared" ca="1" si="123"/>
        <v>2.7099999999999862</v>
      </c>
      <c r="D275" s="306">
        <f t="shared" ca="1" si="124"/>
        <v>35.185817431359375</v>
      </c>
      <c r="E275" s="307">
        <f t="shared" ca="1" si="125"/>
        <v>91.745077422078396</v>
      </c>
      <c r="F275" s="304">
        <f t="shared" ca="1" si="126"/>
        <v>98.260882244645614</v>
      </c>
      <c r="G275" s="306">
        <f t="shared" ca="1" si="127"/>
        <v>78.152598677354348</v>
      </c>
      <c r="H275" s="307">
        <f t="shared" ca="1" si="128"/>
        <v>225.46986427704053</v>
      </c>
      <c r="I275" s="304">
        <f t="shared" ca="1" si="129"/>
        <v>238.63044310634527</v>
      </c>
      <c r="J275" s="306">
        <f t="shared" ca="1" si="130"/>
        <v>95.899787038622918</v>
      </c>
      <c r="K275" s="307">
        <f t="shared" ca="1" si="131"/>
        <v>292.6290897214493</v>
      </c>
      <c r="L275" s="304">
        <f t="shared" ca="1" si="116"/>
        <v>307.9424512879919</v>
      </c>
      <c r="M275" s="306">
        <f t="shared" ca="1" si="132"/>
        <v>1.2371348831236544</v>
      </c>
      <c r="N275" s="304">
        <f t="shared" ca="1" si="133"/>
        <v>70.882607491395774</v>
      </c>
      <c r="P275" s="310">
        <f t="shared" ca="1" si="134"/>
        <v>10</v>
      </c>
      <c r="Q275" s="304">
        <f t="shared" ca="1" si="135"/>
        <v>2194.2926887966796</v>
      </c>
      <c r="R275" s="306">
        <f t="shared" ca="1" si="136"/>
        <v>1.3195908714862752</v>
      </c>
      <c r="S275" s="307">
        <f t="shared" ca="1" si="137"/>
        <v>16.876254632167981</v>
      </c>
      <c r="T275" s="304">
        <f t="shared" ca="1" si="117"/>
        <v>165.5560579415679</v>
      </c>
      <c r="U275" s="311">
        <f t="shared" ca="1" si="118"/>
        <v>0</v>
      </c>
      <c r="V275" s="306">
        <f t="shared" ca="1" si="119"/>
        <v>1.1896698677313975</v>
      </c>
      <c r="W275" s="304">
        <f t="shared" ca="1" si="120"/>
        <v>383.53489408375367</v>
      </c>
      <c r="Y275" s="314" t="str">
        <f t="shared" ca="1" si="138"/>
        <v/>
      </c>
      <c r="Z275" s="315" t="str">
        <f t="shared" ca="1" si="139"/>
        <v/>
      </c>
      <c r="AA275" s="316" t="str">
        <f t="shared" ca="1" si="140"/>
        <v/>
      </c>
      <c r="AC275" s="310" t="e">
        <f t="shared" ca="1" si="141"/>
        <v>#N/A</v>
      </c>
      <c r="AD275" s="323" t="e">
        <f t="shared" ca="1" si="142"/>
        <v>#N/A</v>
      </c>
      <c r="AE275" s="324">
        <f t="shared" ca="1" si="121"/>
        <v>292.6290897214493</v>
      </c>
      <c r="AG275" s="306">
        <f t="shared" ca="1" si="143"/>
        <v>98.208384430719491</v>
      </c>
      <c r="AH275" s="304">
        <f t="shared" ca="1" si="144"/>
        <v>107.47779072216404</v>
      </c>
    </row>
    <row r="276" spans="1:34" x14ac:dyDescent="0.2">
      <c r="A276" s="347">
        <f t="shared" ca="1" si="122"/>
        <v>0.01</v>
      </c>
      <c r="B276" s="304">
        <f t="shared" ca="1" si="123"/>
        <v>2.719999999999986</v>
      </c>
      <c r="D276" s="306">
        <f t="shared" ca="1" si="124"/>
        <v>35.182240068629689</v>
      </c>
      <c r="E276" s="307">
        <f t="shared" ca="1" si="125"/>
        <v>91.690590223300404</v>
      </c>
      <c r="F276" s="304">
        <f t="shared" ca="1" si="126"/>
        <v>98.208728490617801</v>
      </c>
      <c r="G276" s="306">
        <f t="shared" ca="1" si="127"/>
        <v>78.50442107804065</v>
      </c>
      <c r="H276" s="307">
        <f t="shared" ca="1" si="128"/>
        <v>226.38677017927353</v>
      </c>
      <c r="I276" s="304">
        <f t="shared" ca="1" si="129"/>
        <v>239.61200687987554</v>
      </c>
      <c r="J276" s="306">
        <f t="shared" ca="1" si="130"/>
        <v>96.68307213739989</v>
      </c>
      <c r="K276" s="307">
        <f t="shared" ca="1" si="131"/>
        <v>294.88837289373089</v>
      </c>
      <c r="L276" s="304">
        <f t="shared" ca="1" si="116"/>
        <v>310.33331903912244</v>
      </c>
      <c r="M276" s="306">
        <f t="shared" ca="1" si="132"/>
        <v>1.2370007987993292</v>
      </c>
      <c r="N276" s="304">
        <f t="shared" ca="1" si="133"/>
        <v>70.874925025513079</v>
      </c>
      <c r="P276" s="310">
        <f t="shared" ca="1" si="134"/>
        <v>10</v>
      </c>
      <c r="Q276" s="304">
        <f t="shared" ca="1" si="135"/>
        <v>2195.0507800829864</v>
      </c>
      <c r="R276" s="306">
        <f t="shared" ca="1" si="136"/>
        <v>1.3200467679791503</v>
      </c>
      <c r="S276" s="307">
        <f t="shared" ca="1" si="137"/>
        <v>16.86305416448819</v>
      </c>
      <c r="T276" s="304">
        <f t="shared" ca="1" si="117"/>
        <v>165.42656135362915</v>
      </c>
      <c r="U276" s="311">
        <f t="shared" ca="1" si="118"/>
        <v>0</v>
      </c>
      <c r="V276" s="306">
        <f t="shared" ca="1" si="119"/>
        <v>1.1894010599952549</v>
      </c>
      <c r="W276" s="304">
        <f t="shared" ca="1" si="120"/>
        <v>386.60921336569163</v>
      </c>
      <c r="Y276" s="314" t="str">
        <f t="shared" ca="1" si="138"/>
        <v/>
      </c>
      <c r="Z276" s="315" t="str">
        <f t="shared" ca="1" si="139"/>
        <v/>
      </c>
      <c r="AA276" s="316" t="str">
        <f t="shared" ca="1" si="140"/>
        <v/>
      </c>
      <c r="AC276" s="310" t="e">
        <f t="shared" ca="1" si="141"/>
        <v>#N/A</v>
      </c>
      <c r="AD276" s="323" t="e">
        <f t="shared" ca="1" si="142"/>
        <v>#N/A</v>
      </c>
      <c r="AE276" s="324">
        <f t="shared" ca="1" si="121"/>
        <v>294.88837289373089</v>
      </c>
      <c r="AG276" s="306">
        <f t="shared" ca="1" si="143"/>
        <v>98.156161958534312</v>
      </c>
      <c r="AH276" s="304">
        <f t="shared" ca="1" si="144"/>
        <v>107.42513594091952</v>
      </c>
    </row>
    <row r="277" spans="1:34" x14ac:dyDescent="0.2">
      <c r="A277" s="347">
        <f t="shared" ca="1" si="122"/>
        <v>0.01</v>
      </c>
      <c r="B277" s="304">
        <f t="shared" ca="1" si="123"/>
        <v>2.7299999999999858</v>
      </c>
      <c r="D277" s="306">
        <f t="shared" ca="1" si="124"/>
        <v>35.17839481697245</v>
      </c>
      <c r="E277" s="307">
        <f t="shared" ca="1" si="125"/>
        <v>91.635537376663322</v>
      </c>
      <c r="F277" s="304">
        <f t="shared" ca="1" si="126"/>
        <v>98.155953320257936</v>
      </c>
      <c r="G277" s="306">
        <f t="shared" ca="1" si="127"/>
        <v>78.856205026210375</v>
      </c>
      <c r="H277" s="307">
        <f t="shared" ca="1" si="128"/>
        <v>227.30312555304016</v>
      </c>
      <c r="I277" s="304">
        <f t="shared" ca="1" si="129"/>
        <v>240.59304220470895</v>
      </c>
      <c r="J277" s="306">
        <f t="shared" ca="1" si="130"/>
        <v>97.46987526792114</v>
      </c>
      <c r="K277" s="307">
        <f t="shared" ca="1" si="131"/>
        <v>297.15682237239247</v>
      </c>
      <c r="L277" s="304">
        <f t="shared" ca="1" si="116"/>
        <v>312.73399825922621</v>
      </c>
      <c r="M277" s="306">
        <f t="shared" ca="1" si="132"/>
        <v>1.2368672095579289</v>
      </c>
      <c r="N277" s="304">
        <f t="shared" ca="1" si="133"/>
        <v>70.867270925792482</v>
      </c>
      <c r="P277" s="310">
        <f t="shared" ca="1" si="134"/>
        <v>10</v>
      </c>
      <c r="Q277" s="304">
        <f t="shared" ca="1" si="135"/>
        <v>2195.8088713692937</v>
      </c>
      <c r="R277" s="306">
        <f t="shared" ca="1" si="136"/>
        <v>1.3205026644720255</v>
      </c>
      <c r="S277" s="307">
        <f t="shared" ca="1" si="137"/>
        <v>16.849849137843471</v>
      </c>
      <c r="T277" s="304">
        <f t="shared" ca="1" si="117"/>
        <v>165.29702004224447</v>
      </c>
      <c r="U277" s="311">
        <f t="shared" ca="1" si="118"/>
        <v>0</v>
      </c>
      <c r="V277" s="306">
        <f t="shared" ca="1" si="119"/>
        <v>1.1891312218660159</v>
      </c>
      <c r="W277" s="304">
        <f t="shared" ca="1" si="120"/>
        <v>389.69302682334398</v>
      </c>
      <c r="Y277" s="314" t="str">
        <f t="shared" ca="1" si="138"/>
        <v/>
      </c>
      <c r="Z277" s="315" t="str">
        <f t="shared" ca="1" si="139"/>
        <v/>
      </c>
      <c r="AA277" s="316" t="str">
        <f t="shared" ca="1" si="140"/>
        <v/>
      </c>
      <c r="AC277" s="310" t="e">
        <f t="shared" ca="1" si="141"/>
        <v>#N/A</v>
      </c>
      <c r="AD277" s="323" t="e">
        <f t="shared" ca="1" si="142"/>
        <v>#N/A</v>
      </c>
      <c r="AE277" s="324">
        <f t="shared" ca="1" si="121"/>
        <v>297.15682237239247</v>
      </c>
      <c r="AG277" s="306">
        <f t="shared" ca="1" si="143"/>
        <v>98.103317801142936</v>
      </c>
      <c r="AH277" s="304">
        <f t="shared" ca="1" si="144"/>
        <v>107.37186091122194</v>
      </c>
    </row>
    <row r="278" spans="1:34" x14ac:dyDescent="0.2">
      <c r="A278" s="347">
        <f t="shared" ca="1" si="122"/>
        <v>0.01</v>
      </c>
      <c r="B278" s="304">
        <f t="shared" ca="1" si="123"/>
        <v>2.7399999999999856</v>
      </c>
      <c r="D278" s="306">
        <f t="shared" ca="1" si="124"/>
        <v>35.174282550108423</v>
      </c>
      <c r="E278" s="307">
        <f t="shared" ca="1" si="125"/>
        <v>91.579920553086907</v>
      </c>
      <c r="F278" s="304">
        <f t="shared" ca="1" si="126"/>
        <v>98.10255858755454</v>
      </c>
      <c r="G278" s="306">
        <f t="shared" ca="1" si="127"/>
        <v>79.207947851711467</v>
      </c>
      <c r="H278" s="307">
        <f t="shared" ca="1" si="128"/>
        <v>228.21892475857103</v>
      </c>
      <c r="I278" s="304">
        <f t="shared" ca="1" si="129"/>
        <v>241.57354288257179</v>
      </c>
      <c r="J278" s="306">
        <f t="shared" ca="1" si="130"/>
        <v>98.260196032310745</v>
      </c>
      <c r="K278" s="307">
        <f t="shared" ca="1" si="131"/>
        <v>299.4344326239505</v>
      </c>
      <c r="L278" s="304">
        <f t="shared" ca="1" si="116"/>
        <v>315.1444836343091</v>
      </c>
      <c r="M278" s="306">
        <f t="shared" ca="1" si="132"/>
        <v>1.2367341112761405</v>
      </c>
      <c r="N278" s="304">
        <f t="shared" ca="1" si="133"/>
        <v>70.859644955985573</v>
      </c>
      <c r="P278" s="310">
        <f t="shared" ca="1" si="134"/>
        <v>10</v>
      </c>
      <c r="Q278" s="304">
        <f t="shared" ca="1" si="135"/>
        <v>2196.5669626556005</v>
      </c>
      <c r="R278" s="306">
        <f t="shared" ca="1" si="136"/>
        <v>1.3209585609649006</v>
      </c>
      <c r="S278" s="307">
        <f t="shared" ca="1" si="137"/>
        <v>16.836639552233823</v>
      </c>
      <c r="T278" s="304">
        <f t="shared" ca="1" si="117"/>
        <v>165.16743400741382</v>
      </c>
      <c r="U278" s="311">
        <f t="shared" ca="1" si="118"/>
        <v>0</v>
      </c>
      <c r="V278" s="306">
        <f t="shared" ca="1" si="119"/>
        <v>1.1888603547126582</v>
      </c>
      <c r="W278" s="304">
        <f t="shared" ca="1" si="120"/>
        <v>392.78627790647312</v>
      </c>
      <c r="Y278" s="314" t="str">
        <f t="shared" ca="1" si="138"/>
        <v/>
      </c>
      <c r="Z278" s="315" t="str">
        <f t="shared" ca="1" si="139"/>
        <v/>
      </c>
      <c r="AA278" s="316" t="str">
        <f t="shared" ca="1" si="140"/>
        <v/>
      </c>
      <c r="AC278" s="310" t="e">
        <f t="shared" ca="1" si="141"/>
        <v>#N/A</v>
      </c>
      <c r="AD278" s="323" t="e">
        <f t="shared" ca="1" si="142"/>
        <v>#N/A</v>
      </c>
      <c r="AE278" s="324">
        <f t="shared" ca="1" si="121"/>
        <v>299.4344326239505</v>
      </c>
      <c r="AG278" s="306">
        <f t="shared" ca="1" si="143"/>
        <v>98.049853810673696</v>
      </c>
      <c r="AH278" s="304">
        <f t="shared" ca="1" si="144"/>
        <v>107.31796747365344</v>
      </c>
    </row>
    <row r="279" spans="1:34" x14ac:dyDescent="0.2">
      <c r="A279" s="347">
        <f t="shared" ca="1" si="122"/>
        <v>0.01</v>
      </c>
      <c r="B279" s="304">
        <f t="shared" ca="1" si="123"/>
        <v>2.7499999999999853</v>
      </c>
      <c r="D279" s="306">
        <f t="shared" ca="1" si="124"/>
        <v>35.169904145175877</v>
      </c>
      <c r="E279" s="307">
        <f t="shared" ca="1" si="125"/>
        <v>91.52374144348093</v>
      </c>
      <c r="F279" s="304">
        <f t="shared" ca="1" si="126"/>
        <v>98.04854616665159</v>
      </c>
      <c r="G279" s="306">
        <f t="shared" ca="1" si="127"/>
        <v>79.559646893163219</v>
      </c>
      <c r="H279" s="307">
        <f t="shared" ca="1" si="128"/>
        <v>229.13416217300585</v>
      </c>
      <c r="I279" s="304">
        <f t="shared" ca="1" si="129"/>
        <v>242.55350273391264</v>
      </c>
      <c r="J279" s="306">
        <f t="shared" ca="1" si="130"/>
        <v>99.054034006035124</v>
      </c>
      <c r="K279" s="307">
        <f t="shared" ca="1" si="131"/>
        <v>301.72119805860837</v>
      </c>
      <c r="L279" s="304">
        <f t="shared" ca="1" si="116"/>
        <v>317.56476978844921</v>
      </c>
      <c r="M279" s="306">
        <f t="shared" ca="1" si="132"/>
        <v>1.2366014998789221</v>
      </c>
      <c r="N279" s="304">
        <f t="shared" ca="1" si="133"/>
        <v>70.852046882609613</v>
      </c>
      <c r="P279" s="310">
        <f t="shared" ca="1" si="134"/>
        <v>10</v>
      </c>
      <c r="Q279" s="304">
        <f t="shared" ca="1" si="135"/>
        <v>2197.3250539419078</v>
      </c>
      <c r="R279" s="306">
        <f t="shared" ca="1" si="136"/>
        <v>1.321414457457776</v>
      </c>
      <c r="S279" s="307">
        <f t="shared" ca="1" si="137"/>
        <v>16.823425407659244</v>
      </c>
      <c r="T279" s="304">
        <f t="shared" ca="1" si="117"/>
        <v>165.0378032491372</v>
      </c>
      <c r="U279" s="311">
        <f t="shared" ca="1" si="118"/>
        <v>0</v>
      </c>
      <c r="V279" s="306">
        <f t="shared" ca="1" si="119"/>
        <v>1.1885884599127352</v>
      </c>
      <c r="W279" s="304">
        <f t="shared" ca="1" si="120"/>
        <v>395.88890980685642</v>
      </c>
      <c r="Y279" s="314" t="str">
        <f t="shared" ca="1" si="138"/>
        <v/>
      </c>
      <c r="Z279" s="315" t="str">
        <f t="shared" ca="1" si="139"/>
        <v/>
      </c>
      <c r="AA279" s="316" t="str">
        <f t="shared" ca="1" si="140"/>
        <v/>
      </c>
      <c r="AC279" s="310" t="e">
        <f t="shared" ca="1" si="141"/>
        <v>#N/A</v>
      </c>
      <c r="AD279" s="323" t="e">
        <f t="shared" ca="1" si="142"/>
        <v>#N/A</v>
      </c>
      <c r="AE279" s="324">
        <f t="shared" ca="1" si="121"/>
        <v>301.72119805860837</v>
      </c>
      <c r="AG279" s="306">
        <f t="shared" ca="1" si="143"/>
        <v>97.99577185942475</v>
      </c>
      <c r="AH279" s="304">
        <f t="shared" ca="1" si="144"/>
        <v>107.263457489096</v>
      </c>
    </row>
    <row r="280" spans="1:34" x14ac:dyDescent="0.2">
      <c r="A280" s="347">
        <f t="shared" ca="1" si="122"/>
        <v>0.01</v>
      </c>
      <c r="B280" s="304">
        <f t="shared" ca="1" si="123"/>
        <v>2.7599999999999851</v>
      </c>
      <c r="D280" s="306">
        <f t="shared" ca="1" si="124"/>
        <v>35.165260482767671</v>
      </c>
      <c r="E280" s="307">
        <f t="shared" ca="1" si="125"/>
        <v>91.467001758625102</v>
      </c>
      <c r="F280" s="304">
        <f t="shared" ca="1" si="126"/>
        <v>97.993917951744479</v>
      </c>
      <c r="G280" s="306">
        <f t="shared" ca="1" si="127"/>
        <v>79.911299497990896</v>
      </c>
      <c r="H280" s="307">
        <f t="shared" ca="1" si="128"/>
        <v>230.04883219059209</v>
      </c>
      <c r="I280" s="304">
        <f t="shared" ca="1" si="129"/>
        <v>243.53291559810307</v>
      </c>
      <c r="J280" s="306">
        <f t="shared" ca="1" si="130"/>
        <v>99.851388737990888</v>
      </c>
      <c r="K280" s="307">
        <f t="shared" ca="1" si="131"/>
        <v>304.01711303042634</v>
      </c>
      <c r="L280" s="304">
        <f t="shared" ca="1" si="116"/>
        <v>319.99485128398618</v>
      </c>
      <c r="M280" s="306">
        <f t="shared" ca="1" si="132"/>
        <v>1.2364693713387505</v>
      </c>
      <c r="N280" s="304">
        <f t="shared" ca="1" si="133"/>
        <v>70.844476474904553</v>
      </c>
      <c r="P280" s="310">
        <f t="shared" ca="1" si="134"/>
        <v>10</v>
      </c>
      <c r="Q280" s="304">
        <f t="shared" ca="1" si="135"/>
        <v>2198.0831452282146</v>
      </c>
      <c r="R280" s="306">
        <f t="shared" ca="1" si="136"/>
        <v>1.3218703539506509</v>
      </c>
      <c r="S280" s="307">
        <f t="shared" ca="1" si="137"/>
        <v>16.810206704119736</v>
      </c>
      <c r="T280" s="304">
        <f t="shared" ca="1" si="117"/>
        <v>164.90812776741461</v>
      </c>
      <c r="U280" s="311">
        <f t="shared" ca="1" si="118"/>
        <v>0</v>
      </c>
      <c r="V280" s="306">
        <f t="shared" ca="1" si="119"/>
        <v>1.1883155388523323</v>
      </c>
      <c r="W280" s="304">
        <f t="shared" ca="1" si="120"/>
        <v>399.00086546150379</v>
      </c>
      <c r="Y280" s="314" t="str">
        <f t="shared" ca="1" si="138"/>
        <v/>
      </c>
      <c r="Z280" s="315" t="str">
        <f t="shared" ca="1" si="139"/>
        <v/>
      </c>
      <c r="AA280" s="316" t="str">
        <f t="shared" ca="1" si="140"/>
        <v/>
      </c>
      <c r="AC280" s="310" t="e">
        <f t="shared" ca="1" si="141"/>
        <v>#N/A</v>
      </c>
      <c r="AD280" s="323" t="e">
        <f t="shared" ca="1" si="142"/>
        <v>#N/A</v>
      </c>
      <c r="AE280" s="324">
        <f t="shared" ca="1" si="121"/>
        <v>304.01711303042634</v>
      </c>
      <c r="AG280" s="306">
        <f t="shared" ca="1" si="143"/>
        <v>97.94107383975981</v>
      </c>
      <c r="AH280" s="304">
        <f t="shared" ca="1" si="144"/>
        <v>107.20833283862525</v>
      </c>
    </row>
    <row r="281" spans="1:34" x14ac:dyDescent="0.2">
      <c r="A281" s="347">
        <f t="shared" ca="1" si="122"/>
        <v>0.01</v>
      </c>
      <c r="B281" s="304">
        <f t="shared" ca="1" si="123"/>
        <v>2.7699999999999849</v>
      </c>
      <c r="D281" s="306">
        <f t="shared" ca="1" si="124"/>
        <v>35.15619383322187</v>
      </c>
      <c r="E281" s="307">
        <f t="shared" ca="1" si="125"/>
        <v>91.397731402267098</v>
      </c>
      <c r="F281" s="304">
        <f t="shared" ca="1" si="126"/>
        <v>97.926009161611546</v>
      </c>
      <c r="G281" s="306">
        <f t="shared" ca="1" si="127"/>
        <v>80.262861436323121</v>
      </c>
      <c r="H281" s="307">
        <f t="shared" ca="1" si="128"/>
        <v>230.96280950461477</v>
      </c>
      <c r="I281" s="304">
        <f t="shared" ca="1" si="129"/>
        <v>244.51164859820355</v>
      </c>
      <c r="J281" s="306">
        <f t="shared" ca="1" si="130"/>
        <v>100.65225954266246</v>
      </c>
      <c r="K281" s="307">
        <f t="shared" ca="1" si="131"/>
        <v>306.3221712389024</v>
      </c>
      <c r="L281" s="304">
        <f t="shared" ca="1" si="116"/>
        <v>322.43472198812418</v>
      </c>
      <c r="M281" s="306">
        <f t="shared" ca="1" si="132"/>
        <v>1.2363377216066469</v>
      </c>
      <c r="N281" s="304">
        <f t="shared" ca="1" si="133"/>
        <v>70.836933500881003</v>
      </c>
      <c r="P281" s="310">
        <f t="shared" ca="1" si="134"/>
        <v>11</v>
      </c>
      <c r="Q281" s="304">
        <f t="shared" ca="1" si="135"/>
        <v>2198.6284962852892</v>
      </c>
      <c r="R281" s="306">
        <f t="shared" ca="1" si="136"/>
        <v>1.322198313971821</v>
      </c>
      <c r="S281" s="307">
        <f t="shared" ca="1" si="137"/>
        <v>16.796984720980017</v>
      </c>
      <c r="T281" s="304">
        <f t="shared" ca="1" si="117"/>
        <v>164.77842011281399</v>
      </c>
      <c r="U281" s="311">
        <f t="shared" ca="1" si="118"/>
        <v>0</v>
      </c>
      <c r="V281" s="306">
        <f t="shared" ca="1" si="119"/>
        <v>1.1880415929971666</v>
      </c>
      <c r="W281" s="304">
        <f t="shared" ca="1" si="120"/>
        <v>402.12167072394016</v>
      </c>
      <c r="Y281" s="314" t="str">
        <f t="shared" ca="1" si="138"/>
        <v/>
      </c>
      <c r="Z281" s="315" t="str">
        <f t="shared" ca="1" si="139"/>
        <v/>
      </c>
      <c r="AA281" s="316" t="str">
        <f t="shared" ca="1" si="140"/>
        <v/>
      </c>
      <c r="AC281" s="310" t="e">
        <f t="shared" ca="1" si="141"/>
        <v>#N/A</v>
      </c>
      <c r="AD281" s="323" t="e">
        <f t="shared" ca="1" si="142"/>
        <v>#N/A</v>
      </c>
      <c r="AE281" s="324">
        <f t="shared" ca="1" si="121"/>
        <v>306.3221712389024</v>
      </c>
      <c r="AG281" s="306">
        <f t="shared" ca="1" si="143"/>
        <v>97.873088120506296</v>
      </c>
      <c r="AH281" s="304">
        <f t="shared" ca="1" si="144"/>
        <v>107.13992187990669</v>
      </c>
    </row>
    <row r="282" spans="1:34" x14ac:dyDescent="0.2">
      <c r="A282" s="347">
        <f t="shared" ca="1" si="122"/>
        <v>0.01</v>
      </c>
      <c r="B282" s="304">
        <f t="shared" ca="1" si="123"/>
        <v>2.7799999999999847</v>
      </c>
      <c r="D282" s="306">
        <f t="shared" ca="1" si="124"/>
        <v>35.140614273759958</v>
      </c>
      <c r="E282" s="307">
        <f t="shared" ca="1" si="125"/>
        <v>91.309930876431167</v>
      </c>
      <c r="F282" s="304">
        <f t="shared" ca="1" si="126"/>
        <v>97.838470185279476</v>
      </c>
      <c r="G282" s="306">
        <f t="shared" ca="1" si="127"/>
        <v>80.614267579060723</v>
      </c>
      <c r="H282" s="307">
        <f t="shared" ca="1" si="128"/>
        <v>231.87590881337908</v>
      </c>
      <c r="I282" s="304">
        <f t="shared" ca="1" si="129"/>
        <v>245.48950532627435</v>
      </c>
      <c r="J282" s="306">
        <f t="shared" ca="1" si="130"/>
        <v>101.45664518773938</v>
      </c>
      <c r="K282" s="307">
        <f t="shared" ca="1" si="131"/>
        <v>308.63636483049237</v>
      </c>
      <c r="L282" s="304">
        <f t="shared" ca="1" si="116"/>
        <v>324.88437412182759</v>
      </c>
      <c r="M282" s="306">
        <f t="shared" ca="1" si="132"/>
        <v>1.2362065465795371</v>
      </c>
      <c r="N282" s="304">
        <f t="shared" ca="1" si="133"/>
        <v>70.829417725450085</v>
      </c>
      <c r="P282" s="310">
        <f t="shared" ca="1" si="134"/>
        <v>11</v>
      </c>
      <c r="Q282" s="304">
        <f t="shared" ca="1" si="135"/>
        <v>2198.854736998514</v>
      </c>
      <c r="R282" s="306">
        <f t="shared" ca="1" si="136"/>
        <v>1.3223343692854326</v>
      </c>
      <c r="S282" s="307">
        <f t="shared" ca="1" si="137"/>
        <v>16.783761377287163</v>
      </c>
      <c r="T282" s="304">
        <f t="shared" ca="1" si="117"/>
        <v>164.64869911118709</v>
      </c>
      <c r="U282" s="311">
        <f t="shared" ca="1" si="118"/>
        <v>0</v>
      </c>
      <c r="V282" s="306">
        <f t="shared" ca="1" si="119"/>
        <v>1.1877666239992268</v>
      </c>
      <c r="W282" s="304">
        <f t="shared" ca="1" si="120"/>
        <v>405.25063516219478</v>
      </c>
      <c r="Y282" s="314" t="str">
        <f t="shared" ca="1" si="138"/>
        <v/>
      </c>
      <c r="Z282" s="315" t="str">
        <f t="shared" ca="1" si="139"/>
        <v/>
      </c>
      <c r="AA282" s="316" t="str">
        <f t="shared" ca="1" si="140"/>
        <v/>
      </c>
      <c r="AC282" s="310" t="e">
        <f t="shared" ca="1" si="141"/>
        <v>#N/A</v>
      </c>
      <c r="AD282" s="323" t="e">
        <f t="shared" ca="1" si="142"/>
        <v>#N/A</v>
      </c>
      <c r="AE282" s="324">
        <f t="shared" ca="1" si="121"/>
        <v>308.63636483049237</v>
      </c>
      <c r="AG282" s="306">
        <f t="shared" ca="1" si="143"/>
        <v>97.78546160156418</v>
      </c>
      <c r="AH282" s="304">
        <f t="shared" ca="1" si="144"/>
        <v>107.05187150158281</v>
      </c>
    </row>
    <row r="283" spans="1:34" x14ac:dyDescent="0.2">
      <c r="A283" s="347">
        <f t="shared" ca="1" si="122"/>
        <v>0.01</v>
      </c>
      <c r="B283" s="304">
        <f t="shared" ca="1" si="123"/>
        <v>2.7899999999999845</v>
      </c>
      <c r="D283" s="306">
        <f t="shared" ca="1" si="124"/>
        <v>35.124761734830635</v>
      </c>
      <c r="E283" s="307">
        <f t="shared" ca="1" si="125"/>
        <v>91.221570387085947</v>
      </c>
      <c r="F283" s="304">
        <f t="shared" ca="1" si="126"/>
        <v>97.75031350750082</v>
      </c>
      <c r="G283" s="306">
        <f t="shared" ca="1" si="127"/>
        <v>80.965515196409029</v>
      </c>
      <c r="H283" s="307">
        <f t="shared" ca="1" si="128"/>
        <v>232.78812451724994</v>
      </c>
      <c r="I283" s="304">
        <f t="shared" ca="1" si="129"/>
        <v>246.46647960174747</v>
      </c>
      <c r="J283" s="306">
        <f t="shared" ca="1" si="130"/>
        <v>102.26454410161674</v>
      </c>
      <c r="K283" s="307">
        <f t="shared" ca="1" si="131"/>
        <v>310.95968499714553</v>
      </c>
      <c r="L283" s="304">
        <f t="shared" ca="1" si="116"/>
        <v>327.3437988932057</v>
      </c>
      <c r="M283" s="306">
        <f t="shared" ca="1" si="132"/>
        <v>1.2360758422034031</v>
      </c>
      <c r="N283" s="304">
        <f t="shared" ca="1" si="133"/>
        <v>70.821928916333718</v>
      </c>
      <c r="P283" s="310">
        <f t="shared" ca="1" si="134"/>
        <v>11</v>
      </c>
      <c r="Q283" s="304">
        <f t="shared" ca="1" si="135"/>
        <v>2199.0809777117383</v>
      </c>
      <c r="R283" s="306">
        <f t="shared" ca="1" si="136"/>
        <v>1.322470424599044</v>
      </c>
      <c r="S283" s="307">
        <f t="shared" ca="1" si="137"/>
        <v>16.770536673041175</v>
      </c>
      <c r="T283" s="304">
        <f t="shared" ca="1" si="117"/>
        <v>164.51896476253393</v>
      </c>
      <c r="U283" s="311">
        <f t="shared" ca="1" si="118"/>
        <v>0</v>
      </c>
      <c r="V283" s="306">
        <f t="shared" ca="1" si="119"/>
        <v>1.1874906336254631</v>
      </c>
      <c r="W283" s="304">
        <f t="shared" ca="1" si="120"/>
        <v>408.38768907363271</v>
      </c>
      <c r="Y283" s="314" t="str">
        <f t="shared" ca="1" si="138"/>
        <v/>
      </c>
      <c r="Z283" s="315" t="str">
        <f t="shared" ca="1" si="139"/>
        <v/>
      </c>
      <c r="AA283" s="316" t="str">
        <f t="shared" ca="1" si="140"/>
        <v/>
      </c>
      <c r="AC283" s="310" t="e">
        <f t="shared" ca="1" si="141"/>
        <v>#N/A</v>
      </c>
      <c r="AD283" s="323" t="e">
        <f t="shared" ca="1" si="142"/>
        <v>#N/A</v>
      </c>
      <c r="AE283" s="324">
        <f t="shared" ca="1" si="121"/>
        <v>310.95968499714553</v>
      </c>
      <c r="AG283" s="306">
        <f t="shared" ca="1" si="143"/>
        <v>97.697217020155193</v>
      </c>
      <c r="AH283" s="304">
        <f t="shared" ca="1" si="144"/>
        <v>106.96320442941733</v>
      </c>
    </row>
    <row r="284" spans="1:34" x14ac:dyDescent="0.2">
      <c r="A284" s="347">
        <f t="shared" ca="1" si="122"/>
        <v>0.01</v>
      </c>
      <c r="B284" s="304">
        <f t="shared" ca="1" si="123"/>
        <v>2.7999999999999843</v>
      </c>
      <c r="D284" s="306">
        <f t="shared" ca="1" si="124"/>
        <v>35.108637403230688</v>
      </c>
      <c r="E284" s="307">
        <f t="shared" ca="1" si="125"/>
        <v>91.132652382661902</v>
      </c>
      <c r="F284" s="304">
        <f t="shared" ca="1" si="126"/>
        <v>97.661541819749189</v>
      </c>
      <c r="G284" s="306">
        <f t="shared" ca="1" si="127"/>
        <v>81.316601570441335</v>
      </c>
      <c r="H284" s="307">
        <f t="shared" ca="1" si="128"/>
        <v>233.69945104107657</v>
      </c>
      <c r="I284" s="304">
        <f t="shared" ca="1" si="129"/>
        <v>247.44256527094615</v>
      </c>
      <c r="J284" s="306">
        <f t="shared" ca="1" si="130"/>
        <v>103.07595468545098</v>
      </c>
      <c r="K284" s="307">
        <f t="shared" ca="1" si="131"/>
        <v>313.29212287493715</v>
      </c>
      <c r="L284" s="304">
        <f t="shared" ca="1" si="116"/>
        <v>329.81298744864773</v>
      </c>
      <c r="M284" s="306">
        <f t="shared" ca="1" si="132"/>
        <v>1.2359456044725006</v>
      </c>
      <c r="N284" s="304">
        <f t="shared" ca="1" si="133"/>
        <v>70.814466844019648</v>
      </c>
      <c r="P284" s="310">
        <f t="shared" ca="1" si="134"/>
        <v>11</v>
      </c>
      <c r="Q284" s="304">
        <f t="shared" ca="1" si="135"/>
        <v>2199.3072184249627</v>
      </c>
      <c r="R284" s="306">
        <f t="shared" ca="1" si="136"/>
        <v>1.3226064799126553</v>
      </c>
      <c r="S284" s="307">
        <f t="shared" ca="1" si="137"/>
        <v>16.757310608242047</v>
      </c>
      <c r="T284" s="304">
        <f t="shared" ca="1" si="117"/>
        <v>164.38921706685448</v>
      </c>
      <c r="U284" s="311">
        <f t="shared" ca="1" si="118"/>
        <v>0</v>
      </c>
      <c r="V284" s="306">
        <f t="shared" ca="1" si="119"/>
        <v>1.1872136236509281</v>
      </c>
      <c r="W284" s="304">
        <f t="shared" ca="1" si="120"/>
        <v>411.53276257347557</v>
      </c>
      <c r="Y284" s="314" t="str">
        <f t="shared" ca="1" si="138"/>
        <v/>
      </c>
      <c r="Z284" s="315" t="str">
        <f t="shared" ca="1" si="139"/>
        <v/>
      </c>
      <c r="AA284" s="316" t="str">
        <f t="shared" ca="1" si="140"/>
        <v/>
      </c>
      <c r="AC284" s="310" t="e">
        <f t="shared" ca="1" si="141"/>
        <v>#N/A</v>
      </c>
      <c r="AD284" s="323" t="e">
        <f t="shared" ca="1" si="142"/>
        <v>#N/A</v>
      </c>
      <c r="AE284" s="324">
        <f t="shared" ca="1" si="121"/>
        <v>313.29212287493715</v>
      </c>
      <c r="AG284" s="306">
        <f t="shared" ca="1" si="143"/>
        <v>97.608357065478515</v>
      </c>
      <c r="AH284" s="304">
        <f t="shared" ca="1" si="144"/>
        <v>106.87392334128306</v>
      </c>
    </row>
    <row r="285" spans="1:34" x14ac:dyDescent="0.2">
      <c r="A285" s="347">
        <f t="shared" ca="1" si="122"/>
        <v>0.01</v>
      </c>
      <c r="B285" s="304">
        <f t="shared" ca="1" si="123"/>
        <v>2.8099999999999841</v>
      </c>
      <c r="D285" s="306">
        <f t="shared" ca="1" si="124"/>
        <v>35.09224246865179</v>
      </c>
      <c r="E285" s="307">
        <f t="shared" ca="1" si="125"/>
        <v>91.043179330422973</v>
      </c>
      <c r="F285" s="304">
        <f t="shared" ca="1" si="126"/>
        <v>97.572157832397068</v>
      </c>
      <c r="G285" s="306">
        <f t="shared" ca="1" si="127"/>
        <v>81.667523995127851</v>
      </c>
      <c r="H285" s="307">
        <f t="shared" ca="1" si="128"/>
        <v>234.60988283438081</v>
      </c>
      <c r="I285" s="304">
        <f t="shared" ca="1" si="129"/>
        <v>248.4177562072741</v>
      </c>
      <c r="J285" s="306">
        <f t="shared" ca="1" si="130"/>
        <v>103.89087531327883</v>
      </c>
      <c r="K285" s="307">
        <f t="shared" ca="1" si="131"/>
        <v>315.63366954431444</v>
      </c>
      <c r="L285" s="304">
        <f t="shared" ca="1" si="116"/>
        <v>332.29193087309346</v>
      </c>
      <c r="M285" s="306">
        <f t="shared" ca="1" si="132"/>
        <v>1.2358158294285946</v>
      </c>
      <c r="N285" s="304">
        <f t="shared" ca="1" si="133"/>
        <v>70.807031281717713</v>
      </c>
      <c r="P285" s="310">
        <f t="shared" ca="1" si="134"/>
        <v>11</v>
      </c>
      <c r="Q285" s="304">
        <f t="shared" ca="1" si="135"/>
        <v>2199.533459138187</v>
      </c>
      <c r="R285" s="306">
        <f t="shared" ca="1" si="136"/>
        <v>1.3227425352262667</v>
      </c>
      <c r="S285" s="307">
        <f t="shared" ca="1" si="137"/>
        <v>16.744083182889785</v>
      </c>
      <c r="T285" s="304">
        <f t="shared" ca="1" si="117"/>
        <v>164.25945602414879</v>
      </c>
      <c r="U285" s="311">
        <f t="shared" ca="1" si="118"/>
        <v>0</v>
      </c>
      <c r="V285" s="306">
        <f t="shared" ca="1" si="119"/>
        <v>1.1869355958587282</v>
      </c>
      <c r="W285" s="304">
        <f t="shared" ca="1" si="120"/>
        <v>414.68578559888397</v>
      </c>
      <c r="Y285" s="314" t="str">
        <f t="shared" ca="1" si="138"/>
        <v/>
      </c>
      <c r="Z285" s="315" t="str">
        <f t="shared" ca="1" si="139"/>
        <v/>
      </c>
      <c r="AA285" s="316" t="str">
        <f t="shared" ca="1" si="140"/>
        <v/>
      </c>
      <c r="AC285" s="310" t="e">
        <f t="shared" ca="1" si="141"/>
        <v>#N/A</v>
      </c>
      <c r="AD285" s="323" t="e">
        <f t="shared" ca="1" si="142"/>
        <v>#N/A</v>
      </c>
      <c r="AE285" s="324">
        <f t="shared" ca="1" si="121"/>
        <v>315.63366954431444</v>
      </c>
      <c r="AG285" s="306">
        <f t="shared" ca="1" si="143"/>
        <v>97.518884445642783</v>
      </c>
      <c r="AH285" s="304">
        <f t="shared" ca="1" si="144"/>
        <v>106.78403093409194</v>
      </c>
    </row>
    <row r="286" spans="1:34" x14ac:dyDescent="0.2">
      <c r="A286" s="347">
        <f t="shared" ca="1" si="122"/>
        <v>0.01</v>
      </c>
      <c r="B286" s="304">
        <f t="shared" ca="1" si="123"/>
        <v>2.8199999999999839</v>
      </c>
      <c r="D286" s="306">
        <f t="shared" ca="1" si="124"/>
        <v>35.07557812370132</v>
      </c>
      <c r="E286" s="307">
        <f t="shared" ca="1" si="125"/>
        <v>90.953153716288398</v>
      </c>
      <c r="F286" s="304">
        <f t="shared" ca="1" si="126"/>
        <v>97.482164274551579</v>
      </c>
      <c r="G286" s="306">
        <f t="shared" ca="1" si="127"/>
        <v>82.018279776364864</v>
      </c>
      <c r="H286" s="307">
        <f t="shared" ca="1" si="128"/>
        <v>235.51941437154369</v>
      </c>
      <c r="I286" s="304">
        <f t="shared" ca="1" si="129"/>
        <v>249.39204631140299</v>
      </c>
      <c r="J286" s="306">
        <f t="shared" ca="1" si="130"/>
        <v>104.70930433213628</v>
      </c>
      <c r="K286" s="307">
        <f t="shared" ca="1" si="131"/>
        <v>317.98431603034408</v>
      </c>
      <c r="L286" s="304">
        <f t="shared" ca="1" si="116"/>
        <v>334.78062019030563</v>
      </c>
      <c r="M286" s="306">
        <f t="shared" ca="1" si="132"/>
        <v>1.2356865131602064</v>
      </c>
      <c r="N286" s="304">
        <f t="shared" ca="1" si="133"/>
        <v>70.799622005316678</v>
      </c>
      <c r="P286" s="310">
        <f t="shared" ca="1" si="134"/>
        <v>11</v>
      </c>
      <c r="Q286" s="304">
        <f t="shared" ca="1" si="135"/>
        <v>2199.7596998514114</v>
      </c>
      <c r="R286" s="306">
        <f t="shared" ca="1" si="136"/>
        <v>1.3228785905398781</v>
      </c>
      <c r="S286" s="307">
        <f t="shared" ca="1" si="137"/>
        <v>16.730854396984387</v>
      </c>
      <c r="T286" s="304">
        <f t="shared" ca="1" si="117"/>
        <v>164.12968163441684</v>
      </c>
      <c r="U286" s="311">
        <f t="shared" ca="1" si="118"/>
        <v>0</v>
      </c>
      <c r="V286" s="306">
        <f t="shared" ca="1" si="119"/>
        <v>1.1866565520399737</v>
      </c>
      <c r="W286" s="304">
        <f t="shared" ca="1" si="120"/>
        <v>417.84668791304631</v>
      </c>
      <c r="Y286" s="314" t="str">
        <f t="shared" ca="1" si="138"/>
        <v/>
      </c>
      <c r="Z286" s="315" t="str">
        <f t="shared" ca="1" si="139"/>
        <v/>
      </c>
      <c r="AA286" s="316" t="str">
        <f t="shared" ca="1" si="140"/>
        <v/>
      </c>
      <c r="AC286" s="310" t="e">
        <f t="shared" ca="1" si="141"/>
        <v>#N/A</v>
      </c>
      <c r="AD286" s="323" t="e">
        <f t="shared" ca="1" si="142"/>
        <v>#N/A</v>
      </c>
      <c r="AE286" s="324">
        <f t="shared" ca="1" si="121"/>
        <v>317.98431603034408</v>
      </c>
      <c r="AG286" s="306">
        <f t="shared" ca="1" si="143"/>
        <v>97.428801887501706</v>
      </c>
      <c r="AH286" s="304">
        <f t="shared" ca="1" si="144"/>
        <v>106.69352992362863</v>
      </c>
    </row>
    <row r="287" spans="1:34" x14ac:dyDescent="0.2">
      <c r="A287" s="347">
        <f t="shared" ca="1" si="122"/>
        <v>0.01</v>
      </c>
      <c r="B287" s="304">
        <f t="shared" ca="1" si="123"/>
        <v>2.8299999999999836</v>
      </c>
      <c r="D287" s="306">
        <f t="shared" ca="1" si="124"/>
        <v>35.058645563921573</v>
      </c>
      <c r="E287" s="307">
        <f t="shared" ca="1" si="125"/>
        <v>90.862578044653631</v>
      </c>
      <c r="F287" s="304">
        <f t="shared" ca="1" si="126"/>
        <v>97.391563893888929</v>
      </c>
      <c r="G287" s="306">
        <f t="shared" ca="1" si="127"/>
        <v>82.368866232004081</v>
      </c>
      <c r="H287" s="307">
        <f t="shared" ca="1" si="128"/>
        <v>236.42804015199022</v>
      </c>
      <c r="I287" s="304">
        <f t="shared" ca="1" si="129"/>
        <v>250.36542951145807</v>
      </c>
      <c r="J287" s="306">
        <f t="shared" ca="1" si="130"/>
        <v>105.53124006217813</v>
      </c>
      <c r="K287" s="307">
        <f t="shared" ca="1" si="131"/>
        <v>320.34405330296175</v>
      </c>
      <c r="L287" s="304">
        <f t="shared" ca="1" si="116"/>
        <v>337.27904636314406</v>
      </c>
      <c r="M287" s="306">
        <f t="shared" ca="1" si="132"/>
        <v>1.2355576518018794</v>
      </c>
      <c r="N287" s="304">
        <f t="shared" ca="1" si="133"/>
        <v>70.792238793342221</v>
      </c>
      <c r="P287" s="310">
        <f t="shared" ca="1" si="134"/>
        <v>11</v>
      </c>
      <c r="Q287" s="304">
        <f t="shared" ca="1" si="135"/>
        <v>2199.9859405646357</v>
      </c>
      <c r="R287" s="306">
        <f t="shared" ca="1" si="136"/>
        <v>1.3230146458534895</v>
      </c>
      <c r="S287" s="307">
        <f t="shared" ca="1" si="137"/>
        <v>16.717624250525851</v>
      </c>
      <c r="T287" s="304">
        <f t="shared" ca="1" si="117"/>
        <v>163.99989389765861</v>
      </c>
      <c r="U287" s="311">
        <f t="shared" ca="1" si="118"/>
        <v>0</v>
      </c>
      <c r="V287" s="306">
        <f t="shared" ca="1" si="119"/>
        <v>1.1863764939937285</v>
      </c>
      <c r="W287" s="304">
        <f t="shared" ca="1" si="120"/>
        <v>421.01539910927136</v>
      </c>
      <c r="Y287" s="314" t="str">
        <f t="shared" ca="1" si="138"/>
        <v/>
      </c>
      <c r="Z287" s="315" t="str">
        <f t="shared" ca="1" si="139"/>
        <v/>
      </c>
      <c r="AA287" s="316" t="str">
        <f t="shared" ca="1" si="140"/>
        <v/>
      </c>
      <c r="AC287" s="310" t="e">
        <f t="shared" ca="1" si="141"/>
        <v>#N/A</v>
      </c>
      <c r="AD287" s="323" t="e">
        <f t="shared" ca="1" si="142"/>
        <v>#N/A</v>
      </c>
      <c r="AE287" s="324">
        <f t="shared" ca="1" si="121"/>
        <v>320.34405330296175</v>
      </c>
      <c r="AG287" s="306">
        <f t="shared" ca="1" si="143"/>
        <v>97.338112136488363</v>
      </c>
      <c r="AH287" s="304">
        <f t="shared" ca="1" si="144"/>
        <v>106.60242304438279</v>
      </c>
    </row>
    <row r="288" spans="1:34" x14ac:dyDescent="0.2">
      <c r="A288" s="347">
        <f t="shared" ca="1" si="122"/>
        <v>0.01</v>
      </c>
      <c r="B288" s="304">
        <f t="shared" ca="1" si="123"/>
        <v>2.8399999999999834</v>
      </c>
      <c r="D288" s="306">
        <f t="shared" ca="1" si="124"/>
        <v>35.041445987806661</v>
      </c>
      <c r="E288" s="307">
        <f t="shared" ca="1" si="125"/>
        <v>90.771454838210857</v>
      </c>
      <c r="F288" s="304">
        <f t="shared" ca="1" si="126"/>
        <v>97.30035945648774</v>
      </c>
      <c r="G288" s="306">
        <f t="shared" ca="1" si="127"/>
        <v>82.719280691882147</v>
      </c>
      <c r="H288" s="307">
        <f t="shared" ca="1" si="128"/>
        <v>237.33575470037232</v>
      </c>
      <c r="I288" s="304">
        <f t="shared" ca="1" si="129"/>
        <v>251.33789976320261</v>
      </c>
      <c r="J288" s="306">
        <f t="shared" ca="1" si="130"/>
        <v>106.35668079679756</v>
      </c>
      <c r="K288" s="307">
        <f t="shared" ca="1" si="131"/>
        <v>322.71287227722354</v>
      </c>
      <c r="L288" s="304">
        <f t="shared" ca="1" si="116"/>
        <v>339.78720029384198</v>
      </c>
      <c r="M288" s="306">
        <f t="shared" ca="1" si="132"/>
        <v>1.2354292415334569</v>
      </c>
      <c r="N288" s="304">
        <f t="shared" ca="1" si="133"/>
        <v>70.784881426915476</v>
      </c>
      <c r="P288" s="310">
        <f t="shared" ca="1" si="134"/>
        <v>11</v>
      </c>
      <c r="Q288" s="304">
        <f t="shared" ca="1" si="135"/>
        <v>2200.2121812778601</v>
      </c>
      <c r="R288" s="306">
        <f t="shared" ca="1" si="136"/>
        <v>1.3231507011671009</v>
      </c>
      <c r="S288" s="307">
        <f t="shared" ca="1" si="137"/>
        <v>16.70439274351418</v>
      </c>
      <c r="T288" s="304">
        <f t="shared" ca="1" si="117"/>
        <v>163.87009281387412</v>
      </c>
      <c r="U288" s="311">
        <f t="shared" ca="1" si="118"/>
        <v>0</v>
      </c>
      <c r="V288" s="306">
        <f t="shared" ca="1" si="119"/>
        <v>1.1860954235269572</v>
      </c>
      <c r="W288" s="304">
        <f t="shared" ca="1" si="120"/>
        <v>424.19184861508887</v>
      </c>
      <c r="Y288" s="314" t="str">
        <f t="shared" ca="1" si="138"/>
        <v/>
      </c>
      <c r="Z288" s="315" t="str">
        <f t="shared" ca="1" si="139"/>
        <v/>
      </c>
      <c r="AA288" s="316" t="str">
        <f t="shared" ca="1" si="140"/>
        <v/>
      </c>
      <c r="AC288" s="310" t="e">
        <f t="shared" ca="1" si="141"/>
        <v>#N/A</v>
      </c>
      <c r="AD288" s="323" t="e">
        <f t="shared" ca="1" si="142"/>
        <v>#N/A</v>
      </c>
      <c r="AE288" s="324">
        <f t="shared" ca="1" si="121"/>
        <v>322.71287227722354</v>
      </c>
      <c r="AG288" s="306">
        <f t="shared" ca="1" si="143"/>
        <v>97.246817956448197</v>
      </c>
      <c r="AH288" s="304">
        <f t="shared" ca="1" si="144"/>
        <v>106.51071304938026</v>
      </c>
    </row>
    <row r="289" spans="1:34" x14ac:dyDescent="0.2">
      <c r="A289" s="347">
        <f t="shared" ca="1" si="122"/>
        <v>0.01</v>
      </c>
      <c r="B289" s="304">
        <f t="shared" ca="1" si="123"/>
        <v>2.8499999999999832</v>
      </c>
      <c r="D289" s="306">
        <f t="shared" ca="1" si="124"/>
        <v>35.023980596817765</v>
      </c>
      <c r="E289" s="307">
        <f t="shared" ca="1" si="125"/>
        <v>90.679786637768757</v>
      </c>
      <c r="F289" s="304">
        <f t="shared" ca="1" si="126"/>
        <v>97.208553746661266</v>
      </c>
      <c r="G289" s="306">
        <f t="shared" ca="1" si="127"/>
        <v>83.06952049785032</v>
      </c>
      <c r="H289" s="307">
        <f t="shared" ca="1" si="128"/>
        <v>238.24255256675002</v>
      </c>
      <c r="I289" s="304">
        <f t="shared" ca="1" si="129"/>
        <v>252.3094510502201</v>
      </c>
      <c r="J289" s="306">
        <f t="shared" ca="1" si="130"/>
        <v>107.18562480274622</v>
      </c>
      <c r="K289" s="307">
        <f t="shared" ca="1" si="131"/>
        <v>325.09076381355914</v>
      </c>
      <c r="L289" s="304">
        <f t="shared" ca="1" si="116"/>
        <v>342.30507282428403</v>
      </c>
      <c r="M289" s="306">
        <f t="shared" ca="1" si="132"/>
        <v>1.2353012785793749</v>
      </c>
      <c r="N289" s="304">
        <f t="shared" ca="1" si="133"/>
        <v>70.777549689712544</v>
      </c>
      <c r="P289" s="310">
        <f t="shared" ca="1" si="134"/>
        <v>11</v>
      </c>
      <c r="Q289" s="304">
        <f t="shared" ca="1" si="135"/>
        <v>2200.4384219910844</v>
      </c>
      <c r="R289" s="306">
        <f t="shared" ca="1" si="136"/>
        <v>1.3232867564807123</v>
      </c>
      <c r="S289" s="307">
        <f t="shared" ca="1" si="137"/>
        <v>16.691159875949374</v>
      </c>
      <c r="T289" s="304">
        <f t="shared" ca="1" si="117"/>
        <v>163.74027838306336</v>
      </c>
      <c r="U289" s="311">
        <f t="shared" ca="1" si="118"/>
        <v>0</v>
      </c>
      <c r="V289" s="306">
        <f t="shared" ca="1" si="119"/>
        <v>1.1858133424544781</v>
      </c>
      <c r="W289" s="304">
        <f t="shared" ca="1" si="120"/>
        <v>427.37596569635343</v>
      </c>
      <c r="Y289" s="314" t="str">
        <f t="shared" ca="1" si="138"/>
        <v/>
      </c>
      <c r="Z289" s="315" t="str">
        <f t="shared" ca="1" si="139"/>
        <v/>
      </c>
      <c r="AA289" s="316" t="str">
        <f t="shared" ca="1" si="140"/>
        <v/>
      </c>
      <c r="AC289" s="310" t="e">
        <f t="shared" ca="1" si="141"/>
        <v>#N/A</v>
      </c>
      <c r="AD289" s="323" t="e">
        <f t="shared" ca="1" si="142"/>
        <v>#N/A</v>
      </c>
      <c r="AE289" s="324">
        <f t="shared" ca="1" si="121"/>
        <v>325.09076381355914</v>
      </c>
      <c r="AG289" s="306">
        <f t="shared" ca="1" si="143"/>
        <v>97.154922129471203</v>
      </c>
      <c r="AH289" s="304">
        <f t="shared" ca="1" si="144"/>
        <v>106.41840271001325</v>
      </c>
    </row>
    <row r="290" spans="1:34" x14ac:dyDescent="0.2">
      <c r="A290" s="347">
        <f t="shared" ca="1" si="122"/>
        <v>0.01</v>
      </c>
      <c r="B290" s="304">
        <f t="shared" ca="1" si="123"/>
        <v>2.859999999999983</v>
      </c>
      <c r="D290" s="306">
        <f t="shared" ca="1" si="124"/>
        <v>35.006250595396516</v>
      </c>
      <c r="E290" s="307">
        <f t="shared" ca="1" si="125"/>
        <v>90.5875760020717</v>
      </c>
      <c r="F290" s="304">
        <f t="shared" ca="1" si="126"/>
        <v>97.116149566788394</v>
      </c>
      <c r="G290" s="306">
        <f t="shared" ca="1" si="127"/>
        <v>83.419583003804291</v>
      </c>
      <c r="H290" s="307">
        <f t="shared" ca="1" si="128"/>
        <v>239.14842832677073</v>
      </c>
      <c r="I290" s="304">
        <f t="shared" ca="1" si="129"/>
        <v>253.28007738409508</v>
      </c>
      <c r="J290" s="306">
        <f t="shared" ca="1" si="130"/>
        <v>108.01807032025449</v>
      </c>
      <c r="K290" s="307">
        <f t="shared" ca="1" si="131"/>
        <v>327.47771871802672</v>
      </c>
      <c r="L290" s="304">
        <f t="shared" ca="1" si="116"/>
        <v>344.8326547362858</v>
      </c>
      <c r="M290" s="306">
        <f t="shared" ca="1" si="132"/>
        <v>1.235173759207969</v>
      </c>
      <c r="N290" s="304">
        <f t="shared" ca="1" si="133"/>
        <v>70.770243367924834</v>
      </c>
      <c r="P290" s="310">
        <f t="shared" ca="1" si="134"/>
        <v>11</v>
      </c>
      <c r="Q290" s="304">
        <f t="shared" ca="1" si="135"/>
        <v>2200.6646627043087</v>
      </c>
      <c r="R290" s="306">
        <f t="shared" ca="1" si="136"/>
        <v>1.3234228117943236</v>
      </c>
      <c r="S290" s="307">
        <f t="shared" ca="1" si="137"/>
        <v>16.67792564783143</v>
      </c>
      <c r="T290" s="304">
        <f t="shared" ca="1" si="117"/>
        <v>163.61045060522633</v>
      </c>
      <c r="U290" s="311">
        <f t="shared" ca="1" si="118"/>
        <v>0</v>
      </c>
      <c r="V290" s="306">
        <f t="shared" ca="1" si="119"/>
        <v>1.1855302525989062</v>
      </c>
      <c r="W290" s="304">
        <f t="shared" ca="1" si="120"/>
        <v>430.56767946135204</v>
      </c>
      <c r="Y290" s="314" t="str">
        <f t="shared" ca="1" si="138"/>
        <v/>
      </c>
      <c r="Z290" s="315" t="str">
        <f t="shared" ca="1" si="139"/>
        <v/>
      </c>
      <c r="AA290" s="316" t="str">
        <f t="shared" ca="1" si="140"/>
        <v/>
      </c>
      <c r="AC290" s="310" t="e">
        <f t="shared" ca="1" si="141"/>
        <v>#N/A</v>
      </c>
      <c r="AD290" s="323" t="e">
        <f t="shared" ca="1" si="142"/>
        <v>#N/A</v>
      </c>
      <c r="AE290" s="324">
        <f t="shared" ca="1" si="121"/>
        <v>327.47771871802672</v>
      </c>
      <c r="AG290" s="306">
        <f t="shared" ca="1" si="143"/>
        <v>97.062427455722684</v>
      </c>
      <c r="AH290" s="304">
        <f t="shared" ca="1" si="144"/>
        <v>106.32549481586936</v>
      </c>
    </row>
    <row r="291" spans="1:34" x14ac:dyDescent="0.2">
      <c r="A291" s="347">
        <f t="shared" ca="1" si="122"/>
        <v>0.01</v>
      </c>
      <c r="B291" s="304">
        <f t="shared" ca="1" si="123"/>
        <v>2.8699999999999828</v>
      </c>
      <c r="D291" s="306">
        <f t="shared" ca="1" si="124"/>
        <v>34.988257190976498</v>
      </c>
      <c r="E291" s="307">
        <f t="shared" ca="1" si="125"/>
        <v>90.494825507618245</v>
      </c>
      <c r="F291" s="304">
        <f t="shared" ca="1" si="126"/>
        <v>97.023149737143626</v>
      </c>
      <c r="G291" s="306">
        <f t="shared" ca="1" si="127"/>
        <v>83.769465575714051</v>
      </c>
      <c r="H291" s="307">
        <f t="shared" ca="1" si="128"/>
        <v>240.05337658184692</v>
      </c>
      <c r="I291" s="304">
        <f t="shared" ca="1" si="129"/>
        <v>254.2497728045922</v>
      </c>
      <c r="J291" s="306">
        <f t="shared" ca="1" si="130"/>
        <v>108.85401556315209</v>
      </c>
      <c r="K291" s="307">
        <f t="shared" ca="1" si="131"/>
        <v>329.87372774256983</v>
      </c>
      <c r="L291" s="304">
        <f t="shared" ca="1" si="116"/>
        <v>347.36993675187557</v>
      </c>
      <c r="M291" s="306">
        <f t="shared" ca="1" si="132"/>
        <v>1.2350466797307946</v>
      </c>
      <c r="N291" s="304">
        <f t="shared" ca="1" si="133"/>
        <v>70.762962250220014</v>
      </c>
      <c r="P291" s="310">
        <f t="shared" ca="1" si="134"/>
        <v>11</v>
      </c>
      <c r="Q291" s="304">
        <f t="shared" ca="1" si="135"/>
        <v>2200.8909034175331</v>
      </c>
      <c r="R291" s="306">
        <f t="shared" ca="1" si="136"/>
        <v>1.323558867107935</v>
      </c>
      <c r="S291" s="307">
        <f t="shared" ca="1" si="137"/>
        <v>16.66469005916035</v>
      </c>
      <c r="T291" s="304">
        <f t="shared" ca="1" si="117"/>
        <v>163.48060948036303</v>
      </c>
      <c r="U291" s="311">
        <f t="shared" ca="1" si="118"/>
        <v>0</v>
      </c>
      <c r="V291" s="306">
        <f t="shared" ca="1" si="119"/>
        <v>1.185246155790608</v>
      </c>
      <c r="W291" s="304">
        <f t="shared" ca="1" si="120"/>
        <v>433.76691886491909</v>
      </c>
      <c r="Y291" s="314" t="str">
        <f t="shared" ca="1" si="138"/>
        <v/>
      </c>
      <c r="Z291" s="315" t="str">
        <f t="shared" ca="1" si="139"/>
        <v/>
      </c>
      <c r="AA291" s="316" t="str">
        <f t="shared" ca="1" si="140"/>
        <v/>
      </c>
      <c r="AC291" s="310" t="e">
        <f t="shared" ca="1" si="141"/>
        <v>#N/A</v>
      </c>
      <c r="AD291" s="323" t="e">
        <f t="shared" ca="1" si="142"/>
        <v>#N/A</v>
      </c>
      <c r="AE291" s="324">
        <f t="shared" ca="1" si="121"/>
        <v>329.87372774256983</v>
      </c>
      <c r="AG291" s="306">
        <f t="shared" ca="1" si="143"/>
        <v>96.969336753273069</v>
      </c>
      <c r="AH291" s="304">
        <f t="shared" ca="1" si="144"/>
        <v>106.23199217455945</v>
      </c>
    </row>
    <row r="292" spans="1:34" x14ac:dyDescent="0.2">
      <c r="A292" s="347">
        <f t="shared" ca="1" si="122"/>
        <v>0.01</v>
      </c>
      <c r="B292" s="304">
        <f t="shared" ca="1" si="123"/>
        <v>2.8799999999999826</v>
      </c>
      <c r="D292" s="306">
        <f t="shared" ca="1" si="124"/>
        <v>34.970001593993018</v>
      </c>
      <c r="E292" s="307">
        <f t="shared" ca="1" si="125"/>
        <v>90.401537748479157</v>
      </c>
      <c r="F292" s="304">
        <f t="shared" ca="1" si="126"/>
        <v>96.929557095725841</v>
      </c>
      <c r="G292" s="306">
        <f t="shared" ca="1" si="127"/>
        <v>84.119165591653982</v>
      </c>
      <c r="H292" s="307">
        <f t="shared" ca="1" si="128"/>
        <v>240.95739195933172</v>
      </c>
      <c r="I292" s="304">
        <f t="shared" ca="1" si="129"/>
        <v>255.21853137983362</v>
      </c>
      <c r="J292" s="306">
        <f t="shared" ca="1" si="130"/>
        <v>109.69345871898894</v>
      </c>
      <c r="K292" s="307">
        <f t="shared" ca="1" si="131"/>
        <v>332.27878158527574</v>
      </c>
      <c r="L292" s="304">
        <f t="shared" ca="1" si="116"/>
        <v>349.91690953357755</v>
      </c>
      <c r="M292" s="306">
        <f t="shared" ca="1" si="132"/>
        <v>1.2349200365019601</v>
      </c>
      <c r="N292" s="304">
        <f t="shared" ca="1" si="133"/>
        <v>70.755706127703888</v>
      </c>
      <c r="P292" s="310">
        <f t="shared" ca="1" si="134"/>
        <v>11</v>
      </c>
      <c r="Q292" s="304">
        <f t="shared" ca="1" si="135"/>
        <v>2201.1171441307574</v>
      </c>
      <c r="R292" s="306">
        <f t="shared" ca="1" si="136"/>
        <v>1.3236949224215464</v>
      </c>
      <c r="S292" s="307">
        <f t="shared" ca="1" si="137"/>
        <v>16.651453109936135</v>
      </c>
      <c r="T292" s="304">
        <f t="shared" ca="1" si="117"/>
        <v>163.3507550084735</v>
      </c>
      <c r="U292" s="311">
        <f t="shared" ca="1" si="118"/>
        <v>0</v>
      </c>
      <c r="V292" s="306">
        <f t="shared" ca="1" si="119"/>
        <v>1.1849610538676447</v>
      </c>
      <c r="W292" s="304">
        <f t="shared" ca="1" si="120"/>
        <v>436.97361271255153</v>
      </c>
      <c r="Y292" s="314" t="str">
        <f t="shared" ca="1" si="138"/>
        <v/>
      </c>
      <c r="Z292" s="315" t="str">
        <f t="shared" ca="1" si="139"/>
        <v/>
      </c>
      <c r="AA292" s="316" t="str">
        <f t="shared" ca="1" si="140"/>
        <v/>
      </c>
      <c r="AC292" s="310" t="e">
        <f t="shared" ca="1" si="141"/>
        <v>#N/A</v>
      </c>
      <c r="AD292" s="323" t="e">
        <f t="shared" ca="1" si="142"/>
        <v>#N/A</v>
      </c>
      <c r="AE292" s="324">
        <f t="shared" ca="1" si="121"/>
        <v>332.27878158527574</v>
      </c>
      <c r="AG292" s="306">
        <f t="shared" ca="1" si="143"/>
        <v>96.875652857926596</v>
      </c>
      <c r="AH292" s="304">
        <f t="shared" ca="1" si="144"/>
        <v>106.13789761154466</v>
      </c>
    </row>
    <row r="293" spans="1:34" x14ac:dyDescent="0.2">
      <c r="A293" s="347">
        <f t="shared" ca="1" si="122"/>
        <v>0.01</v>
      </c>
      <c r="B293" s="304">
        <f t="shared" ca="1" si="123"/>
        <v>2.8899999999999824</v>
      </c>
      <c r="D293" s="306">
        <f t="shared" ca="1" si="124"/>
        <v>34.951485017891187</v>
      </c>
      <c r="E293" s="307">
        <f t="shared" ca="1" si="125"/>
        <v>90.307715336114796</v>
      </c>
      <c r="F293" s="304">
        <f t="shared" ca="1" si="126"/>
        <v>96.835374498086267</v>
      </c>
      <c r="G293" s="306">
        <f t="shared" ca="1" si="127"/>
        <v>84.468680441832888</v>
      </c>
      <c r="H293" s="307">
        <f t="shared" ca="1" si="128"/>
        <v>241.86046911269287</v>
      </c>
      <c r="I293" s="304">
        <f t="shared" ca="1" si="129"/>
        <v>256.18634720647458</v>
      </c>
      <c r="J293" s="306">
        <f t="shared" ca="1" si="130"/>
        <v>110.53639794915637</v>
      </c>
      <c r="K293" s="307">
        <f t="shared" ca="1" si="131"/>
        <v>334.69287089063585</v>
      </c>
      <c r="L293" s="304">
        <f t="shared" ca="1" si="116"/>
        <v>352.4735636846969</v>
      </c>
      <c r="M293" s="306">
        <f t="shared" ca="1" si="132"/>
        <v>1.2347938259174738</v>
      </c>
      <c r="N293" s="304">
        <f t="shared" ca="1" si="133"/>
        <v>70.748474793882934</v>
      </c>
      <c r="P293" s="310">
        <f t="shared" ca="1" si="134"/>
        <v>11</v>
      </c>
      <c r="Q293" s="304">
        <f t="shared" ca="1" si="135"/>
        <v>2201.3433848439818</v>
      </c>
      <c r="R293" s="306">
        <f t="shared" ca="1" si="136"/>
        <v>1.3238309777351578</v>
      </c>
      <c r="S293" s="307">
        <f t="shared" ca="1" si="137"/>
        <v>16.638214800158785</v>
      </c>
      <c r="T293" s="304">
        <f t="shared" ca="1" si="117"/>
        <v>163.22088718955769</v>
      </c>
      <c r="U293" s="311">
        <f t="shared" ca="1" si="118"/>
        <v>0</v>
      </c>
      <c r="V293" s="306">
        <f t="shared" ca="1" si="119"/>
        <v>1.1846749486757242</v>
      </c>
      <c r="W293" s="304">
        <f t="shared" ca="1" si="120"/>
        <v>440.18768966452978</v>
      </c>
      <c r="Y293" s="314" t="str">
        <f t="shared" ca="1" si="138"/>
        <v/>
      </c>
      <c r="Z293" s="315" t="str">
        <f t="shared" ca="1" si="139"/>
        <v/>
      </c>
      <c r="AA293" s="316" t="str">
        <f t="shared" ca="1" si="140"/>
        <v/>
      </c>
      <c r="AC293" s="310" t="e">
        <f t="shared" ca="1" si="141"/>
        <v>#N/A</v>
      </c>
      <c r="AD293" s="323" t="e">
        <f t="shared" ca="1" si="142"/>
        <v>#N/A</v>
      </c>
      <c r="AE293" s="324">
        <f t="shared" ca="1" si="121"/>
        <v>334.69287089063585</v>
      </c>
      <c r="AG293" s="306">
        <f t="shared" ca="1" si="143"/>
        <v>96.781378623048909</v>
      </c>
      <c r="AH293" s="304">
        <f t="shared" ca="1" si="144"/>
        <v>106.04321396996221</v>
      </c>
    </row>
    <row r="294" spans="1:34" x14ac:dyDescent="0.2">
      <c r="A294" s="347">
        <f t="shared" ca="1" si="122"/>
        <v>0.01</v>
      </c>
      <c r="B294" s="304">
        <f t="shared" ca="1" si="123"/>
        <v>2.8999999999999821</v>
      </c>
      <c r="D294" s="306">
        <f t="shared" ca="1" si="124"/>
        <v>34.932708679132269</v>
      </c>
      <c r="E294" s="307">
        <f t="shared" ca="1" si="125"/>
        <v>90.213360899191926</v>
      </c>
      <c r="F294" s="304">
        <f t="shared" ca="1" si="126"/>
        <v>96.740604817155102</v>
      </c>
      <c r="G294" s="306">
        <f t="shared" ca="1" si="127"/>
        <v>84.818007528624207</v>
      </c>
      <c r="H294" s="307">
        <f t="shared" ca="1" si="128"/>
        <v>242.7626027216848</v>
      </c>
      <c r="I294" s="304">
        <f t="shared" ca="1" si="129"/>
        <v>257.15321440987725</v>
      </c>
      <c r="J294" s="306">
        <f t="shared" ca="1" si="130"/>
        <v>111.38283138900866</v>
      </c>
      <c r="K294" s="307">
        <f t="shared" ca="1" si="131"/>
        <v>337.11598624980775</v>
      </c>
      <c r="L294" s="304">
        <f t="shared" ca="1" si="116"/>
        <v>355.03988974960674</v>
      </c>
      <c r="M294" s="306">
        <f t="shared" ca="1" si="132"/>
        <v>1.2346680444146021</v>
      </c>
      <c r="N294" s="304">
        <f t="shared" ca="1" si="133"/>
        <v>70.741268044627574</v>
      </c>
      <c r="P294" s="310">
        <f t="shared" ca="1" si="134"/>
        <v>11</v>
      </c>
      <c r="Q294" s="304">
        <f t="shared" ca="1" si="135"/>
        <v>2201.5696255572061</v>
      </c>
      <c r="R294" s="306">
        <f t="shared" ca="1" si="136"/>
        <v>1.3239670330487692</v>
      </c>
      <c r="S294" s="307">
        <f t="shared" ca="1" si="137"/>
        <v>16.624975129828297</v>
      </c>
      <c r="T294" s="304">
        <f t="shared" ca="1" si="117"/>
        <v>163.09100602361559</v>
      </c>
      <c r="U294" s="311">
        <f t="shared" ca="1" si="118"/>
        <v>0</v>
      </c>
      <c r="V294" s="306">
        <f t="shared" ca="1" si="119"/>
        <v>1.1843878420681453</v>
      </c>
      <c r="W294" s="304">
        <f t="shared" ca="1" si="120"/>
        <v>443.40907824003904</v>
      </c>
      <c r="Y294" s="314" t="str">
        <f t="shared" ca="1" si="138"/>
        <v/>
      </c>
      <c r="Z294" s="315" t="str">
        <f t="shared" ca="1" si="139"/>
        <v/>
      </c>
      <c r="AA294" s="316" t="str">
        <f t="shared" ca="1" si="140"/>
        <v/>
      </c>
      <c r="AC294" s="310" t="e">
        <f t="shared" ca="1" si="141"/>
        <v>#N/A</v>
      </c>
      <c r="AD294" s="323" t="e">
        <f t="shared" ca="1" si="142"/>
        <v>#N/A</v>
      </c>
      <c r="AE294" s="324">
        <f t="shared" ca="1" si="121"/>
        <v>337.11598624980775</v>
      </c>
      <c r="AG294" s="306">
        <f t="shared" ca="1" si="143"/>
        <v>96.686516919393767</v>
      </c>
      <c r="AH294" s="304">
        <f t="shared" ca="1" si="144"/>
        <v>105.94794411045039</v>
      </c>
    </row>
    <row r="295" spans="1:34" x14ac:dyDescent="0.2">
      <c r="A295" s="347">
        <f t="shared" ca="1" si="122"/>
        <v>0.01</v>
      </c>
      <c r="B295" s="304">
        <f t="shared" ca="1" si="123"/>
        <v>2.9099999999999819</v>
      </c>
      <c r="D295" s="306">
        <f t="shared" ca="1" si="124"/>
        <v>34.913673797198385</v>
      </c>
      <c r="E295" s="307">
        <f t="shared" ca="1" si="125"/>
        <v>90.118477083399924</v>
      </c>
      <c r="F295" s="304">
        <f t="shared" ca="1" si="126"/>
        <v>96.64525094306731</v>
      </c>
      <c r="G295" s="306">
        <f t="shared" ca="1" si="127"/>
        <v>85.167144266596196</v>
      </c>
      <c r="H295" s="307">
        <f t="shared" ca="1" si="128"/>
        <v>243.66378749251879</v>
      </c>
      <c r="I295" s="304">
        <f t="shared" ca="1" si="129"/>
        <v>258.11912714428308</v>
      </c>
      <c r="J295" s="306">
        <f t="shared" ca="1" si="130"/>
        <v>112.23275714798476</v>
      </c>
      <c r="K295" s="307">
        <f t="shared" ca="1" si="131"/>
        <v>339.54811820087878</v>
      </c>
      <c r="L295" s="304">
        <f t="shared" ca="1" si="116"/>
        <v>357.61587821403634</v>
      </c>
      <c r="M295" s="306">
        <f t="shared" ca="1" si="132"/>
        <v>1.2345426884712414</v>
      </c>
      <c r="N295" s="304">
        <f t="shared" ca="1" si="133"/>
        <v>70.734085678136125</v>
      </c>
      <c r="P295" s="310">
        <f t="shared" ca="1" si="134"/>
        <v>11</v>
      </c>
      <c r="Q295" s="304">
        <f t="shared" ca="1" si="135"/>
        <v>2201.7958662704305</v>
      </c>
      <c r="R295" s="306">
        <f t="shared" ca="1" si="136"/>
        <v>1.3241030883623806</v>
      </c>
      <c r="S295" s="307">
        <f t="shared" ca="1" si="137"/>
        <v>16.611734098944673</v>
      </c>
      <c r="T295" s="304">
        <f t="shared" ca="1" si="117"/>
        <v>162.96111151064724</v>
      </c>
      <c r="U295" s="311">
        <f t="shared" ca="1" si="118"/>
        <v>0</v>
      </c>
      <c r="V295" s="306">
        <f t="shared" ca="1" si="119"/>
        <v>1.1840997359057488</v>
      </c>
      <c r="W295" s="304">
        <f t="shared" ca="1" si="120"/>
        <v>446.63770682129689</v>
      </c>
      <c r="Y295" s="314" t="str">
        <f t="shared" ca="1" si="138"/>
        <v/>
      </c>
      <c r="Z295" s="315" t="str">
        <f t="shared" ca="1" si="139"/>
        <v/>
      </c>
      <c r="AA295" s="316" t="str">
        <f t="shared" ca="1" si="140"/>
        <v/>
      </c>
      <c r="AC295" s="310" t="e">
        <f t="shared" ca="1" si="141"/>
        <v>#N/A</v>
      </c>
      <c r="AD295" s="323" t="e">
        <f t="shared" ca="1" si="142"/>
        <v>#N/A</v>
      </c>
      <c r="AE295" s="324">
        <f t="shared" ca="1" si="121"/>
        <v>339.54811820087878</v>
      </c>
      <c r="AG295" s="306">
        <f t="shared" ca="1" si="143"/>
        <v>96.591070634928514</v>
      </c>
      <c r="AH295" s="304">
        <f t="shared" ca="1" si="144"/>
        <v>105.85209091097238</v>
      </c>
    </row>
    <row r="296" spans="1:34" x14ac:dyDescent="0.2">
      <c r="A296" s="347">
        <f t="shared" ca="1" si="122"/>
        <v>0.01</v>
      </c>
      <c r="B296" s="304">
        <f t="shared" ca="1" si="123"/>
        <v>2.9199999999999817</v>
      </c>
      <c r="D296" s="306">
        <f t="shared" ca="1" si="124"/>
        <v>34.8943815945956</v>
      </c>
      <c r="E296" s="307">
        <f t="shared" ca="1" si="125"/>
        <v>90.023066551266353</v>
      </c>
      <c r="F296" s="304">
        <f t="shared" ca="1" si="126"/>
        <v>96.549315782987208</v>
      </c>
      <c r="G296" s="306">
        <f t="shared" ca="1" si="127"/>
        <v>85.516088082542154</v>
      </c>
      <c r="H296" s="307">
        <f t="shared" ca="1" si="128"/>
        <v>244.56401815803144</v>
      </c>
      <c r="I296" s="304">
        <f t="shared" ca="1" si="129"/>
        <v>259.08407959298279</v>
      </c>
      <c r="J296" s="306">
        <f t="shared" ca="1" si="130"/>
        <v>113.08617330973044</v>
      </c>
      <c r="K296" s="307">
        <f t="shared" ca="1" si="131"/>
        <v>341.98925722913151</v>
      </c>
      <c r="L296" s="304">
        <f t="shared" ca="1" si="116"/>
        <v>360.20151950536172</v>
      </c>
      <c r="M296" s="306">
        <f t="shared" ca="1" si="132"/>
        <v>1.2344177546053008</v>
      </c>
      <c r="N296" s="304">
        <f t="shared" ca="1" si="133"/>
        <v>70.726927494899471</v>
      </c>
      <c r="P296" s="310">
        <f t="shared" ca="1" si="134"/>
        <v>11</v>
      </c>
      <c r="Q296" s="304">
        <f t="shared" ca="1" si="135"/>
        <v>2202.0221069836548</v>
      </c>
      <c r="R296" s="306">
        <f t="shared" ca="1" si="136"/>
        <v>1.3242391436759919</v>
      </c>
      <c r="S296" s="307">
        <f t="shared" ca="1" si="137"/>
        <v>16.598491707507915</v>
      </c>
      <c r="T296" s="304">
        <f t="shared" ca="1" si="117"/>
        <v>162.83120365065264</v>
      </c>
      <c r="U296" s="311">
        <f t="shared" ca="1" si="118"/>
        <v>0</v>
      </c>
      <c r="V296" s="306">
        <f t="shared" ca="1" si="119"/>
        <v>1.183810632056862</v>
      </c>
      <c r="W296" s="304">
        <f t="shared" ca="1" si="120"/>
        <v>449.87350365767776</v>
      </c>
      <c r="Y296" s="314" t="str">
        <f t="shared" ca="1" si="138"/>
        <v/>
      </c>
      <c r="Z296" s="315" t="str">
        <f t="shared" ca="1" si="139"/>
        <v/>
      </c>
      <c r="AA296" s="316" t="str">
        <f t="shared" ca="1" si="140"/>
        <v/>
      </c>
      <c r="AC296" s="310" t="e">
        <f t="shared" ca="1" si="141"/>
        <v>#N/A</v>
      </c>
      <c r="AD296" s="323" t="e">
        <f t="shared" ca="1" si="142"/>
        <v>#N/A</v>
      </c>
      <c r="AE296" s="324">
        <f t="shared" ca="1" si="121"/>
        <v>341.98925722913151</v>
      </c>
      <c r="AG296" s="306">
        <f t="shared" ca="1" si="143"/>
        <v>96.495042674658606</v>
      </c>
      <c r="AH296" s="304">
        <f t="shared" ca="1" si="144"/>
        <v>105.75565726663908</v>
      </c>
    </row>
    <row r="297" spans="1:34" x14ac:dyDescent="0.2">
      <c r="A297" s="347">
        <f t="shared" ca="1" si="122"/>
        <v>0.01</v>
      </c>
      <c r="B297" s="304">
        <f t="shared" ca="1" si="123"/>
        <v>2.9299999999999815</v>
      </c>
      <c r="D297" s="306">
        <f t="shared" ca="1" si="124"/>
        <v>34.874833296855485</v>
      </c>
      <c r="E297" s="307">
        <f t="shared" ca="1" si="125"/>
        <v>89.92713198197238</v>
      </c>
      <c r="F297" s="304">
        <f t="shared" ca="1" si="126"/>
        <v>96.452802260932472</v>
      </c>
      <c r="G297" s="306">
        <f t="shared" ca="1" si="127"/>
        <v>85.864836415510709</v>
      </c>
      <c r="H297" s="307">
        <f t="shared" ca="1" si="128"/>
        <v>245.46328947785116</v>
      </c>
      <c r="I297" s="304">
        <f t="shared" ca="1" si="129"/>
        <v>260.04806596848545</v>
      </c>
      <c r="J297" s="306">
        <f t="shared" ca="1" si="130"/>
        <v>113.9430779322207</v>
      </c>
      <c r="K297" s="307">
        <f t="shared" ca="1" si="131"/>
        <v>344.43939376731095</v>
      </c>
      <c r="L297" s="304">
        <f t="shared" ca="1" si="116"/>
        <v>362.79680399289737</v>
      </c>
      <c r="M297" s="306">
        <f t="shared" ca="1" si="132"/>
        <v>1.2342932393740984</v>
      </c>
      <c r="N297" s="304">
        <f t="shared" ca="1" si="133"/>
        <v>70.719793297666484</v>
      </c>
      <c r="P297" s="310">
        <f t="shared" ca="1" si="134"/>
        <v>11</v>
      </c>
      <c r="Q297" s="304">
        <f t="shared" ca="1" si="135"/>
        <v>2202.2483476968791</v>
      </c>
      <c r="R297" s="306">
        <f t="shared" ca="1" si="136"/>
        <v>1.3243751989896033</v>
      </c>
      <c r="S297" s="307">
        <f t="shared" ca="1" si="137"/>
        <v>16.585247955518017</v>
      </c>
      <c r="T297" s="304">
        <f t="shared" ca="1" si="117"/>
        <v>162.70128244363175</v>
      </c>
      <c r="U297" s="311">
        <f t="shared" ca="1" si="118"/>
        <v>0</v>
      </c>
      <c r="V297" s="306">
        <f t="shared" ca="1" si="119"/>
        <v>1.1835205323972484</v>
      </c>
      <c r="W297" s="304">
        <f t="shared" ca="1" si="120"/>
        <v>453.11639686984392</v>
      </c>
      <c r="Y297" s="314" t="str">
        <f t="shared" ca="1" si="138"/>
        <v/>
      </c>
      <c r="Z297" s="315" t="str">
        <f t="shared" ca="1" si="139"/>
        <v/>
      </c>
      <c r="AA297" s="316" t="str">
        <f t="shared" ca="1" si="140"/>
        <v/>
      </c>
      <c r="AC297" s="310" t="e">
        <f t="shared" ca="1" si="141"/>
        <v>#N/A</v>
      </c>
      <c r="AD297" s="323" t="e">
        <f t="shared" ca="1" si="142"/>
        <v>#N/A</v>
      </c>
      <c r="AE297" s="324">
        <f t="shared" ca="1" si="121"/>
        <v>344.43939376731095</v>
      </c>
      <c r="AG297" s="306">
        <f t="shared" ca="1" si="143"/>
        <v>96.398435960451422</v>
      </c>
      <c r="AH297" s="304">
        <f t="shared" ca="1" si="144"/>
        <v>105.65864608953135</v>
      </c>
    </row>
    <row r="298" spans="1:34" x14ac:dyDescent="0.2">
      <c r="A298" s="347">
        <f t="shared" ca="1" si="122"/>
        <v>0.01</v>
      </c>
      <c r="B298" s="304">
        <f t="shared" ca="1" si="123"/>
        <v>2.9399999999999813</v>
      </c>
      <c r="D298" s="306">
        <f t="shared" ca="1" si="124"/>
        <v>34.855030132534942</v>
      </c>
      <c r="E298" s="307">
        <f t="shared" ca="1" si="125"/>
        <v>89.830676071167019</v>
      </c>
      <c r="F298" s="304">
        <f t="shared" ca="1" si="126"/>
        <v>96.355713317596582</v>
      </c>
      <c r="G298" s="306">
        <f t="shared" ca="1" si="127"/>
        <v>86.213386716836055</v>
      </c>
      <c r="H298" s="307">
        <f t="shared" ca="1" si="128"/>
        <v>246.36159623856284</v>
      </c>
      <c r="I298" s="304">
        <f t="shared" ca="1" si="129"/>
        <v>261.01108051268511</v>
      </c>
      <c r="J298" s="306">
        <f t="shared" ca="1" si="130"/>
        <v>114.80346904788243</v>
      </c>
      <c r="K298" s="307">
        <f t="shared" ca="1" si="131"/>
        <v>346.89851819589302</v>
      </c>
      <c r="L298" s="304">
        <f t="shared" ca="1" si="116"/>
        <v>365.40172198818988</v>
      </c>
      <c r="M298" s="306">
        <f t="shared" ca="1" si="132"/>
        <v>1.2341691393737664</v>
      </c>
      <c r="N298" s="304">
        <f t="shared" ca="1" si="133"/>
        <v>70.712682891409884</v>
      </c>
      <c r="P298" s="310">
        <f t="shared" ca="1" si="134"/>
        <v>11</v>
      </c>
      <c r="Q298" s="304">
        <f t="shared" ca="1" si="135"/>
        <v>2202.4745884101035</v>
      </c>
      <c r="R298" s="306">
        <f t="shared" ca="1" si="136"/>
        <v>1.3245112543032147</v>
      </c>
      <c r="S298" s="307">
        <f t="shared" ca="1" si="137"/>
        <v>16.572002842974985</v>
      </c>
      <c r="T298" s="304">
        <f t="shared" ca="1" si="117"/>
        <v>162.57134788958462</v>
      </c>
      <c r="U298" s="311">
        <f t="shared" ca="1" si="118"/>
        <v>0</v>
      </c>
      <c r="V298" s="306">
        <f t="shared" ca="1" si="119"/>
        <v>1.1832294388100535</v>
      </c>
      <c r="W298" s="304">
        <f t="shared" ca="1" si="120"/>
        <v>456.36631445387542</v>
      </c>
      <c r="Y298" s="314" t="str">
        <f t="shared" ca="1" si="138"/>
        <v/>
      </c>
      <c r="Z298" s="315" t="str">
        <f t="shared" ca="1" si="139"/>
        <v/>
      </c>
      <c r="AA298" s="316" t="str">
        <f t="shared" ca="1" si="140"/>
        <v/>
      </c>
      <c r="AC298" s="310" t="e">
        <f t="shared" ca="1" si="141"/>
        <v>#N/A</v>
      </c>
      <c r="AD298" s="323" t="e">
        <f t="shared" ca="1" si="142"/>
        <v>#N/A</v>
      </c>
      <c r="AE298" s="324">
        <f t="shared" ca="1" si="121"/>
        <v>346.89851819589302</v>
      </c>
      <c r="AG298" s="306">
        <f t="shared" ca="1" si="143"/>
        <v>96.301253430858608</v>
      </c>
      <c r="AH298" s="304">
        <f t="shared" ca="1" si="144"/>
        <v>105.56106030852075</v>
      </c>
    </row>
    <row r="299" spans="1:34" x14ac:dyDescent="0.2">
      <c r="A299" s="347">
        <f t="shared" ca="1" si="122"/>
        <v>0.01</v>
      </c>
      <c r="B299" s="304">
        <f t="shared" ca="1" si="123"/>
        <v>2.9499999999999811</v>
      </c>
      <c r="D299" s="306">
        <f t="shared" ca="1" si="124"/>
        <v>34.834973333214776</v>
      </c>
      <c r="E299" s="307">
        <f t="shared" ca="1" si="125"/>
        <v>89.733701530781403</v>
      </c>
      <c r="F299" s="304">
        <f t="shared" ca="1" si="126"/>
        <v>96.258051910170835</v>
      </c>
      <c r="G299" s="306">
        <f t="shared" ca="1" si="127"/>
        <v>86.561736450168198</v>
      </c>
      <c r="H299" s="307">
        <f t="shared" ca="1" si="128"/>
        <v>247.25893325387065</v>
      </c>
      <c r="I299" s="304">
        <f t="shared" ca="1" si="129"/>
        <v>261.97311749702573</v>
      </c>
      <c r="J299" s="306">
        <f t="shared" ca="1" si="130"/>
        <v>115.66734466371746</v>
      </c>
      <c r="K299" s="307">
        <f t="shared" ca="1" si="131"/>
        <v>349.36662084335518</v>
      </c>
      <c r="L299" s="304">
        <f t="shared" ca="1" si="116"/>
        <v>368.01626374531321</v>
      </c>
      <c r="M299" s="306">
        <f t="shared" ca="1" si="132"/>
        <v>1.2340454512386696</v>
      </c>
      <c r="N299" s="304">
        <f t="shared" ca="1" si="133"/>
        <v>70.705596083293003</v>
      </c>
      <c r="P299" s="310">
        <f t="shared" ca="1" si="134"/>
        <v>11</v>
      </c>
      <c r="Q299" s="304">
        <f t="shared" ca="1" si="135"/>
        <v>2202.7008291233278</v>
      </c>
      <c r="R299" s="306">
        <f t="shared" ca="1" si="136"/>
        <v>1.3246473096168261</v>
      </c>
      <c r="S299" s="307">
        <f t="shared" ca="1" si="137"/>
        <v>16.558756369878818</v>
      </c>
      <c r="T299" s="304">
        <f t="shared" ca="1" si="117"/>
        <v>162.44139998851122</v>
      </c>
      <c r="U299" s="311">
        <f t="shared" ca="1" si="118"/>
        <v>0</v>
      </c>
      <c r="V299" s="306">
        <f t="shared" ca="1" si="119"/>
        <v>1.1829373531857499</v>
      </c>
      <c r="W299" s="304">
        <f t="shared" ca="1" si="120"/>
        <v>459.62318428539817</v>
      </c>
      <c r="Y299" s="314" t="str">
        <f t="shared" ca="1" si="138"/>
        <v/>
      </c>
      <c r="Z299" s="315" t="str">
        <f t="shared" ca="1" si="139"/>
        <v/>
      </c>
      <c r="AA299" s="316" t="str">
        <f t="shared" ca="1" si="140"/>
        <v/>
      </c>
      <c r="AC299" s="310" t="e">
        <f t="shared" ca="1" si="141"/>
        <v>#N/A</v>
      </c>
      <c r="AD299" s="323" t="e">
        <f t="shared" ca="1" si="142"/>
        <v>#N/A</v>
      </c>
      <c r="AE299" s="324">
        <f t="shared" ca="1" si="121"/>
        <v>349.36662084335518</v>
      </c>
      <c r="AG299" s="306">
        <f t="shared" ca="1" si="143"/>
        <v>96.20349804093793</v>
      </c>
      <c r="AH299" s="304">
        <f t="shared" ca="1" si="144"/>
        <v>105.46290286908983</v>
      </c>
    </row>
    <row r="300" spans="1:34" x14ac:dyDescent="0.2">
      <c r="A300" s="347">
        <f t="shared" ca="1" si="122"/>
        <v>0.01</v>
      </c>
      <c r="B300" s="304">
        <f t="shared" ca="1" si="123"/>
        <v>2.9599999999999809</v>
      </c>
      <c r="D300" s="306">
        <f t="shared" ca="1" si="124"/>
        <v>34.81466413349667</v>
      </c>
      <c r="E300" s="307">
        <f t="shared" ca="1" si="125"/>
        <v>89.636211088842472</v>
      </c>
      <c r="F300" s="304">
        <f t="shared" ca="1" si="126"/>
        <v>96.159821012165494</v>
      </c>
      <c r="G300" s="306">
        <f t="shared" ca="1" si="127"/>
        <v>86.909883091503161</v>
      </c>
      <c r="H300" s="307">
        <f t="shared" ca="1" si="128"/>
        <v>248.15529536475907</v>
      </c>
      <c r="I300" s="304">
        <f t="shared" ca="1" si="129"/>
        <v>262.9341712226647</v>
      </c>
      <c r="J300" s="306">
        <f t="shared" ca="1" si="130"/>
        <v>116.53470276142582</v>
      </c>
      <c r="K300" s="307">
        <f t="shared" ca="1" si="131"/>
        <v>351.84369198644833</v>
      </c>
      <c r="L300" s="304">
        <f t="shared" ca="1" si="116"/>
        <v>370.64041946116532</v>
      </c>
      <c r="M300" s="306">
        <f t="shared" ca="1" si="132"/>
        <v>1.2339221716408346</v>
      </c>
      <c r="N300" s="304">
        <f t="shared" ca="1" si="133"/>
        <v>70.69853268263698</v>
      </c>
      <c r="P300" s="310">
        <f t="shared" ca="1" si="134"/>
        <v>11</v>
      </c>
      <c r="Q300" s="304">
        <f t="shared" ca="1" si="135"/>
        <v>2202.9270698365522</v>
      </c>
      <c r="R300" s="306">
        <f t="shared" ca="1" si="136"/>
        <v>1.3247833649304375</v>
      </c>
      <c r="S300" s="307">
        <f t="shared" ca="1" si="137"/>
        <v>16.545508536229512</v>
      </c>
      <c r="T300" s="304">
        <f t="shared" ca="1" si="117"/>
        <v>162.31143874041152</v>
      </c>
      <c r="U300" s="311">
        <f t="shared" ca="1" si="118"/>
        <v>0</v>
      </c>
      <c r="V300" s="306">
        <f t="shared" ca="1" si="119"/>
        <v>1.1826442774220887</v>
      </c>
      <c r="W300" s="304">
        <f t="shared" ca="1" si="120"/>
        <v>462.88693412371907</v>
      </c>
      <c r="Y300" s="314" t="str">
        <f t="shared" ca="1" si="138"/>
        <v/>
      </c>
      <c r="Z300" s="315" t="str">
        <f t="shared" ca="1" si="139"/>
        <v/>
      </c>
      <c r="AA300" s="316" t="str">
        <f t="shared" ca="1" si="140"/>
        <v/>
      </c>
      <c r="AC300" s="310" t="e">
        <f t="shared" ca="1" si="141"/>
        <v>#N/A</v>
      </c>
      <c r="AD300" s="323" t="e">
        <f t="shared" ca="1" si="142"/>
        <v>#N/A</v>
      </c>
      <c r="AE300" s="324">
        <f t="shared" ca="1" si="121"/>
        <v>351.84369198644833</v>
      </c>
      <c r="AG300" s="306">
        <f t="shared" ca="1" si="143"/>
        <v>96.105172762074218</v>
      </c>
      <c r="AH300" s="304">
        <f t="shared" ca="1" si="144"/>
        <v>105.36417673315155</v>
      </c>
    </row>
    <row r="301" spans="1:34" x14ac:dyDescent="0.2">
      <c r="A301" s="347">
        <f t="shared" ca="1" si="122"/>
        <v>0.01</v>
      </c>
      <c r="B301" s="304">
        <f t="shared" ca="1" si="123"/>
        <v>2.9699999999999807</v>
      </c>
      <c r="D301" s="306">
        <f t="shared" ca="1" si="124"/>
        <v>34.794103770998532</v>
      </c>
      <c r="E301" s="307">
        <f t="shared" ca="1" si="125"/>
        <v>89.538207489285682</v>
      </c>
      <c r="F301" s="304">
        <f t="shared" ca="1" si="126"/>
        <v>96.061023613229267</v>
      </c>
      <c r="G301" s="306">
        <f t="shared" ca="1" si="127"/>
        <v>87.257824129213148</v>
      </c>
      <c r="H301" s="307">
        <f t="shared" ca="1" si="128"/>
        <v>249.05067743965193</v>
      </c>
      <c r="I301" s="304">
        <f t="shared" ca="1" si="129"/>
        <v>263.89423602063431</v>
      </c>
      <c r="J301" s="306">
        <f t="shared" ca="1" si="130"/>
        <v>117.4055412975294</v>
      </c>
      <c r="K301" s="307">
        <f t="shared" ca="1" si="131"/>
        <v>354.32972185047038</v>
      </c>
      <c r="L301" s="304">
        <f t="shared" ca="1" si="116"/>
        <v>373.27417927576721</v>
      </c>
      <c r="M301" s="306">
        <f t="shared" ca="1" si="132"/>
        <v>1.2337992972893883</v>
      </c>
      <c r="N301" s="304">
        <f t="shared" ca="1" si="133"/>
        <v>70.6914925008887</v>
      </c>
      <c r="P301" s="310">
        <f t="shared" ca="1" si="134"/>
        <v>11</v>
      </c>
      <c r="Q301" s="304">
        <f t="shared" ca="1" si="135"/>
        <v>2203.1533105497765</v>
      </c>
      <c r="R301" s="306">
        <f t="shared" ca="1" si="136"/>
        <v>1.3249194202440489</v>
      </c>
      <c r="S301" s="307">
        <f t="shared" ca="1" si="137"/>
        <v>16.532259342027071</v>
      </c>
      <c r="T301" s="304">
        <f t="shared" ca="1" si="117"/>
        <v>162.18146414528559</v>
      </c>
      <c r="U301" s="311">
        <f t="shared" ca="1" si="118"/>
        <v>0</v>
      </c>
      <c r="V301" s="306">
        <f t="shared" ca="1" si="119"/>
        <v>1.1823502134240396</v>
      </c>
      <c r="W301" s="304">
        <f t="shared" ca="1" si="120"/>
        <v>466.15749161595386</v>
      </c>
      <c r="Y301" s="314" t="str">
        <f t="shared" ca="1" si="138"/>
        <v/>
      </c>
      <c r="Z301" s="315" t="str">
        <f t="shared" ca="1" si="139"/>
        <v/>
      </c>
      <c r="AA301" s="316" t="str">
        <f t="shared" ca="1" si="140"/>
        <v/>
      </c>
      <c r="AC301" s="310" t="e">
        <f t="shared" ca="1" si="141"/>
        <v>#N/A</v>
      </c>
      <c r="AD301" s="323" t="e">
        <f t="shared" ca="1" si="142"/>
        <v>#N/A</v>
      </c>
      <c r="AE301" s="324">
        <f t="shared" ca="1" si="121"/>
        <v>354.32972185047038</v>
      </c>
      <c r="AG301" s="306">
        <f t="shared" ca="1" si="143"/>
        <v>96.006280581798833</v>
      </c>
      <c r="AH301" s="304">
        <f t="shared" ca="1" si="144"/>
        <v>105.26488487886725</v>
      </c>
    </row>
    <row r="302" spans="1:34" x14ac:dyDescent="0.2">
      <c r="A302" s="347">
        <f t="shared" ca="1" si="122"/>
        <v>0.01</v>
      </c>
      <c r="B302" s="304">
        <f t="shared" ca="1" si="123"/>
        <v>2.9799999999999804</v>
      </c>
      <c r="D302" s="306">
        <f t="shared" ca="1" si="124"/>
        <v>34.773293486348784</v>
      </c>
      <c r="E302" s="307">
        <f t="shared" ca="1" si="125"/>
        <v>89.439693491767954</v>
      </c>
      <c r="F302" s="304">
        <f t="shared" ca="1" si="126"/>
        <v>95.961662718968896</v>
      </c>
      <c r="G302" s="306">
        <f t="shared" ca="1" si="127"/>
        <v>87.605557064076635</v>
      </c>
      <c r="H302" s="307">
        <f t="shared" ca="1" si="128"/>
        <v>249.9450743745696</v>
      </c>
      <c r="I302" s="304">
        <f t="shared" ca="1" si="129"/>
        <v>264.85330625200118</v>
      </c>
      <c r="J302" s="306">
        <f t="shared" ca="1" si="130"/>
        <v>118.27985820349585</v>
      </c>
      <c r="K302" s="307">
        <f t="shared" ca="1" si="131"/>
        <v>356.82470060954148</v>
      </c>
      <c r="L302" s="304">
        <f t="shared" ca="1" si="116"/>
        <v>375.91753327256231</v>
      </c>
      <c r="M302" s="306">
        <f t="shared" ca="1" si="132"/>
        <v>1.233676824930009</v>
      </c>
      <c r="N302" s="304">
        <f t="shared" ca="1" si="133"/>
        <v>70.684475351589256</v>
      </c>
      <c r="P302" s="310">
        <f t="shared" ca="1" si="134"/>
        <v>11</v>
      </c>
      <c r="Q302" s="304">
        <f t="shared" ca="1" si="135"/>
        <v>2203.3795512630013</v>
      </c>
      <c r="R302" s="306">
        <f t="shared" ca="1" si="136"/>
        <v>1.3250554755576605</v>
      </c>
      <c r="S302" s="307">
        <f t="shared" ca="1" si="137"/>
        <v>16.519008787271495</v>
      </c>
      <c r="T302" s="304">
        <f t="shared" ca="1" si="117"/>
        <v>162.05147620313338</v>
      </c>
      <c r="U302" s="311">
        <f t="shared" ca="1" si="118"/>
        <v>0</v>
      </c>
      <c r="V302" s="306">
        <f t="shared" ca="1" si="119"/>
        <v>1.182055163103743</v>
      </c>
      <c r="W302" s="304">
        <f t="shared" ca="1" si="120"/>
        <v>469.43478430115954</v>
      </c>
      <c r="Y302" s="314" t="str">
        <f t="shared" ca="1" si="138"/>
        <v/>
      </c>
      <c r="Z302" s="315" t="str">
        <f t="shared" ca="1" si="139"/>
        <v/>
      </c>
      <c r="AA302" s="316" t="str">
        <f t="shared" ca="1" si="140"/>
        <v/>
      </c>
      <c r="AC302" s="310" t="e">
        <f t="shared" ca="1" si="141"/>
        <v>#N/A</v>
      </c>
      <c r="AD302" s="323" t="e">
        <f t="shared" ca="1" si="142"/>
        <v>#N/A</v>
      </c>
      <c r="AE302" s="324">
        <f t="shared" ca="1" si="121"/>
        <v>356.82470060954148</v>
      </c>
      <c r="AG302" s="306">
        <f t="shared" ca="1" si="143"/>
        <v>95.906824503609101</v>
      </c>
      <c r="AH302" s="304">
        <f t="shared" ca="1" si="144"/>
        <v>105.16503030046458</v>
      </c>
    </row>
    <row r="303" spans="1:34" x14ac:dyDescent="0.2">
      <c r="A303" s="347">
        <f t="shared" ca="1" si="122"/>
        <v>0.01</v>
      </c>
      <c r="B303" s="304">
        <f t="shared" ca="1" si="123"/>
        <v>2.9899999999999802</v>
      </c>
      <c r="D303" s="306">
        <f t="shared" ca="1" si="124"/>
        <v>34.752234523178871</v>
      </c>
      <c r="E303" s="307">
        <f t="shared" ca="1" si="125"/>
        <v>89.340671871479415</v>
      </c>
      <c r="F303" s="304">
        <f t="shared" ca="1" si="126"/>
        <v>95.861741350767133</v>
      </c>
      <c r="G303" s="306">
        <f t="shared" ca="1" si="127"/>
        <v>87.95307940930843</v>
      </c>
      <c r="H303" s="307">
        <f t="shared" ca="1" si="128"/>
        <v>250.8384810932844</v>
      </c>
      <c r="I303" s="304">
        <f t="shared" ca="1" si="129"/>
        <v>265.81137630802431</v>
      </c>
      <c r="J303" s="306">
        <f t="shared" ca="1" si="130"/>
        <v>119.15765138586278</v>
      </c>
      <c r="K303" s="307">
        <f t="shared" ca="1" si="131"/>
        <v>359.32861838688075</v>
      </c>
      <c r="L303" s="304">
        <f t="shared" ca="1" si="116"/>
        <v>378.57047147871873</v>
      </c>
      <c r="M303" s="306">
        <f t="shared" ca="1" si="132"/>
        <v>1.2335547513443856</v>
      </c>
      <c r="N303" s="304">
        <f t="shared" ca="1" si="133"/>
        <v>70.677481050343005</v>
      </c>
      <c r="P303" s="310">
        <f t="shared" ca="1" si="134"/>
        <v>11</v>
      </c>
      <c r="Q303" s="304">
        <f t="shared" ca="1" si="135"/>
        <v>2203.6057919762256</v>
      </c>
      <c r="R303" s="306">
        <f t="shared" ca="1" si="136"/>
        <v>1.3251915308712718</v>
      </c>
      <c r="S303" s="307">
        <f t="shared" ca="1" si="137"/>
        <v>16.505756871962785</v>
      </c>
      <c r="T303" s="304">
        <f t="shared" ca="1" si="117"/>
        <v>161.92147491395494</v>
      </c>
      <c r="U303" s="311">
        <f t="shared" ca="1" si="118"/>
        <v>0</v>
      </c>
      <c r="V303" s="306">
        <f t="shared" ca="1" si="119"/>
        <v>1.1817591283804521</v>
      </c>
      <c r="W303" s="304">
        <f t="shared" ca="1" si="120"/>
        <v>472.71873961446295</v>
      </c>
      <c r="Y303" s="314" t="str">
        <f t="shared" ca="1" si="138"/>
        <v/>
      </c>
      <c r="Z303" s="315" t="str">
        <f t="shared" ca="1" si="139"/>
        <v/>
      </c>
      <c r="AA303" s="316" t="str">
        <f t="shared" ca="1" si="140"/>
        <v/>
      </c>
      <c r="AC303" s="310" t="e">
        <f t="shared" ca="1" si="141"/>
        <v>#N/A</v>
      </c>
      <c r="AD303" s="323" t="e">
        <f t="shared" ca="1" si="142"/>
        <v>#N/A</v>
      </c>
      <c r="AE303" s="324">
        <f t="shared" ca="1" si="121"/>
        <v>359.32861838688075</v>
      </c>
      <c r="AG303" s="306">
        <f t="shared" ca="1" si="143"/>
        <v>95.806807546786047</v>
      </c>
      <c r="AH303" s="304">
        <f t="shared" ca="1" si="144"/>
        <v>105.06461600805385</v>
      </c>
    </row>
    <row r="304" spans="1:34" x14ac:dyDescent="0.2">
      <c r="A304" s="347">
        <f t="shared" ca="1" si="122"/>
        <v>0.01</v>
      </c>
      <c r="B304" s="304">
        <f t="shared" ca="1" si="123"/>
        <v>2.99999999999998</v>
      </c>
      <c r="D304" s="306">
        <f t="shared" ca="1" si="124"/>
        <v>34.730928128114812</v>
      </c>
      <c r="E304" s="307">
        <f t="shared" ca="1" si="125"/>
        <v>89.241145418955441</v>
      </c>
      <c r="F304" s="304">
        <f t="shared" ca="1" si="126"/>
        <v>95.761262545600502</v>
      </c>
      <c r="G304" s="306">
        <f t="shared" ca="1" si="127"/>
        <v>88.300388690589571</v>
      </c>
      <c r="H304" s="307">
        <f t="shared" ca="1" si="128"/>
        <v>251.73089254747396</v>
      </c>
      <c r="I304" s="304">
        <f t="shared" ca="1" si="129"/>
        <v>266.76844061031107</v>
      </c>
      <c r="J304" s="306">
        <f t="shared" ca="1" si="130"/>
        <v>120.03891872636227</v>
      </c>
      <c r="K304" s="307">
        <f t="shared" ca="1" si="131"/>
        <v>361.84146525508453</v>
      </c>
      <c r="L304" s="304">
        <f t="shared" ca="1" si="116"/>
        <v>381.232983865432</v>
      </c>
      <c r="M304" s="306">
        <f t="shared" ca="1" si="132"/>
        <v>1.233433073349689</v>
      </c>
      <c r="N304" s="304">
        <f t="shared" ca="1" si="133"/>
        <v>70.670509414787276</v>
      </c>
      <c r="P304" s="310">
        <f t="shared" ca="1" si="134"/>
        <v>11</v>
      </c>
      <c r="Q304" s="304">
        <f t="shared" ca="1" si="135"/>
        <v>2203.83203268945</v>
      </c>
      <c r="R304" s="306">
        <f t="shared" ca="1" si="136"/>
        <v>1.3253275861848832</v>
      </c>
      <c r="S304" s="307">
        <f t="shared" ca="1" si="137"/>
        <v>16.492503596100935</v>
      </c>
      <c r="T304" s="304">
        <f t="shared" ca="1" si="117"/>
        <v>161.79146027775019</v>
      </c>
      <c r="U304" s="311">
        <f t="shared" ca="1" si="118"/>
        <v>0</v>
      </c>
      <c r="V304" s="306">
        <f t="shared" ca="1" si="119"/>
        <v>1.1814621111804804</v>
      </c>
      <c r="W304" s="304">
        <f t="shared" ca="1" si="120"/>
        <v>476.00928489118996</v>
      </c>
      <c r="Y304" s="314" t="str">
        <f t="shared" ca="1" si="138"/>
        <v/>
      </c>
      <c r="Z304" s="315" t="str">
        <f t="shared" ca="1" si="139"/>
        <v/>
      </c>
      <c r="AA304" s="316" t="str">
        <f t="shared" ca="1" si="140"/>
        <v/>
      </c>
      <c r="AC304" s="310">
        <f t="shared" ca="1" si="141"/>
        <v>2.99999999999998</v>
      </c>
      <c r="AD304" s="323">
        <f t="shared" ca="1" si="142"/>
        <v>120.03891872636227</v>
      </c>
      <c r="AE304" s="324">
        <f t="shared" ca="1" si="121"/>
        <v>361.84146525508453</v>
      </c>
      <c r="AG304" s="306">
        <f t="shared" ca="1" si="143"/>
        <v>95.706232746212166</v>
      </c>
      <c r="AH304" s="304">
        <f t="shared" ca="1" si="144"/>
        <v>104.9636450274443</v>
      </c>
    </row>
    <row r="305" spans="1:34" x14ac:dyDescent="0.2">
      <c r="A305" s="347">
        <f t="shared" ca="1" si="122"/>
        <v>0.01</v>
      </c>
      <c r="B305" s="304">
        <f t="shared" ca="1" si="123"/>
        <v>3.0099999999999798</v>
      </c>
      <c r="D305" s="306">
        <f t="shared" ca="1" si="124"/>
        <v>34.709375550766993</v>
      </c>
      <c r="E305" s="307">
        <f t="shared" ca="1" si="125"/>
        <v>89.141116939887439</v>
      </c>
      <c r="F305" s="304">
        <f t="shared" ca="1" si="126"/>
        <v>95.660229355855449</v>
      </c>
      <c r="G305" s="306">
        <f t="shared" ca="1" si="127"/>
        <v>88.647482446097243</v>
      </c>
      <c r="H305" s="307">
        <f t="shared" ca="1" si="128"/>
        <v>252.62230371687284</v>
      </c>
      <c r="I305" s="304">
        <f t="shared" ca="1" si="129"/>
        <v>267.72449361097136</v>
      </c>
      <c r="J305" s="306">
        <f t="shared" ca="1" si="130"/>
        <v>120.9236580820457</v>
      </c>
      <c r="K305" s="307">
        <f t="shared" ca="1" si="131"/>
        <v>364.36323123640625</v>
      </c>
      <c r="L305" s="304">
        <f t="shared" ca="1" si="116"/>
        <v>383.90506034823034</v>
      </c>
      <c r="M305" s="306">
        <f t="shared" ca="1" si="132"/>
        <v>1.2333117877980511</v>
      </c>
      <c r="N305" s="304">
        <f t="shared" ca="1" si="133"/>
        <v>70.663560264562506</v>
      </c>
      <c r="P305" s="310">
        <f t="shared" ca="1" si="134"/>
        <v>11</v>
      </c>
      <c r="Q305" s="304">
        <f t="shared" ca="1" si="135"/>
        <v>2204.0582734026743</v>
      </c>
      <c r="R305" s="306">
        <f t="shared" ca="1" si="136"/>
        <v>1.3254636414984946</v>
      </c>
      <c r="S305" s="307">
        <f t="shared" ca="1" si="137"/>
        <v>16.47924895968595</v>
      </c>
      <c r="T305" s="304">
        <f t="shared" ca="1" si="117"/>
        <v>161.66143229451919</v>
      </c>
      <c r="U305" s="311">
        <f t="shared" ca="1" si="118"/>
        <v>0</v>
      </c>
      <c r="V305" s="306">
        <f t="shared" ca="1" si="119"/>
        <v>1.181164113437148</v>
      </c>
      <c r="W305" s="304">
        <f t="shared" ca="1" si="120"/>
        <v>479.30634737099189</v>
      </c>
      <c r="Y305" s="314" t="str">
        <f t="shared" ca="1" si="138"/>
        <v/>
      </c>
      <c r="Z305" s="315" t="str">
        <f t="shared" ca="1" si="139"/>
        <v/>
      </c>
      <c r="AA305" s="316" t="str">
        <f t="shared" ca="1" si="140"/>
        <v/>
      </c>
      <c r="AC305" s="310" t="e">
        <f t="shared" ca="1" si="141"/>
        <v>#N/A</v>
      </c>
      <c r="AD305" s="323" t="e">
        <f t="shared" ca="1" si="142"/>
        <v>#N/A</v>
      </c>
      <c r="AE305" s="324">
        <f t="shared" ca="1" si="121"/>
        <v>364.36323123640625</v>
      </c>
      <c r="AG305" s="306">
        <f t="shared" ca="1" si="143"/>
        <v>95.605103152187468</v>
      </c>
      <c r="AH305" s="304">
        <f t="shared" ca="1" si="144"/>
        <v>104.86212039995883</v>
      </c>
    </row>
    <row r="306" spans="1:34" x14ac:dyDescent="0.2">
      <c r="A306" s="347">
        <f t="shared" ca="1" si="122"/>
        <v>0.01</v>
      </c>
      <c r="B306" s="304">
        <f t="shared" ca="1" si="123"/>
        <v>3.0199999999999796</v>
      </c>
      <c r="D306" s="306">
        <f t="shared" ca="1" si="124"/>
        <v>34.687578043719043</v>
      </c>
      <c r="E306" s="307">
        <f t="shared" ca="1" si="125"/>
        <v>89.040589254933934</v>
      </c>
      <c r="F306" s="304">
        <f t="shared" ca="1" si="126"/>
        <v>95.558644849144642</v>
      </c>
      <c r="G306" s="306">
        <f t="shared" ca="1" si="127"/>
        <v>88.99435822653443</v>
      </c>
      <c r="H306" s="307">
        <f t="shared" ca="1" si="128"/>
        <v>253.51270960942219</v>
      </c>
      <c r="I306" s="304">
        <f t="shared" ca="1" si="129"/>
        <v>268.67952979276993</v>
      </c>
      <c r="J306" s="306">
        <f t="shared" ca="1" si="130"/>
        <v>121.81186728540887</v>
      </c>
      <c r="K306" s="307">
        <f t="shared" ca="1" si="131"/>
        <v>366.89390630303774</v>
      </c>
      <c r="L306" s="304">
        <f t="shared" ca="1" si="116"/>
        <v>386.5866907872803</v>
      </c>
      <c r="M306" s="306">
        <f t="shared" ca="1" si="132"/>
        <v>1.2331908915760545</v>
      </c>
      <c r="N306" s="304">
        <f t="shared" ca="1" si="133"/>
        <v>70.656633421283033</v>
      </c>
      <c r="P306" s="310">
        <f t="shared" ca="1" si="134"/>
        <v>11</v>
      </c>
      <c r="Q306" s="304">
        <f t="shared" ca="1" si="135"/>
        <v>2204.2845141158987</v>
      </c>
      <c r="R306" s="306">
        <f t="shared" ca="1" si="136"/>
        <v>1.325599696812106</v>
      </c>
      <c r="S306" s="307">
        <f t="shared" ca="1" si="137"/>
        <v>16.465992962717831</v>
      </c>
      <c r="T306" s="304">
        <f t="shared" ca="1" si="117"/>
        <v>161.53139096426193</v>
      </c>
      <c r="U306" s="311">
        <f t="shared" ca="1" si="118"/>
        <v>0</v>
      </c>
      <c r="V306" s="306">
        <f t="shared" ca="1" si="119"/>
        <v>1.1808651370907246</v>
      </c>
      <c r="W306" s="304">
        <f t="shared" ca="1" si="120"/>
        <v>482.60985420196914</v>
      </c>
      <c r="Y306" s="314" t="str">
        <f t="shared" ca="1" si="138"/>
        <v/>
      </c>
      <c r="Z306" s="315" t="str">
        <f t="shared" ca="1" si="139"/>
        <v/>
      </c>
      <c r="AA306" s="316" t="str">
        <f t="shared" ca="1" si="140"/>
        <v/>
      </c>
      <c r="AC306" s="310" t="e">
        <f t="shared" ca="1" si="141"/>
        <v>#N/A</v>
      </c>
      <c r="AD306" s="323" t="e">
        <f t="shared" ca="1" si="142"/>
        <v>#N/A</v>
      </c>
      <c r="AE306" s="324">
        <f t="shared" ca="1" si="121"/>
        <v>366.89390630303774</v>
      </c>
      <c r="AG306" s="306">
        <f t="shared" ca="1" si="143"/>
        <v>95.503421830245458</v>
      </c>
      <c r="AH306" s="304">
        <f t="shared" ca="1" si="144"/>
        <v>104.76004518224856</v>
      </c>
    </row>
    <row r="307" spans="1:34" x14ac:dyDescent="0.2">
      <c r="A307" s="347">
        <f t="shared" ca="1" si="122"/>
        <v>0.01</v>
      </c>
      <c r="B307" s="304">
        <f t="shared" ca="1" si="123"/>
        <v>3.0299999999999794</v>
      </c>
      <c r="D307" s="306">
        <f t="shared" ca="1" si="124"/>
        <v>34.665536862515275</v>
      </c>
      <c r="E307" s="307">
        <f t="shared" ca="1" si="125"/>
        <v>88.939565199530733</v>
      </c>
      <c r="F307" s="304">
        <f t="shared" ca="1" si="126"/>
        <v>95.456512108121686</v>
      </c>
      <c r="G307" s="306">
        <f t="shared" ca="1" si="127"/>
        <v>89.341013595159581</v>
      </c>
      <c r="H307" s="307">
        <f t="shared" ca="1" si="128"/>
        <v>254.40210526141749</v>
      </c>
      <c r="I307" s="304">
        <f t="shared" ca="1" si="129"/>
        <v>269.63354366927689</v>
      </c>
      <c r="J307" s="306">
        <f t="shared" ca="1" si="130"/>
        <v>122.70354414451734</v>
      </c>
      <c r="K307" s="307">
        <f t="shared" ca="1" si="131"/>
        <v>369.43348037739196</v>
      </c>
      <c r="L307" s="304">
        <f t="shared" ca="1" si="116"/>
        <v>389.27786498769535</v>
      </c>
      <c r="M307" s="306">
        <f t="shared" ca="1" si="132"/>
        <v>1.2330703816042328</v>
      </c>
      <c r="N307" s="304">
        <f t="shared" ca="1" si="133"/>
        <v>70.649728708508405</v>
      </c>
      <c r="P307" s="310">
        <f t="shared" ca="1" si="134"/>
        <v>11</v>
      </c>
      <c r="Q307" s="304">
        <f t="shared" ca="1" si="135"/>
        <v>2204.510754829123</v>
      </c>
      <c r="R307" s="306">
        <f t="shared" ca="1" si="136"/>
        <v>1.3257357521257174</v>
      </c>
      <c r="S307" s="307">
        <f t="shared" ca="1" si="137"/>
        <v>16.452735605196573</v>
      </c>
      <c r="T307" s="304">
        <f t="shared" ca="1" si="117"/>
        <v>161.40133628697839</v>
      </c>
      <c r="U307" s="311">
        <f t="shared" ca="1" si="118"/>
        <v>0</v>
      </c>
      <c r="V307" s="306">
        <f t="shared" ca="1" si="119"/>
        <v>1.1805651840883775</v>
      </c>
      <c r="W307" s="304">
        <f t="shared" ca="1" si="120"/>
        <v>485.91973244479493</v>
      </c>
      <c r="Y307" s="314" t="str">
        <f t="shared" ca="1" si="138"/>
        <v/>
      </c>
      <c r="Z307" s="315" t="str">
        <f t="shared" ca="1" si="139"/>
        <v/>
      </c>
      <c r="AA307" s="316" t="str">
        <f t="shared" ca="1" si="140"/>
        <v/>
      </c>
      <c r="AC307" s="310" t="e">
        <f t="shared" ca="1" si="141"/>
        <v>#N/A</v>
      </c>
      <c r="AD307" s="323" t="e">
        <f t="shared" ca="1" si="142"/>
        <v>#N/A</v>
      </c>
      <c r="AE307" s="324">
        <f t="shared" ca="1" si="121"/>
        <v>369.43348037739196</v>
      </c>
      <c r="AG307" s="306">
        <f t="shared" ca="1" si="143"/>
        <v>95.401191860968041</v>
      </c>
      <c r="AH307" s="304">
        <f t="shared" ca="1" si="144"/>
        <v>104.65742244610641</v>
      </c>
    </row>
    <row r="308" spans="1:34" x14ac:dyDescent="0.2">
      <c r="A308" s="347">
        <f t="shared" ca="1" si="122"/>
        <v>0.01</v>
      </c>
      <c r="B308" s="304">
        <f t="shared" ca="1" si="123"/>
        <v>3.0399999999999792</v>
      </c>
      <c r="D308" s="306">
        <f t="shared" ca="1" si="124"/>
        <v>34.643253265646742</v>
      </c>
      <c r="E308" s="307">
        <f t="shared" ca="1" si="125"/>
        <v>88.838047623700845</v>
      </c>
      <c r="F308" s="304">
        <f t="shared" ca="1" si="126"/>
        <v>95.353834230295547</v>
      </c>
      <c r="G308" s="306">
        <f t="shared" ca="1" si="127"/>
        <v>89.687446127816045</v>
      </c>
      <c r="H308" s="307">
        <f t="shared" ca="1" si="128"/>
        <v>255.29048573765451</v>
      </c>
      <c r="I308" s="304">
        <f t="shared" ca="1" si="129"/>
        <v>270.58652978501624</v>
      </c>
      <c r="J308" s="306">
        <f t="shared" ca="1" si="130"/>
        <v>123.59868644313221</v>
      </c>
      <c r="K308" s="307">
        <f t="shared" ca="1" si="131"/>
        <v>371.98194333238735</v>
      </c>
      <c r="L308" s="304">
        <f t="shared" ca="1" si="116"/>
        <v>391.97857269984434</v>
      </c>
      <c r="M308" s="306">
        <f t="shared" ca="1" si="132"/>
        <v>1.2329502548365774</v>
      </c>
      <c r="N308" s="304">
        <f t="shared" ca="1" si="133"/>
        <v>70.642845951715202</v>
      </c>
      <c r="P308" s="310">
        <f t="shared" ca="1" si="134"/>
        <v>11</v>
      </c>
      <c r="Q308" s="304">
        <f t="shared" ca="1" si="135"/>
        <v>2204.7369955423474</v>
      </c>
      <c r="R308" s="306">
        <f t="shared" ca="1" si="136"/>
        <v>1.3258718074393288</v>
      </c>
      <c r="S308" s="307">
        <f t="shared" ca="1" si="137"/>
        <v>16.439476887122179</v>
      </c>
      <c r="T308" s="304">
        <f t="shared" ca="1" si="117"/>
        <v>161.2712682626686</v>
      </c>
      <c r="U308" s="311">
        <f t="shared" ca="1" si="118"/>
        <v>0</v>
      </c>
      <c r="V308" s="306">
        <f t="shared" ca="1" si="119"/>
        <v>1.1802642563841157</v>
      </c>
      <c r="W308" s="304">
        <f t="shared" ca="1" si="120"/>
        <v>489.23590907683212</v>
      </c>
      <c r="Y308" s="314" t="str">
        <f t="shared" ca="1" si="138"/>
        <v/>
      </c>
      <c r="Z308" s="315" t="str">
        <f t="shared" ca="1" si="139"/>
        <v/>
      </c>
      <c r="AA308" s="316" t="str">
        <f t="shared" ca="1" si="140"/>
        <v/>
      </c>
      <c r="AC308" s="310" t="e">
        <f t="shared" ca="1" si="141"/>
        <v>#N/A</v>
      </c>
      <c r="AD308" s="323" t="e">
        <f t="shared" ca="1" si="142"/>
        <v>#N/A</v>
      </c>
      <c r="AE308" s="324">
        <f t="shared" ca="1" si="121"/>
        <v>371.98194333238735</v>
      </c>
      <c r="AG308" s="306">
        <f t="shared" ca="1" si="143"/>
        <v>95.29841633979953</v>
      </c>
      <c r="AH308" s="304">
        <f t="shared" ca="1" si="144"/>
        <v>104.55425527827977</v>
      </c>
    </row>
    <row r="309" spans="1:34" x14ac:dyDescent="0.2">
      <c r="A309" s="347">
        <f t="shared" ca="1" si="122"/>
        <v>0.01</v>
      </c>
      <c r="B309" s="304">
        <f t="shared" ca="1" si="123"/>
        <v>3.049999999999979</v>
      </c>
      <c r="D309" s="306">
        <f t="shared" ca="1" si="124"/>
        <v>34.620728514536346</v>
      </c>
      <c r="E309" s="307">
        <f t="shared" ca="1" si="125"/>
        <v>88.736039391864111</v>
      </c>
      <c r="F309" s="304">
        <f t="shared" ca="1" si="126"/>
        <v>95.250614327844048</v>
      </c>
      <c r="G309" s="306">
        <f t="shared" ca="1" si="127"/>
        <v>90.033653412961414</v>
      </c>
      <c r="H309" s="307">
        <f t="shared" ca="1" si="128"/>
        <v>256.17784613157318</v>
      </c>
      <c r="I309" s="304">
        <f t="shared" ca="1" si="129"/>
        <v>271.53848271561299</v>
      </c>
      <c r="J309" s="306">
        <f t="shared" ca="1" si="130"/>
        <v>124.49729194083609</v>
      </c>
      <c r="K309" s="307">
        <f t="shared" ca="1" si="131"/>
        <v>374.5392849917335</v>
      </c>
      <c r="L309" s="304">
        <f t="shared" ca="1" si="116"/>
        <v>394.68880361966279</v>
      </c>
      <c r="M309" s="306">
        <f t="shared" ca="1" si="132"/>
        <v>1.2328305082600548</v>
      </c>
      <c r="N309" s="304">
        <f t="shared" ca="1" si="133"/>
        <v>70.63598497826932</v>
      </c>
      <c r="P309" s="310">
        <f t="shared" ca="1" si="134"/>
        <v>11</v>
      </c>
      <c r="Q309" s="304">
        <f t="shared" ca="1" si="135"/>
        <v>2204.9632362555717</v>
      </c>
      <c r="R309" s="306">
        <f t="shared" ca="1" si="136"/>
        <v>1.3260078627529401</v>
      </c>
      <c r="S309" s="307">
        <f t="shared" ca="1" si="137"/>
        <v>16.426216808494651</v>
      </c>
      <c r="T309" s="304">
        <f t="shared" ca="1" si="117"/>
        <v>161.14118689133252</v>
      </c>
      <c r="U309" s="311">
        <f t="shared" ca="1" si="118"/>
        <v>0</v>
      </c>
      <c r="V309" s="306">
        <f t="shared" ca="1" si="119"/>
        <v>1.1799623559387338</v>
      </c>
      <c r="W309" s="304">
        <f t="shared" ca="1" si="120"/>
        <v>492.55831099625146</v>
      </c>
      <c r="Y309" s="314" t="str">
        <f t="shared" ca="1" si="138"/>
        <v/>
      </c>
      <c r="Z309" s="315" t="str">
        <f t="shared" ca="1" si="139"/>
        <v/>
      </c>
      <c r="AA309" s="316" t="str">
        <f t="shared" ca="1" si="140"/>
        <v/>
      </c>
      <c r="AC309" s="310" t="e">
        <f t="shared" ca="1" si="141"/>
        <v>#N/A</v>
      </c>
      <c r="AD309" s="323" t="e">
        <f t="shared" ca="1" si="142"/>
        <v>#N/A</v>
      </c>
      <c r="AE309" s="324">
        <f t="shared" ca="1" si="121"/>
        <v>374.5392849917335</v>
      </c>
      <c r="AG309" s="306">
        <f t="shared" ca="1" si="143"/>
        <v>95.195098376860287</v>
      </c>
      <c r="AH309" s="304">
        <f t="shared" ca="1" si="144"/>
        <v>104.45054678028289</v>
      </c>
    </row>
    <row r="310" spans="1:34" x14ac:dyDescent="0.2">
      <c r="A310" s="347">
        <f t="shared" ca="1" si="122"/>
        <v>0.01</v>
      </c>
      <c r="B310" s="304">
        <f t="shared" ca="1" si="123"/>
        <v>3.0599999999999787</v>
      </c>
      <c r="D310" s="306">
        <f t="shared" ca="1" si="124"/>
        <v>34.597963873522616</v>
      </c>
      <c r="E310" s="307">
        <f t="shared" ca="1" si="125"/>
        <v>88.633543382646224</v>
      </c>
      <c r="F310" s="304">
        <f t="shared" ca="1" si="126"/>
        <v>95.146855527426695</v>
      </c>
      <c r="G310" s="306">
        <f t="shared" ca="1" si="127"/>
        <v>90.379633051696644</v>
      </c>
      <c r="H310" s="307">
        <f t="shared" ca="1" si="128"/>
        <v>257.06418156539962</v>
      </c>
      <c r="I310" s="304">
        <f t="shared" ca="1" si="129"/>
        <v>272.48939706793749</v>
      </c>
      <c r="J310" s="306">
        <f t="shared" ca="1" si="130"/>
        <v>125.39935837315939</v>
      </c>
      <c r="K310" s="307">
        <f t="shared" ca="1" si="131"/>
        <v>377.10549513021834</v>
      </c>
      <c r="L310" s="304">
        <f t="shared" ca="1" si="116"/>
        <v>397.40854738896496</v>
      </c>
      <c r="M310" s="306">
        <f t="shared" ca="1" si="132"/>
        <v>1.2327111388941334</v>
      </c>
      <c r="N310" s="304">
        <f t="shared" ca="1" si="133"/>
        <v>70.629145617398862</v>
      </c>
      <c r="P310" s="310">
        <f t="shared" ca="1" si="134"/>
        <v>11</v>
      </c>
      <c r="Q310" s="304">
        <f t="shared" ca="1" si="135"/>
        <v>2205.189476968796</v>
      </c>
      <c r="R310" s="306">
        <f t="shared" ca="1" si="136"/>
        <v>1.3261439180665515</v>
      </c>
      <c r="S310" s="307">
        <f t="shared" ca="1" si="137"/>
        <v>16.412955369313984</v>
      </c>
      <c r="T310" s="304">
        <f t="shared" ca="1" si="117"/>
        <v>161.01109217297019</v>
      </c>
      <c r="U310" s="311">
        <f t="shared" ca="1" si="118"/>
        <v>0</v>
      </c>
      <c r="V310" s="306">
        <f t="shared" ca="1" si="119"/>
        <v>1.1796594847197592</v>
      </c>
      <c r="W310" s="304">
        <f t="shared" ca="1" si="120"/>
        <v>495.8868650261407</v>
      </c>
      <c r="Y310" s="314" t="str">
        <f t="shared" ca="1" si="138"/>
        <v/>
      </c>
      <c r="Z310" s="315" t="str">
        <f t="shared" ca="1" si="139"/>
        <v/>
      </c>
      <c r="AA310" s="316" t="str">
        <f t="shared" ca="1" si="140"/>
        <v/>
      </c>
      <c r="AC310" s="310" t="e">
        <f t="shared" ca="1" si="141"/>
        <v>#N/A</v>
      </c>
      <c r="AD310" s="323" t="e">
        <f t="shared" ca="1" si="142"/>
        <v>#N/A</v>
      </c>
      <c r="AE310" s="324">
        <f t="shared" ca="1" si="121"/>
        <v>377.10549513021834</v>
      </c>
      <c r="AG310" s="306">
        <f t="shared" ca="1" si="143"/>
        <v>95.09124109675929</v>
      </c>
      <c r="AH310" s="304">
        <f t="shared" ca="1" si="144"/>
        <v>104.34630006820811</v>
      </c>
    </row>
    <row r="311" spans="1:34" x14ac:dyDescent="0.2">
      <c r="A311" s="347">
        <f t="shared" ca="1" si="122"/>
        <v>0.01</v>
      </c>
      <c r="B311" s="304">
        <f t="shared" ca="1" si="123"/>
        <v>3.0699999999999785</v>
      </c>
      <c r="D311" s="306">
        <f t="shared" ca="1" si="124"/>
        <v>34.5749606098423</v>
      </c>
      <c r="E311" s="307">
        <f t="shared" ca="1" si="125"/>
        <v>88.530562488687721</v>
      </c>
      <c r="F311" s="304">
        <f t="shared" ca="1" si="126"/>
        <v>95.042560969996956</v>
      </c>
      <c r="G311" s="306">
        <f t="shared" ca="1" si="127"/>
        <v>90.725382657795066</v>
      </c>
      <c r="H311" s="307">
        <f t="shared" ca="1" si="128"/>
        <v>257.9494871902865</v>
      </c>
      <c r="I311" s="304">
        <f t="shared" ca="1" si="129"/>
        <v>273.43926748024893</v>
      </c>
      <c r="J311" s="306">
        <f t="shared" ca="1" si="130"/>
        <v>126.30488345170684</v>
      </c>
      <c r="K311" s="307">
        <f t="shared" ca="1" si="131"/>
        <v>379.68056347399676</v>
      </c>
      <c r="L311" s="304">
        <f t="shared" ca="1" si="116"/>
        <v>400.13779359575739</v>
      </c>
      <c r="M311" s="306">
        <f t="shared" ca="1" si="132"/>
        <v>1.2325921437903171</v>
      </c>
      <c r="N311" s="304">
        <f t="shared" ca="1" si="133"/>
        <v>70.622327700167475</v>
      </c>
      <c r="P311" s="310">
        <f t="shared" ca="1" si="134"/>
        <v>11</v>
      </c>
      <c r="Q311" s="304">
        <f t="shared" ca="1" si="135"/>
        <v>2205.4157176820204</v>
      </c>
      <c r="R311" s="306">
        <f t="shared" ca="1" si="136"/>
        <v>1.3262799733801629</v>
      </c>
      <c r="S311" s="307">
        <f t="shared" ca="1" si="137"/>
        <v>16.399692569580182</v>
      </c>
      <c r="T311" s="304">
        <f t="shared" ca="1" si="117"/>
        <v>160.88098410758158</v>
      </c>
      <c r="U311" s="311">
        <f t="shared" ca="1" si="118"/>
        <v>0</v>
      </c>
      <c r="V311" s="306">
        <f t="shared" ca="1" si="119"/>
        <v>1.1793556447013944</v>
      </c>
      <c r="W311" s="304">
        <f t="shared" ca="1" si="120"/>
        <v>499.2214979186146</v>
      </c>
      <c r="Y311" s="314" t="str">
        <f t="shared" ca="1" si="138"/>
        <v/>
      </c>
      <c r="Z311" s="315" t="str">
        <f t="shared" ca="1" si="139"/>
        <v/>
      </c>
      <c r="AA311" s="316" t="str">
        <f t="shared" ca="1" si="140"/>
        <v/>
      </c>
      <c r="AC311" s="310" t="e">
        <f t="shared" ca="1" si="141"/>
        <v>#N/A</v>
      </c>
      <c r="AD311" s="323" t="e">
        <f t="shared" ca="1" si="142"/>
        <v>#N/A</v>
      </c>
      <c r="AE311" s="324">
        <f t="shared" ca="1" si="121"/>
        <v>379.68056347399676</v>
      </c>
      <c r="AG311" s="306">
        <f t="shared" ca="1" si="143"/>
        <v>94.98684763840636</v>
      </c>
      <c r="AH311" s="304">
        <f t="shared" ca="1" si="144"/>
        <v>104.24151827253688</v>
      </c>
    </row>
    <row r="312" spans="1:34" x14ac:dyDescent="0.2">
      <c r="A312" s="347">
        <f t="shared" ca="1" si="122"/>
        <v>0.01</v>
      </c>
      <c r="B312" s="304">
        <f t="shared" ca="1" si="123"/>
        <v>3.0799999999999783</v>
      </c>
      <c r="D312" s="306">
        <f t="shared" ca="1" si="124"/>
        <v>34.551719993611854</v>
      </c>
      <c r="E312" s="307">
        <f t="shared" ca="1" si="125"/>
        <v>88.427099616452068</v>
      </c>
      <c r="F312" s="304">
        <f t="shared" ca="1" si="126"/>
        <v>94.937733810613437</v>
      </c>
      <c r="G312" s="306">
        <f t="shared" ca="1" si="127"/>
        <v>91.070899857731192</v>
      </c>
      <c r="H312" s="307">
        <f t="shared" ca="1" si="128"/>
        <v>258.83375818645101</v>
      </c>
      <c r="I312" s="304">
        <f t="shared" ca="1" si="129"/>
        <v>274.38808862233634</v>
      </c>
      <c r="J312" s="306">
        <f t="shared" ca="1" si="130"/>
        <v>127.21386486428447</v>
      </c>
      <c r="K312" s="307">
        <f t="shared" ca="1" si="131"/>
        <v>382.26447970088043</v>
      </c>
      <c r="L312" s="304">
        <f t="shared" ca="1" si="116"/>
        <v>402.87653177455405</v>
      </c>
      <c r="M312" s="306">
        <f t="shared" ca="1" si="132"/>
        <v>1.2324735200316883</v>
      </c>
      <c r="N312" s="304">
        <f t="shared" ca="1" si="133"/>
        <v>70.61553105944806</v>
      </c>
      <c r="P312" s="310">
        <f t="shared" ca="1" si="134"/>
        <v>11</v>
      </c>
      <c r="Q312" s="304">
        <f t="shared" ca="1" si="135"/>
        <v>2205.6419583952447</v>
      </c>
      <c r="R312" s="306">
        <f t="shared" ca="1" si="136"/>
        <v>1.3264160286937743</v>
      </c>
      <c r="S312" s="307">
        <f t="shared" ca="1" si="137"/>
        <v>16.386428409293245</v>
      </c>
      <c r="T312" s="304">
        <f t="shared" ca="1" si="117"/>
        <v>160.75086269516675</v>
      </c>
      <c r="U312" s="311">
        <f t="shared" ca="1" si="118"/>
        <v>0</v>
      </c>
      <c r="V312" s="306">
        <f t="shared" ca="1" si="119"/>
        <v>1.179050837864464</v>
      </c>
      <c r="W312" s="304">
        <f t="shared" ca="1" si="120"/>
        <v>502.56213635891783</v>
      </c>
      <c r="Y312" s="314" t="str">
        <f t="shared" ca="1" si="138"/>
        <v/>
      </c>
      <c r="Z312" s="315" t="str">
        <f t="shared" ca="1" si="139"/>
        <v/>
      </c>
      <c r="AA312" s="316" t="str">
        <f t="shared" ca="1" si="140"/>
        <v/>
      </c>
      <c r="AC312" s="310" t="e">
        <f t="shared" ca="1" si="141"/>
        <v>#N/A</v>
      </c>
      <c r="AD312" s="323" t="e">
        <f t="shared" ca="1" si="142"/>
        <v>#N/A</v>
      </c>
      <c r="AE312" s="324">
        <f t="shared" ca="1" si="121"/>
        <v>382.26447970088043</v>
      </c>
      <c r="AG312" s="306">
        <f t="shared" ca="1" si="143"/>
        <v>94.881921154823289</v>
      </c>
      <c r="AH312" s="304">
        <f t="shared" ca="1" si="144"/>
        <v>104.13620453794964</v>
      </c>
    </row>
    <row r="313" spans="1:34" x14ac:dyDescent="0.2">
      <c r="A313" s="347">
        <f t="shared" ca="1" si="122"/>
        <v>0.01</v>
      </c>
      <c r="B313" s="304">
        <f t="shared" ca="1" si="123"/>
        <v>3.0899999999999781</v>
      </c>
      <c r="D313" s="306">
        <f t="shared" ca="1" si="124"/>
        <v>34.528243297807876</v>
      </c>
      <c r="E313" s="307">
        <f t="shared" ca="1" si="125"/>
        <v>88.323157686034094</v>
      </c>
      <c r="F313" s="304">
        <f t="shared" ca="1" si="126"/>
        <v>94.83237721825104</v>
      </c>
      <c r="G313" s="306">
        <f t="shared" ca="1" si="127"/>
        <v>91.416182290709273</v>
      </c>
      <c r="H313" s="307">
        <f t="shared" ca="1" si="128"/>
        <v>259.71698976331135</v>
      </c>
      <c r="I313" s="304">
        <f t="shared" ca="1" si="129"/>
        <v>275.33585519565764</v>
      </c>
      <c r="J313" s="306">
        <f t="shared" ca="1" si="130"/>
        <v>128.12630027502667</v>
      </c>
      <c r="K313" s="307">
        <f t="shared" ca="1" si="131"/>
        <v>384.85723344062922</v>
      </c>
      <c r="L313" s="304">
        <f t="shared" ca="1" si="116"/>
        <v>405.62475140669272</v>
      </c>
      <c r="M313" s="306">
        <f t="shared" ca="1" si="132"/>
        <v>1.2323552647324592</v>
      </c>
      <c r="N313" s="304">
        <f t="shared" ca="1" si="133"/>
        <v>70.608755529897181</v>
      </c>
      <c r="P313" s="310">
        <f t="shared" ca="1" si="134"/>
        <v>11</v>
      </c>
      <c r="Q313" s="304">
        <f t="shared" ca="1" si="135"/>
        <v>2205.8681991084691</v>
      </c>
      <c r="R313" s="306">
        <f t="shared" ca="1" si="136"/>
        <v>1.3265520840073857</v>
      </c>
      <c r="S313" s="307">
        <f t="shared" ca="1" si="137"/>
        <v>16.373162888453169</v>
      </c>
      <c r="T313" s="304">
        <f t="shared" ca="1" si="117"/>
        <v>160.6207279357256</v>
      </c>
      <c r="U313" s="311">
        <f t="shared" ca="1" si="118"/>
        <v>0</v>
      </c>
      <c r="V313" s="306">
        <f t="shared" ca="1" si="119"/>
        <v>1.1787450661963552</v>
      </c>
      <c r="W313" s="304">
        <f t="shared" ca="1" si="120"/>
        <v>505.90870696952152</v>
      </c>
      <c r="Y313" s="314" t="str">
        <f t="shared" ca="1" si="138"/>
        <v/>
      </c>
      <c r="Z313" s="315" t="str">
        <f t="shared" ca="1" si="139"/>
        <v/>
      </c>
      <c r="AA313" s="316" t="str">
        <f t="shared" ca="1" si="140"/>
        <v/>
      </c>
      <c r="AC313" s="310" t="e">
        <f t="shared" ca="1" si="141"/>
        <v>#N/A</v>
      </c>
      <c r="AD313" s="323" t="e">
        <f t="shared" ca="1" si="142"/>
        <v>#N/A</v>
      </c>
      <c r="AE313" s="324">
        <f t="shared" ca="1" si="121"/>
        <v>384.85723344062922</v>
      </c>
      <c r="AG313" s="306">
        <f t="shared" ca="1" si="143"/>
        <v>94.776464812954757</v>
      </c>
      <c r="AH313" s="304">
        <f t="shared" ca="1" si="144"/>
        <v>104.03036202313557</v>
      </c>
    </row>
    <row r="314" spans="1:34" x14ac:dyDescent="0.2">
      <c r="A314" s="347">
        <f t="shared" ca="1" si="122"/>
        <v>0.01</v>
      </c>
      <c r="B314" s="304">
        <f t="shared" ca="1" si="123"/>
        <v>3.0999999999999779</v>
      </c>
      <c r="D314" s="306">
        <f t="shared" ca="1" si="124"/>
        <v>34.504531798246383</v>
      </c>
      <c r="E314" s="307">
        <f t="shared" ca="1" si="125"/>
        <v>88.21873963096759</v>
      </c>
      <c r="F314" s="304">
        <f t="shared" ca="1" si="126"/>
        <v>94.726494375610926</v>
      </c>
      <c r="G314" s="306">
        <f t="shared" ca="1" si="127"/>
        <v>91.76122760869174</v>
      </c>
      <c r="H314" s="307">
        <f t="shared" ca="1" si="128"/>
        <v>260.59917715962104</v>
      </c>
      <c r="I314" s="304">
        <f t="shared" ca="1" si="129"/>
        <v>276.28256193347721</v>
      </c>
      <c r="J314" s="306">
        <f t="shared" ca="1" si="130"/>
        <v>129.04218732452367</v>
      </c>
      <c r="K314" s="307">
        <f t="shared" ca="1" si="131"/>
        <v>387.45881427524387</v>
      </c>
      <c r="L314" s="304">
        <f t="shared" ca="1" si="116"/>
        <v>408.38244192065281</v>
      </c>
      <c r="M314" s="306">
        <f t="shared" ca="1" si="132"/>
        <v>1.2322373750375306</v>
      </c>
      <c r="N314" s="304">
        <f t="shared" ca="1" si="133"/>
        <v>70.602000947929682</v>
      </c>
      <c r="P314" s="310">
        <f t="shared" ca="1" si="134"/>
        <v>11</v>
      </c>
      <c r="Q314" s="304">
        <f t="shared" ca="1" si="135"/>
        <v>2206.0944398216934</v>
      </c>
      <c r="R314" s="306">
        <f t="shared" ca="1" si="136"/>
        <v>1.3266881393209971</v>
      </c>
      <c r="S314" s="307">
        <f t="shared" ca="1" si="137"/>
        <v>16.359896007059959</v>
      </c>
      <c r="T314" s="304">
        <f t="shared" ca="1" si="117"/>
        <v>160.49057982925819</v>
      </c>
      <c r="U314" s="311">
        <f t="shared" ca="1" si="118"/>
        <v>0</v>
      </c>
      <c r="V314" s="306">
        <f t="shared" ca="1" si="119"/>
        <v>1.1784383316909675</v>
      </c>
      <c r="W314" s="304">
        <f t="shared" ca="1" si="120"/>
        <v>509.26113631421885</v>
      </c>
      <c r="Y314" s="314" t="str">
        <f t="shared" ca="1" si="138"/>
        <v/>
      </c>
      <c r="Z314" s="315" t="str">
        <f t="shared" ca="1" si="139"/>
        <v/>
      </c>
      <c r="AA314" s="316" t="str">
        <f t="shared" ca="1" si="140"/>
        <v/>
      </c>
      <c r="AC314" s="310" t="e">
        <f t="shared" ca="1" si="141"/>
        <v>#N/A</v>
      </c>
      <c r="AD314" s="323" t="e">
        <f t="shared" ca="1" si="142"/>
        <v>#N/A</v>
      </c>
      <c r="AE314" s="324">
        <f t="shared" ca="1" si="121"/>
        <v>387.45881427524387</v>
      </c>
      <c r="AG314" s="306">
        <f t="shared" ca="1" si="143"/>
        <v>94.670481793478373</v>
      </c>
      <c r="AH314" s="304">
        <f t="shared" ca="1" si="144"/>
        <v>103.92399390060137</v>
      </c>
    </row>
    <row r="315" spans="1:34" x14ac:dyDescent="0.2">
      <c r="A315" s="347">
        <f t="shared" ca="1" si="122"/>
        <v>0.01</v>
      </c>
      <c r="B315" s="304">
        <f t="shared" ca="1" si="123"/>
        <v>3.1099999999999777</v>
      </c>
      <c r="D315" s="306">
        <f t="shared" ca="1" si="124"/>
        <v>34.480586773560994</v>
      </c>
      <c r="E315" s="307">
        <f t="shared" ca="1" si="125"/>
        <v>88.113848398032701</v>
      </c>
      <c r="F315" s="304">
        <f t="shared" ca="1" si="126"/>
        <v>94.6200884789301</v>
      </c>
      <c r="G315" s="306">
        <f t="shared" ca="1" si="127"/>
        <v>92.106033476427356</v>
      </c>
      <c r="H315" s="307">
        <f t="shared" ca="1" si="128"/>
        <v>261.48031564360139</v>
      </c>
      <c r="I315" s="304">
        <f t="shared" ca="1" si="129"/>
        <v>277.22820360100121</v>
      </c>
      <c r="J315" s="306">
        <f t="shared" ca="1" si="130"/>
        <v>129.96152362994926</v>
      </c>
      <c r="K315" s="307">
        <f t="shared" ca="1" si="131"/>
        <v>390.06921173925997</v>
      </c>
      <c r="L315" s="304">
        <f t="shared" ca="1" si="116"/>
        <v>411.14959269237454</v>
      </c>
      <c r="M315" s="306">
        <f t="shared" ca="1" si="132"/>
        <v>1.2321198481220599</v>
      </c>
      <c r="N315" s="304">
        <f t="shared" ca="1" si="133"/>
        <v>70.595267151694017</v>
      </c>
      <c r="P315" s="310">
        <f t="shared" ca="1" si="134"/>
        <v>11</v>
      </c>
      <c r="Q315" s="304">
        <f t="shared" ca="1" si="135"/>
        <v>2206.3206805349178</v>
      </c>
      <c r="R315" s="306">
        <f t="shared" ca="1" si="136"/>
        <v>1.3268241946346084</v>
      </c>
      <c r="S315" s="307">
        <f t="shared" ca="1" si="137"/>
        <v>16.346627765113613</v>
      </c>
      <c r="T315" s="304">
        <f t="shared" ca="1" si="117"/>
        <v>160.36041837576457</v>
      </c>
      <c r="U315" s="311">
        <f t="shared" ca="1" si="118"/>
        <v>0</v>
      </c>
      <c r="V315" s="306">
        <f t="shared" ca="1" si="119"/>
        <v>1.1781306363486508</v>
      </c>
      <c r="W315" s="304">
        <f t="shared" ca="1" si="120"/>
        <v>512.61935090220959</v>
      </c>
      <c r="Y315" s="314" t="str">
        <f t="shared" ca="1" si="138"/>
        <v/>
      </c>
      <c r="Z315" s="315" t="str">
        <f t="shared" ca="1" si="139"/>
        <v/>
      </c>
      <c r="AA315" s="316" t="str">
        <f t="shared" ca="1" si="140"/>
        <v/>
      </c>
      <c r="AC315" s="310" t="e">
        <f t="shared" ca="1" si="141"/>
        <v>#N/A</v>
      </c>
      <c r="AD315" s="323" t="e">
        <f t="shared" ca="1" si="142"/>
        <v>#N/A</v>
      </c>
      <c r="AE315" s="324">
        <f t="shared" ca="1" si="121"/>
        <v>390.06921173925997</v>
      </c>
      <c r="AG315" s="306">
        <f t="shared" ca="1" si="143"/>
        <v>94.563975290614081</v>
      </c>
      <c r="AH315" s="304">
        <f t="shared" ca="1" si="144"/>
        <v>103.81710335647958</v>
      </c>
    </row>
    <row r="316" spans="1:34" x14ac:dyDescent="0.2">
      <c r="A316" s="347">
        <f t="shared" ca="1" si="122"/>
        <v>0.01</v>
      </c>
      <c r="B316" s="304">
        <f t="shared" ca="1" si="123"/>
        <v>3.1199999999999775</v>
      </c>
      <c r="D316" s="306">
        <f t="shared" ca="1" si="124"/>
        <v>34.456409505180133</v>
      </c>
      <c r="E316" s="307">
        <f t="shared" ca="1" si="125"/>
        <v>88.008486947063375</v>
      </c>
      <c r="F316" s="304">
        <f t="shared" ca="1" si="126"/>
        <v>94.513162737790609</v>
      </c>
      <c r="G316" s="306">
        <f t="shared" ca="1" si="127"/>
        <v>92.450597571479165</v>
      </c>
      <c r="H316" s="307">
        <f t="shared" ca="1" si="128"/>
        <v>262.36040051307202</v>
      </c>
      <c r="I316" s="304">
        <f t="shared" ca="1" si="129"/>
        <v>278.17277499551096</v>
      </c>
      <c r="J316" s="306">
        <f t="shared" ca="1" si="130"/>
        <v>130.88430678518878</v>
      </c>
      <c r="K316" s="307">
        <f t="shared" ca="1" si="131"/>
        <v>392.68841532004336</v>
      </c>
      <c r="L316" s="304">
        <f t="shared" ca="1" si="116"/>
        <v>413.92619304557945</v>
      </c>
      <c r="M316" s="306">
        <f t="shared" ca="1" si="132"/>
        <v>1.2320026811910336</v>
      </c>
      <c r="N316" s="304">
        <f t="shared" ca="1" si="133"/>
        <v>70.58855398104771</v>
      </c>
      <c r="P316" s="310">
        <f t="shared" ca="1" si="134"/>
        <v>11</v>
      </c>
      <c r="Q316" s="304">
        <f t="shared" ca="1" si="135"/>
        <v>2206.5469212481421</v>
      </c>
      <c r="R316" s="306">
        <f t="shared" ca="1" si="136"/>
        <v>1.3269602499482198</v>
      </c>
      <c r="S316" s="307">
        <f t="shared" ca="1" si="137"/>
        <v>16.333358162614132</v>
      </c>
      <c r="T316" s="304">
        <f t="shared" ca="1" si="117"/>
        <v>160.23024357524466</v>
      </c>
      <c r="U316" s="311">
        <f t="shared" ca="1" si="118"/>
        <v>0</v>
      </c>
      <c r="V316" s="306">
        <f t="shared" ca="1" si="119"/>
        <v>1.177821982176154</v>
      </c>
      <c r="W316" s="304">
        <f t="shared" ca="1" si="120"/>
        <v>515.98327719218253</v>
      </c>
      <c r="Y316" s="314" t="str">
        <f t="shared" ca="1" si="138"/>
        <v/>
      </c>
      <c r="Z316" s="315" t="str">
        <f t="shared" ca="1" si="139"/>
        <v/>
      </c>
      <c r="AA316" s="316" t="str">
        <f t="shared" ca="1" si="140"/>
        <v/>
      </c>
      <c r="AC316" s="310" t="e">
        <f t="shared" ca="1" si="141"/>
        <v>#N/A</v>
      </c>
      <c r="AD316" s="323" t="e">
        <f t="shared" ca="1" si="142"/>
        <v>#N/A</v>
      </c>
      <c r="AE316" s="324">
        <f t="shared" ca="1" si="121"/>
        <v>392.68841532004336</v>
      </c>
      <c r="AG316" s="306">
        <f t="shared" ca="1" si="143"/>
        <v>94.456948511933234</v>
      </c>
      <c r="AH316" s="304">
        <f t="shared" ca="1" si="144"/>
        <v>103.70969359033646</v>
      </c>
    </row>
    <row r="317" spans="1:34" x14ac:dyDescent="0.2">
      <c r="A317" s="347">
        <f t="shared" ca="1" si="122"/>
        <v>0.01</v>
      </c>
      <c r="B317" s="304">
        <f t="shared" ca="1" si="123"/>
        <v>3.1299999999999772</v>
      </c>
      <c r="D317" s="306">
        <f t="shared" ca="1" si="124"/>
        <v>34.43200127730335</v>
      </c>
      <c r="E317" s="307">
        <f t="shared" ca="1" si="125"/>
        <v>87.902658250753859</v>
      </c>
      <c r="F317" s="304">
        <f t="shared" ca="1" si="126"/>
        <v>94.405720374927739</v>
      </c>
      <c r="G317" s="306">
        <f t="shared" ca="1" si="127"/>
        <v>92.794917584252204</v>
      </c>
      <c r="H317" s="307">
        <f t="shared" ca="1" si="128"/>
        <v>263.23942709557957</v>
      </c>
      <c r="I317" s="304">
        <f t="shared" ca="1" si="129"/>
        <v>279.11627094649481</v>
      </c>
      <c r="J317" s="306">
        <f t="shared" ca="1" si="130"/>
        <v>131.81053436096744</v>
      </c>
      <c r="K317" s="307">
        <f t="shared" ca="1" si="131"/>
        <v>395.31641445808663</v>
      </c>
      <c r="L317" s="304">
        <f t="shared" ca="1" si="116"/>
        <v>416.71223225209201</v>
      </c>
      <c r="M317" s="306">
        <f t="shared" ca="1" si="132"/>
        <v>1.2318858714788514</v>
      </c>
      <c r="N317" s="304">
        <f t="shared" ca="1" si="133"/>
        <v>70.581861277533534</v>
      </c>
      <c r="P317" s="310">
        <f t="shared" ca="1" si="134"/>
        <v>11</v>
      </c>
      <c r="Q317" s="304">
        <f t="shared" ca="1" si="135"/>
        <v>2206.7731619613664</v>
      </c>
      <c r="R317" s="306">
        <f t="shared" ca="1" si="136"/>
        <v>1.3270963052618312</v>
      </c>
      <c r="S317" s="307">
        <f t="shared" ca="1" si="137"/>
        <v>16.320087199561513</v>
      </c>
      <c r="T317" s="304">
        <f t="shared" ca="1" si="117"/>
        <v>160.10005542769846</v>
      </c>
      <c r="U317" s="311">
        <f t="shared" ca="1" si="118"/>
        <v>0</v>
      </c>
      <c r="V317" s="306">
        <f t="shared" ca="1" si="119"/>
        <v>1.1775123711865665</v>
      </c>
      <c r="W317" s="304">
        <f t="shared" ca="1" si="120"/>
        <v>519.35284159639002</v>
      </c>
      <c r="Y317" s="314" t="str">
        <f t="shared" ca="1" si="138"/>
        <v/>
      </c>
      <c r="Z317" s="315" t="str">
        <f t="shared" ca="1" si="139"/>
        <v/>
      </c>
      <c r="AA317" s="316" t="str">
        <f t="shared" ca="1" si="140"/>
        <v/>
      </c>
      <c r="AC317" s="310" t="e">
        <f t="shared" ca="1" si="141"/>
        <v>#N/A</v>
      </c>
      <c r="AD317" s="323" t="e">
        <f t="shared" ca="1" si="142"/>
        <v>#N/A</v>
      </c>
      <c r="AE317" s="324">
        <f t="shared" ca="1" si="121"/>
        <v>395.31641445808663</v>
      </c>
      <c r="AG317" s="306">
        <f t="shared" ca="1" si="143"/>
        <v>94.34940467816682</v>
      </c>
      <c r="AH317" s="304">
        <f t="shared" ca="1" si="144"/>
        <v>103.60176781497908</v>
      </c>
    </row>
    <row r="318" spans="1:34" x14ac:dyDescent="0.2">
      <c r="A318" s="347">
        <f t="shared" ca="1" si="122"/>
        <v>0.01</v>
      </c>
      <c r="B318" s="304">
        <f t="shared" ca="1" si="123"/>
        <v>3.139999999999977</v>
      </c>
      <c r="D318" s="306">
        <f t="shared" ca="1" si="124"/>
        <v>34.407363376876319</v>
      </c>
      <c r="E318" s="307">
        <f t="shared" ca="1" si="125"/>
        <v>87.796365294465531</v>
      </c>
      <c r="F318" s="304">
        <f t="shared" ca="1" si="126"/>
        <v>94.297764626037875</v>
      </c>
      <c r="G318" s="306">
        <f t="shared" ca="1" si="127"/>
        <v>93.138991218020962</v>
      </c>
      <c r="H318" s="307">
        <f t="shared" ca="1" si="128"/>
        <v>264.1173907485242</v>
      </c>
      <c r="I318" s="304">
        <f t="shared" ca="1" si="129"/>
        <v>280.05868631577778</v>
      </c>
      <c r="J318" s="306">
        <f t="shared" ca="1" si="130"/>
        <v>132.74020390497881</v>
      </c>
      <c r="K318" s="307">
        <f t="shared" ca="1" si="131"/>
        <v>397.95319854730712</v>
      </c>
      <c r="L318" s="304">
        <f t="shared" ca="1" si="116"/>
        <v>419.50769953216331</v>
      </c>
      <c r="M318" s="306">
        <f t="shared" ca="1" si="132"/>
        <v>1.2317694162489157</v>
      </c>
      <c r="N318" s="304">
        <f t="shared" ca="1" si="133"/>
        <v>70.575188884355995</v>
      </c>
      <c r="P318" s="310">
        <f t="shared" ca="1" si="134"/>
        <v>11</v>
      </c>
      <c r="Q318" s="304">
        <f t="shared" ca="1" si="135"/>
        <v>2206.9994026745908</v>
      </c>
      <c r="R318" s="306">
        <f t="shared" ca="1" si="136"/>
        <v>1.3272323605754426</v>
      </c>
      <c r="S318" s="307">
        <f t="shared" ca="1" si="137"/>
        <v>16.306814875955759</v>
      </c>
      <c r="T318" s="304">
        <f t="shared" ca="1" si="117"/>
        <v>159.96985393312599</v>
      </c>
      <c r="U318" s="311">
        <f t="shared" ca="1" si="118"/>
        <v>0</v>
      </c>
      <c r="V318" s="306">
        <f t="shared" ca="1" si="119"/>
        <v>1.1772018053992623</v>
      </c>
      <c r="W318" s="304">
        <f t="shared" ca="1" si="120"/>
        <v>522.72797048471557</v>
      </c>
      <c r="Y318" s="314" t="str">
        <f t="shared" ca="1" si="138"/>
        <v/>
      </c>
      <c r="Z318" s="315" t="str">
        <f t="shared" ca="1" si="139"/>
        <v/>
      </c>
      <c r="AA318" s="316" t="str">
        <f t="shared" ca="1" si="140"/>
        <v/>
      </c>
      <c r="AC318" s="310" t="e">
        <f t="shared" ca="1" si="141"/>
        <v>#N/A</v>
      </c>
      <c r="AD318" s="323" t="e">
        <f t="shared" ca="1" si="142"/>
        <v>#N/A</v>
      </c>
      <c r="AE318" s="324">
        <f t="shared" ca="1" si="121"/>
        <v>397.95319854730712</v>
      </c>
      <c r="AG318" s="306">
        <f t="shared" ca="1" si="143"/>
        <v>94.241347023013176</v>
      </c>
      <c r="AH318" s="304">
        <f t="shared" ca="1" si="144"/>
        <v>103.493329256262</v>
      </c>
    </row>
    <row r="319" spans="1:34" x14ac:dyDescent="0.2">
      <c r="A319" s="347">
        <f t="shared" ca="1" si="122"/>
        <v>0.01</v>
      </c>
      <c r="B319" s="304">
        <f t="shared" ca="1" si="123"/>
        <v>3.1499999999999768</v>
      </c>
      <c r="D319" s="306">
        <f t="shared" ca="1" si="124"/>
        <v>34.382497093565092</v>
      </c>
      <c r="E319" s="307">
        <f t="shared" ca="1" si="125"/>
        <v>87.689611076033344</v>
      </c>
      <c r="F319" s="304">
        <f t="shared" ca="1" si="126"/>
        <v>94.189298739586135</v>
      </c>
      <c r="G319" s="306">
        <f t="shared" ca="1" si="127"/>
        <v>93.482816188956619</v>
      </c>
      <c r="H319" s="307">
        <f t="shared" ca="1" si="128"/>
        <v>264.99428685928456</v>
      </c>
      <c r="I319" s="304">
        <f t="shared" ca="1" si="129"/>
        <v>281.00001599764909</v>
      </c>
      <c r="J319" s="306">
        <f t="shared" ca="1" si="130"/>
        <v>133.67331294201369</v>
      </c>
      <c r="K319" s="307">
        <f t="shared" ca="1" si="131"/>
        <v>400.59875693534616</v>
      </c>
      <c r="L319" s="304">
        <f t="shared" ca="1" si="116"/>
        <v>422.31258405479474</v>
      </c>
      <c r="M319" s="306">
        <f t="shared" ca="1" si="132"/>
        <v>1.2316533127932265</v>
      </c>
      <c r="N319" s="304">
        <f t="shared" ca="1" si="133"/>
        <v>70.568536646358126</v>
      </c>
      <c r="P319" s="310">
        <f t="shared" ca="1" si="134"/>
        <v>11</v>
      </c>
      <c r="Q319" s="304">
        <f t="shared" ca="1" si="135"/>
        <v>2207.2256433878151</v>
      </c>
      <c r="R319" s="306">
        <f t="shared" ca="1" si="136"/>
        <v>1.327368415889054</v>
      </c>
      <c r="S319" s="307">
        <f t="shared" ca="1" si="137"/>
        <v>16.293541191796869</v>
      </c>
      <c r="T319" s="304">
        <f t="shared" ca="1" si="117"/>
        <v>159.83963909152729</v>
      </c>
      <c r="U319" s="311">
        <f t="shared" ca="1" si="118"/>
        <v>0</v>
      </c>
      <c r="V319" s="306">
        <f t="shared" ca="1" si="119"/>
        <v>1.1768902868398439</v>
      </c>
      <c r="W319" s="304">
        <f t="shared" ca="1" si="120"/>
        <v>526.10859018873373</v>
      </c>
      <c r="Y319" s="314" t="str">
        <f t="shared" ca="1" si="138"/>
        <v/>
      </c>
      <c r="Z319" s="315" t="str">
        <f t="shared" ca="1" si="139"/>
        <v/>
      </c>
      <c r="AA319" s="316" t="str">
        <f t="shared" ca="1" si="140"/>
        <v/>
      </c>
      <c r="AC319" s="310" t="e">
        <f t="shared" ca="1" si="141"/>
        <v>#N/A</v>
      </c>
      <c r="AD319" s="323" t="e">
        <f t="shared" ca="1" si="142"/>
        <v>#N/A</v>
      </c>
      <c r="AE319" s="324">
        <f t="shared" ca="1" si="121"/>
        <v>400.59875693534616</v>
      </c>
      <c r="AG319" s="306">
        <f t="shared" ca="1" si="143"/>
        <v>94.132778792945459</v>
      </c>
      <c r="AH319" s="304">
        <f t="shared" ca="1" si="144"/>
        <v>103.38438115289358</v>
      </c>
    </row>
    <row r="320" spans="1:34" x14ac:dyDescent="0.2">
      <c r="A320" s="347">
        <f t="shared" ca="1" si="122"/>
        <v>0.01</v>
      </c>
      <c r="B320" s="304">
        <f t="shared" ca="1" si="123"/>
        <v>3.1599999999999766</v>
      </c>
      <c r="D320" s="306">
        <f t="shared" ca="1" si="124"/>
        <v>34.35740371972954</v>
      </c>
      <c r="E320" s="307">
        <f t="shared" ca="1" si="125"/>
        <v>87.58239860557174</v>
      </c>
      <c r="F320" s="304">
        <f t="shared" ca="1" si="126"/>
        <v>94.080325976612883</v>
      </c>
      <c r="G320" s="306">
        <f t="shared" ca="1" si="127"/>
        <v>93.826390226153919</v>
      </c>
      <c r="H320" s="307">
        <f t="shared" ca="1" si="128"/>
        <v>265.87011084534026</v>
      </c>
      <c r="I320" s="304">
        <f t="shared" ca="1" si="129"/>
        <v>281.94025491898816</v>
      </c>
      <c r="J320" s="306">
        <f t="shared" ca="1" si="130"/>
        <v>134.60985897408924</v>
      </c>
      <c r="K320" s="307">
        <f t="shared" ca="1" si="131"/>
        <v>403.25307892386928</v>
      </c>
      <c r="L320" s="304">
        <f t="shared" ca="1" si="116"/>
        <v>425.12687493806425</v>
      </c>
      <c r="M320" s="306">
        <f t="shared" ca="1" si="132"/>
        <v>1.2315375584319874</v>
      </c>
      <c r="N320" s="304">
        <f t="shared" ca="1" si="133"/>
        <v>70.561904409998888</v>
      </c>
      <c r="P320" s="310">
        <f t="shared" ca="1" si="134"/>
        <v>11</v>
      </c>
      <c r="Q320" s="304">
        <f t="shared" ca="1" si="135"/>
        <v>2207.4518841010395</v>
      </c>
      <c r="R320" s="306">
        <f t="shared" ca="1" si="136"/>
        <v>1.3275044712026653</v>
      </c>
      <c r="S320" s="307">
        <f t="shared" ca="1" si="137"/>
        <v>16.280266147084841</v>
      </c>
      <c r="T320" s="304">
        <f t="shared" ca="1" si="117"/>
        <v>159.70941090290231</v>
      </c>
      <c r="U320" s="311">
        <f t="shared" ca="1" si="118"/>
        <v>0</v>
      </c>
      <c r="V320" s="306">
        <f t="shared" ca="1" si="119"/>
        <v>1.1765778175400847</v>
      </c>
      <c r="W320" s="304">
        <f t="shared" ca="1" si="120"/>
        <v>529.49462700576237</v>
      </c>
      <c r="Y320" s="314" t="str">
        <f t="shared" ca="1" si="138"/>
        <v/>
      </c>
      <c r="Z320" s="315" t="str">
        <f t="shared" ca="1" si="139"/>
        <v/>
      </c>
      <c r="AA320" s="316" t="str">
        <f t="shared" ca="1" si="140"/>
        <v/>
      </c>
      <c r="AC320" s="310" t="e">
        <f t="shared" ca="1" si="141"/>
        <v>#N/A</v>
      </c>
      <c r="AD320" s="323" t="e">
        <f t="shared" ca="1" si="142"/>
        <v>#N/A</v>
      </c>
      <c r="AE320" s="324">
        <f t="shared" ca="1" si="121"/>
        <v>403.25307892386928</v>
      </c>
      <c r="AG320" s="306">
        <f t="shared" ca="1" si="143"/>
        <v>94.023703247018233</v>
      </c>
      <c r="AH320" s="304">
        <f t="shared" ca="1" si="144"/>
        <v>103.27492675624156</v>
      </c>
    </row>
    <row r="321" spans="1:34" x14ac:dyDescent="0.2">
      <c r="A321" s="347">
        <f t="shared" ca="1" si="122"/>
        <v>0.01</v>
      </c>
      <c r="B321" s="304">
        <f t="shared" ca="1" si="123"/>
        <v>3.1699999999999764</v>
      </c>
      <c r="D321" s="306">
        <f t="shared" ca="1" si="124"/>
        <v>34.332084550395486</v>
      </c>
      <c r="E321" s="307">
        <f t="shared" ca="1" si="125"/>
        <v>87.474730905280666</v>
      </c>
      <c r="F321" s="304">
        <f t="shared" ca="1" si="126"/>
        <v>93.970849610540228</v>
      </c>
      <c r="G321" s="306">
        <f t="shared" ca="1" si="127"/>
        <v>94.169711071657872</v>
      </c>
      <c r="H321" s="307">
        <f t="shared" ca="1" si="128"/>
        <v>266.74485815439306</v>
      </c>
      <c r="I321" s="304">
        <f t="shared" ca="1" si="129"/>
        <v>282.87939803938849</v>
      </c>
      <c r="J321" s="306">
        <f t="shared" ca="1" si="130"/>
        <v>135.5498394805783</v>
      </c>
      <c r="K321" s="307">
        <f t="shared" ca="1" si="131"/>
        <v>405.91615376886796</v>
      </c>
      <c r="L321" s="304">
        <f t="shared" ca="1" si="116"/>
        <v>427.95056124945296</v>
      </c>
      <c r="M321" s="306">
        <f t="shared" ca="1" si="132"/>
        <v>1.231422150513215</v>
      </c>
      <c r="N321" s="304">
        <f t="shared" ca="1" si="133"/>
        <v>70.555292023330836</v>
      </c>
      <c r="P321" s="310">
        <f t="shared" ca="1" si="134"/>
        <v>11</v>
      </c>
      <c r="Q321" s="304">
        <f t="shared" ca="1" si="135"/>
        <v>2207.6781248142638</v>
      </c>
      <c r="R321" s="306">
        <f t="shared" ca="1" si="136"/>
        <v>1.3276405265162767</v>
      </c>
      <c r="S321" s="307">
        <f t="shared" ca="1" si="137"/>
        <v>16.266989741819678</v>
      </c>
      <c r="T321" s="304">
        <f t="shared" ca="1" si="117"/>
        <v>159.57916936725104</v>
      </c>
      <c r="U321" s="311">
        <f t="shared" ca="1" si="118"/>
        <v>0</v>
      </c>
      <c r="V321" s="306">
        <f t="shared" ca="1" si="119"/>
        <v>1.1762643995378741</v>
      </c>
      <c r="W321" s="304">
        <f t="shared" ca="1" si="120"/>
        <v>532.88600720290867</v>
      </c>
      <c r="Y321" s="314" t="str">
        <f t="shared" ca="1" si="138"/>
        <v/>
      </c>
      <c r="Z321" s="315" t="str">
        <f t="shared" ca="1" si="139"/>
        <v/>
      </c>
      <c r="AA321" s="316" t="str">
        <f t="shared" ca="1" si="140"/>
        <v/>
      </c>
      <c r="AC321" s="310" t="e">
        <f t="shared" ca="1" si="141"/>
        <v>#N/A</v>
      </c>
      <c r="AD321" s="323" t="e">
        <f t="shared" ca="1" si="142"/>
        <v>#N/A</v>
      </c>
      <c r="AE321" s="324">
        <f t="shared" ca="1" si="121"/>
        <v>405.91615376886796</v>
      </c>
      <c r="AG321" s="306">
        <f t="shared" ca="1" si="143"/>
        <v>93.914123656673851</v>
      </c>
      <c r="AH321" s="304">
        <f t="shared" ca="1" si="144"/>
        <v>103.16496933013831</v>
      </c>
    </row>
    <row r="322" spans="1:34" x14ac:dyDescent="0.2">
      <c r="A322" s="347">
        <f t="shared" ca="1" si="122"/>
        <v>0.01</v>
      </c>
      <c r="B322" s="304">
        <f t="shared" ca="1" si="123"/>
        <v>3.1799999999999762</v>
      </c>
      <c r="D322" s="306">
        <f t="shared" ca="1" si="124"/>
        <v>34.306540883226297</v>
      </c>
      <c r="E322" s="307">
        <f t="shared" ca="1" si="125"/>
        <v>87.366611009251329</v>
      </c>
      <c r="F322" s="304">
        <f t="shared" ca="1" si="126"/>
        <v>93.860872926978004</v>
      </c>
      <c r="G322" s="306">
        <f t="shared" ca="1" si="127"/>
        <v>94.512776480490132</v>
      </c>
      <c r="H322" s="307">
        <f t="shared" ca="1" si="128"/>
        <v>267.61852426448559</v>
      </c>
      <c r="I322" s="304">
        <f t="shared" ca="1" si="129"/>
        <v>283.81744035127957</v>
      </c>
      <c r="J322" s="306">
        <f t="shared" ca="1" si="130"/>
        <v>136.49325191833904</v>
      </c>
      <c r="K322" s="307">
        <f t="shared" ca="1" si="131"/>
        <v>408.58797068096237</v>
      </c>
      <c r="L322" s="304">
        <f t="shared" ca="1" si="116"/>
        <v>430.78363200617326</v>
      </c>
      <c r="M322" s="306">
        <f t="shared" ca="1" si="132"/>
        <v>1.2313070864123568</v>
      </c>
      <c r="N322" s="304">
        <f t="shared" ca="1" si="133"/>
        <v>70.548699335978199</v>
      </c>
      <c r="P322" s="310">
        <f t="shared" ca="1" si="134"/>
        <v>11</v>
      </c>
      <c r="Q322" s="304">
        <f t="shared" ca="1" si="135"/>
        <v>2207.9043655274886</v>
      </c>
      <c r="R322" s="306">
        <f t="shared" ca="1" si="136"/>
        <v>1.3277765818298883</v>
      </c>
      <c r="S322" s="307">
        <f t="shared" ca="1" si="137"/>
        <v>16.25371197600138</v>
      </c>
      <c r="T322" s="304">
        <f t="shared" ca="1" si="117"/>
        <v>159.44891448457355</v>
      </c>
      <c r="U322" s="311">
        <f t="shared" ca="1" si="118"/>
        <v>0</v>
      </c>
      <c r="V322" s="306">
        <f t="shared" ca="1" si="119"/>
        <v>1.1759500348771581</v>
      </c>
      <c r="W322" s="304">
        <f t="shared" ca="1" si="120"/>
        <v>536.2826570211032</v>
      </c>
      <c r="Y322" s="314" t="str">
        <f t="shared" ca="1" si="138"/>
        <v/>
      </c>
      <c r="Z322" s="315" t="str">
        <f t="shared" ca="1" si="139"/>
        <v/>
      </c>
      <c r="AA322" s="316" t="str">
        <f t="shared" ca="1" si="140"/>
        <v/>
      </c>
      <c r="AC322" s="310" t="e">
        <f t="shared" ca="1" si="141"/>
        <v>#N/A</v>
      </c>
      <c r="AD322" s="323" t="e">
        <f t="shared" ca="1" si="142"/>
        <v>#N/A</v>
      </c>
      <c r="AE322" s="324">
        <f t="shared" ca="1" si="121"/>
        <v>408.58797068096237</v>
      </c>
      <c r="AG322" s="306">
        <f t="shared" ca="1" si="143"/>
        <v>93.804043305548262</v>
      </c>
      <c r="AH322" s="304">
        <f t="shared" ca="1" si="144"/>
        <v>103.0545121506857</v>
      </c>
    </row>
    <row r="323" spans="1:34" x14ac:dyDescent="0.2">
      <c r="A323" s="347">
        <f t="shared" ca="1" si="122"/>
        <v>0.01</v>
      </c>
      <c r="B323" s="304">
        <f t="shared" ca="1" si="123"/>
        <v>3.189999999999976</v>
      </c>
      <c r="D323" s="306">
        <f t="shared" ca="1" si="124"/>
        <v>34.280774018493425</v>
      </c>
      <c r="E323" s="307">
        <f t="shared" ca="1" si="125"/>
        <v>87.25804196327168</v>
      </c>
      <c r="F323" s="304">
        <f t="shared" ca="1" si="126"/>
        <v>93.750399223529158</v>
      </c>
      <c r="G323" s="306">
        <f t="shared" ca="1" si="127"/>
        <v>94.85558422067507</v>
      </c>
      <c r="H323" s="307">
        <f t="shared" ca="1" si="128"/>
        <v>268.49110468411828</v>
      </c>
      <c r="I323" s="304">
        <f t="shared" ca="1" si="129"/>
        <v>284.75437688004683</v>
      </c>
      <c r="J323" s="306">
        <f t="shared" ca="1" si="130"/>
        <v>137.44009372184487</v>
      </c>
      <c r="K323" s="307">
        <f t="shared" ca="1" si="131"/>
        <v>411.26851882570537</v>
      </c>
      <c r="L323" s="304">
        <f t="shared" ca="1" si="116"/>
        <v>433.62607617549833</v>
      </c>
      <c r="M323" s="306">
        <f t="shared" ca="1" si="132"/>
        <v>1.2311923635319146</v>
      </c>
      <c r="N323" s="304">
        <f t="shared" ca="1" si="133"/>
        <v>70.542126199115273</v>
      </c>
      <c r="P323" s="310">
        <f t="shared" ca="1" si="134"/>
        <v>11</v>
      </c>
      <c r="Q323" s="304">
        <f t="shared" ca="1" si="135"/>
        <v>2208.130606240713</v>
      </c>
      <c r="R323" s="306">
        <f t="shared" ca="1" si="136"/>
        <v>1.3279126371434997</v>
      </c>
      <c r="S323" s="307">
        <f t="shared" ca="1" si="137"/>
        <v>16.240432849629943</v>
      </c>
      <c r="T323" s="304">
        <f t="shared" ca="1" si="117"/>
        <v>159.31864625486975</v>
      </c>
      <c r="U323" s="311">
        <f t="shared" ca="1" si="118"/>
        <v>0</v>
      </c>
      <c r="V323" s="306">
        <f t="shared" ca="1" si="119"/>
        <v>1.1756347256078845</v>
      </c>
      <c r="W323" s="304">
        <f t="shared" ca="1" si="120"/>
        <v>539.68450267912885</v>
      </c>
      <c r="Y323" s="314" t="str">
        <f t="shared" ca="1" si="138"/>
        <v/>
      </c>
      <c r="Z323" s="315" t="str">
        <f t="shared" ca="1" si="139"/>
        <v/>
      </c>
      <c r="AA323" s="316" t="str">
        <f t="shared" ca="1" si="140"/>
        <v/>
      </c>
      <c r="AC323" s="310" t="e">
        <f t="shared" ca="1" si="141"/>
        <v>#N/A</v>
      </c>
      <c r="AD323" s="323" t="e">
        <f t="shared" ca="1" si="142"/>
        <v>#N/A</v>
      </c>
      <c r="AE323" s="324">
        <f t="shared" ca="1" si="121"/>
        <v>411.26851882570537</v>
      </c>
      <c r="AG323" s="306">
        <f t="shared" ca="1" si="143"/>
        <v>93.69346548927642</v>
      </c>
      <c r="AH323" s="304">
        <f t="shared" ca="1" si="144"/>
        <v>102.94355850605945</v>
      </c>
    </row>
    <row r="324" spans="1:34" x14ac:dyDescent="0.2">
      <c r="A324" s="347">
        <f t="shared" ca="1" si="122"/>
        <v>0.01</v>
      </c>
      <c r="B324" s="304">
        <f t="shared" ca="1" si="123"/>
        <v>3.1999999999999758</v>
      </c>
      <c r="D324" s="306">
        <f t="shared" ca="1" si="124"/>
        <v>34.254785259046109</v>
      </c>
      <c r="E324" s="307">
        <f t="shared" ca="1" si="125"/>
        <v>87.149026824631633</v>
      </c>
      <c r="F324" s="304">
        <f t="shared" ca="1" si="126"/>
        <v>93.639431809594655</v>
      </c>
      <c r="G324" s="306">
        <f t="shared" ca="1" si="127"/>
        <v>95.198132073265526</v>
      </c>
      <c r="H324" s="307">
        <f t="shared" ca="1" si="128"/>
        <v>269.36259495236459</v>
      </c>
      <c r="I324" s="304">
        <f t="shared" ca="1" si="129"/>
        <v>285.69020268414971</v>
      </c>
      <c r="J324" s="306">
        <f t="shared" ca="1" si="130"/>
        <v>138.39036230331459</v>
      </c>
      <c r="K324" s="307">
        <f t="shared" ca="1" si="131"/>
        <v>413.95778732388777</v>
      </c>
      <c r="L324" s="304">
        <f t="shared" ref="L324:L387" ca="1" si="145">SQRT(pos_x^2+pos_z^2)</f>
        <v>436.47788267509247</v>
      </c>
      <c r="M324" s="306">
        <f t="shared" ca="1" si="132"/>
        <v>1.2310779793010769</v>
      </c>
      <c r="N324" s="304">
        <f t="shared" ca="1" si="133"/>
        <v>70.535572465445426</v>
      </c>
      <c r="P324" s="310">
        <f t="shared" ca="1" si="134"/>
        <v>11</v>
      </c>
      <c r="Q324" s="304">
        <f t="shared" ca="1" si="135"/>
        <v>2208.3568469539373</v>
      </c>
      <c r="R324" s="306">
        <f t="shared" ca="1" si="136"/>
        <v>1.3280486924571111</v>
      </c>
      <c r="S324" s="307">
        <f t="shared" ca="1" si="137"/>
        <v>16.227152362705372</v>
      </c>
      <c r="T324" s="304">
        <f t="shared" ref="T324:T387" ca="1" si="146">m*g</f>
        <v>159.18836467813969</v>
      </c>
      <c r="U324" s="311">
        <f t="shared" ref="U324:U387" ca="1" si="147">IF(pos_xz&lt;L_rampe,Poids*COS(Beta),0)</f>
        <v>0</v>
      </c>
      <c r="V324" s="306">
        <f t="shared" ref="V324:V387" ca="1" si="148">Rho_moyen*(20000-Alt_rampe-pos_z)/(20000+Alt_rampe+pos_z)</f>
        <v>1.1753184737859459</v>
      </c>
      <c r="W324" s="304">
        <f t="shared" ref="W324:W387" ca="1" si="149">1/2*Rho*Sref*Cx*vit_xz^2</f>
        <v>543.09147037763853</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413.95778732388777</v>
      </c>
      <c r="AG324" s="306">
        <f t="shared" ca="1" si="143"/>
        <v>93.582393515297198</v>
      </c>
      <c r="AH324" s="304">
        <f t="shared" ca="1" si="144"/>
        <v>102.83211169631302</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34.228575910280178</v>
      </c>
      <c r="E325" s="307">
        <f t="shared" ref="E325:E388" ca="1" si="154">IF(AND(L324&lt;L_rampe,Poussee&lt;Poids*SIN(M324)),0,(-W324+Poussee)/m*SIN(M324)+U324/m*COS(M324)-Poids/m)</f>
        <v>87.039568661928442</v>
      </c>
      <c r="F325" s="304">
        <f t="shared" ref="F325:F388" ca="1" si="155">SQRT(acc_x^2+acc_z^2)</f>
        <v>93.527974006178326</v>
      </c>
      <c r="G325" s="306">
        <f t="shared" ref="G325:G388" ca="1" si="156">G324+acc_x*pas</f>
        <v>95.540417832368334</v>
      </c>
      <c r="H325" s="307">
        <f t="shared" ref="H325:H388" ca="1" si="157">H324+acc_z*pas</f>
        <v>270.23299063898389</v>
      </c>
      <c r="I325" s="304">
        <f t="shared" ref="I325:I388" ca="1" si="158">SQRT(vit_x^2+vit_z^2)</f>
        <v>286.62491285523782</v>
      </c>
      <c r="J325" s="306">
        <f t="shared" ref="J325:J388" ca="1" si="159">J324+0.5*(vit_x+G324)*pas*(K324&gt;=0)</f>
        <v>139.34405505284275</v>
      </c>
      <c r="K325" s="307">
        <f t="shared" ref="K325:K388" ca="1" si="160">K324+0.5*(vit_z+H324)*pas</f>
        <v>416.65576525184451</v>
      </c>
      <c r="L325" s="304">
        <f t="shared" ca="1" si="145"/>
        <v>439.33904037334293</v>
      </c>
      <c r="M325" s="306">
        <f t="shared" ref="M325:M388" ca="1" si="161">IF(AND(L324&gt;L_rampe,G325&gt;0),ATAN2(G325,H325),$M$4)</f>
        <v>1.230963931175354</v>
      </c>
      <c r="N325" s="304">
        <f t="shared" ref="N325:N388" ca="1" si="162">DEGREES(Beta)</f>
        <v>70.529037989180125</v>
      </c>
      <c r="P325" s="310">
        <f t="shared" ref="P325:P388" ca="1" si="163">MATCH(t-pas/2-T_ini,CdP_t)</f>
        <v>11</v>
      </c>
      <c r="Q325" s="304">
        <f t="shared" ref="Q325:Q388" ca="1" si="164">(INDEX(CdP,2,i_P+1)-INDEX(CdP,2,i_P+0))/(INDEX(CdP,1,i_P+1)-INDEX(CdP,1,i_P+0))*(t-pas/2-T_ini-INDEX(CdP,1,i_P+0))+INDEX(CdP,2,i_P+0)</f>
        <v>2208.5830876671616</v>
      </c>
      <c r="R325" s="306">
        <f t="shared" ref="R325:R388" ca="1" si="165">Poussee/(g*ISP)</f>
        <v>1.3281847477707225</v>
      </c>
      <c r="S325" s="307">
        <f t="shared" ref="S325:S388" ca="1" si="166">S324-Débit*pas</f>
        <v>16.213870515227665</v>
      </c>
      <c r="T325" s="304">
        <f t="shared" ca="1" si="146"/>
        <v>159.05806975438341</v>
      </c>
      <c r="U325" s="311">
        <f t="shared" ca="1" si="147"/>
        <v>0</v>
      </c>
      <c r="V325" s="306">
        <f t="shared" ca="1" si="148"/>
        <v>1.1750012814731203</v>
      </c>
      <c r="W325" s="304">
        <f t="shared" ca="1" si="149"/>
        <v>546.50348630316273</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416.65576525184451</v>
      </c>
      <c r="AG325" s="306">
        <f t="shared" ref="AG325:AG388" ca="1" si="172">IF(AND(L324&lt;L_rampe,Poussee&lt;Poids*SIN(M324)),0,(-W324+Poussee)/m-Poids*SIN(M324)/m)</f>
        <v>93.470830702657992</v>
      </c>
      <c r="AH325" s="304">
        <f t="shared" ref="AH325:AH388" ca="1" si="173">IF(AND(L324&lt;L_rampe,Poussee&lt;Poids*SIN(M324)), g*SIN(M324), (-W324+Poussee)/m)</f>
        <v>102.72017503318131</v>
      </c>
    </row>
    <row r="326" spans="1:34" x14ac:dyDescent="0.2">
      <c r="A326" s="347">
        <f t="shared" ca="1" si="151"/>
        <v>0.01</v>
      </c>
      <c r="B326" s="304">
        <f t="shared" ca="1" si="152"/>
        <v>3.2199999999999753</v>
      </c>
      <c r="D326" s="306">
        <f t="shared" ca="1" si="153"/>
        <v>34.202147280106225</v>
      </c>
      <c r="E326" s="307">
        <f t="shared" ca="1" si="154"/>
        <v>86.929670554871649</v>
      </c>
      <c r="F326" s="304">
        <f t="shared" ca="1" si="155"/>
        <v>93.416029145691041</v>
      </c>
      <c r="G326" s="306">
        <f t="shared" ca="1" si="156"/>
        <v>95.882439305169399</v>
      </c>
      <c r="H326" s="307">
        <f t="shared" ca="1" si="157"/>
        <v>271.10228734453261</v>
      </c>
      <c r="I326" s="304">
        <f t="shared" ca="1" si="158"/>
        <v>287.55850251826502</v>
      </c>
      <c r="J326" s="306">
        <f t="shared" ca="1" si="159"/>
        <v>140.30116933853043</v>
      </c>
      <c r="K326" s="307">
        <f t="shared" ca="1" si="160"/>
        <v>419.36244164176208</v>
      </c>
      <c r="L326" s="304">
        <f t="shared" ca="1" si="145"/>
        <v>442.20953808969261</v>
      </c>
      <c r="M326" s="306">
        <f t="shared" ca="1" si="161"/>
        <v>1.2308502166362212</v>
      </c>
      <c r="N326" s="304">
        <f t="shared" ca="1" si="162"/>
        <v>70.522522626018542</v>
      </c>
      <c r="P326" s="310">
        <f t="shared" ca="1" si="163"/>
        <v>11</v>
      </c>
      <c r="Q326" s="304">
        <f t="shared" ca="1" si="164"/>
        <v>2208.809328380386</v>
      </c>
      <c r="R326" s="306">
        <f t="shared" ca="1" si="165"/>
        <v>1.3283208030843339</v>
      </c>
      <c r="S326" s="307">
        <f t="shared" ca="1" si="166"/>
        <v>16.200587307196823</v>
      </c>
      <c r="T326" s="304">
        <f t="shared" ca="1" si="146"/>
        <v>158.92776148360085</v>
      </c>
      <c r="U326" s="311">
        <f t="shared" ca="1" si="147"/>
        <v>0</v>
      </c>
      <c r="V326" s="306">
        <f t="shared" ca="1" si="148"/>
        <v>1.1746831507370166</v>
      </c>
      <c r="W326" s="304">
        <f t="shared" ca="1" si="149"/>
        <v>549.92047663210974</v>
      </c>
      <c r="Y326" s="314" t="str">
        <f t="shared" ca="1" si="167"/>
        <v/>
      </c>
      <c r="Z326" s="315" t="str">
        <f t="shared" ca="1" si="168"/>
        <v/>
      </c>
      <c r="AA326" s="316" t="str">
        <f t="shared" ca="1" si="169"/>
        <v/>
      </c>
      <c r="AC326" s="310" t="e">
        <f t="shared" ca="1" si="170"/>
        <v>#N/A</v>
      </c>
      <c r="AD326" s="323" t="e">
        <f t="shared" ca="1" si="171"/>
        <v>#N/A</v>
      </c>
      <c r="AE326" s="324">
        <f t="shared" ca="1" si="150"/>
        <v>419.36244164176208</v>
      </c>
      <c r="AG326" s="306">
        <f t="shared" ca="1" si="172"/>
        <v>93.358780381818917</v>
      </c>
      <c r="AH326" s="304">
        <f t="shared" ca="1" si="173"/>
        <v>102.6077518398838</v>
      </c>
    </row>
    <row r="327" spans="1:34" x14ac:dyDescent="0.2">
      <c r="A327" s="347">
        <f t="shared" ca="1" si="151"/>
        <v>0.01</v>
      </c>
      <c r="B327" s="304">
        <f t="shared" ca="1" si="152"/>
        <v>3.2299999999999751</v>
      </c>
      <c r="D327" s="306">
        <f t="shared" ca="1" si="153"/>
        <v>34.175500678916876</v>
      </c>
      <c r="E327" s="307">
        <f t="shared" ca="1" si="154"/>
        <v>86.819335594088031</v>
      </c>
      <c r="F327" s="304">
        <f t="shared" ca="1" si="155"/>
        <v>93.303600571754615</v>
      </c>
      <c r="G327" s="306">
        <f t="shared" ca="1" si="156"/>
        <v>96.22419431195857</v>
      </c>
      <c r="H327" s="307">
        <f t="shared" ca="1" si="157"/>
        <v>271.9704807004735</v>
      </c>
      <c r="I327" s="304">
        <f t="shared" ca="1" si="158"/>
        <v>288.4909668316015</v>
      </c>
      <c r="J327" s="306">
        <f t="shared" ca="1" si="159"/>
        <v>141.26170250661607</v>
      </c>
      <c r="K327" s="307">
        <f t="shared" ca="1" si="160"/>
        <v>422.07780548198713</v>
      </c>
      <c r="L327" s="304">
        <f t="shared" ca="1" si="145"/>
        <v>445.0893645949742</v>
      </c>
      <c r="M327" s="306">
        <f t="shared" ca="1" si="161"/>
        <v>1.2307368331907698</v>
      </c>
      <c r="N327" s="304">
        <f t="shared" ca="1" si="162"/>
        <v>70.516026233127519</v>
      </c>
      <c r="P327" s="310">
        <f t="shared" ca="1" si="163"/>
        <v>11</v>
      </c>
      <c r="Q327" s="304">
        <f t="shared" ca="1" si="164"/>
        <v>2209.0355690936103</v>
      </c>
      <c r="R327" s="306">
        <f t="shared" ca="1" si="165"/>
        <v>1.3284568583979453</v>
      </c>
      <c r="S327" s="307">
        <f t="shared" ca="1" si="166"/>
        <v>16.187302738612843</v>
      </c>
      <c r="T327" s="304">
        <f t="shared" ca="1" si="146"/>
        <v>158.797439865792</v>
      </c>
      <c r="U327" s="311">
        <f t="shared" ca="1" si="147"/>
        <v>0</v>
      </c>
      <c r="V327" s="306">
        <f t="shared" ca="1" si="148"/>
        <v>1.1743640836510143</v>
      </c>
      <c r="W327" s="304">
        <f t="shared" ca="1" si="149"/>
        <v>553.34236753475193</v>
      </c>
      <c r="Y327" s="314" t="str">
        <f t="shared" ca="1" si="167"/>
        <v/>
      </c>
      <c r="Z327" s="315" t="str">
        <f t="shared" ca="1" si="168"/>
        <v/>
      </c>
      <c r="AA327" s="316" t="str">
        <f t="shared" ca="1" si="169"/>
        <v/>
      </c>
      <c r="AC327" s="310" t="e">
        <f t="shared" ca="1" si="170"/>
        <v>#N/A</v>
      </c>
      <c r="AD327" s="323" t="e">
        <f t="shared" ca="1" si="171"/>
        <v>#N/A</v>
      </c>
      <c r="AE327" s="324">
        <f t="shared" ca="1" si="150"/>
        <v>422.07780548198713</v>
      </c>
      <c r="AG327" s="306">
        <f t="shared" ca="1" si="172"/>
        <v>93.246245894456706</v>
      </c>
      <c r="AH327" s="304">
        <f t="shared" ca="1" si="173"/>
        <v>102.49484545092761</v>
      </c>
    </row>
    <row r="328" spans="1:34" x14ac:dyDescent="0.2">
      <c r="A328" s="347">
        <f t="shared" ca="1" si="151"/>
        <v>0.01</v>
      </c>
      <c r="B328" s="304">
        <f t="shared" ca="1" si="152"/>
        <v>3.2399999999999749</v>
      </c>
      <c r="D328" s="306">
        <f t="shared" ca="1" si="153"/>
        <v>34.148637419553076</v>
      </c>
      <c r="E328" s="307">
        <f t="shared" ca="1" si="154"/>
        <v>86.708566880926341</v>
      </c>
      <c r="F328" s="304">
        <f t="shared" ca="1" si="155"/>
        <v>93.190691639005323</v>
      </c>
      <c r="G328" s="306">
        <f t="shared" ca="1" si="156"/>
        <v>96.565680686154096</v>
      </c>
      <c r="H328" s="307">
        <f t="shared" ca="1" si="157"/>
        <v>272.83756636928274</v>
      </c>
      <c r="I328" s="304">
        <f t="shared" ca="1" si="158"/>
        <v>289.42230098714413</v>
      </c>
      <c r="J328" s="306">
        <f t="shared" ca="1" si="159"/>
        <v>142.22565188160664</v>
      </c>
      <c r="K328" s="307">
        <f t="shared" ca="1" si="160"/>
        <v>424.80184571733594</v>
      </c>
      <c r="L328" s="304">
        <f t="shared" ca="1" si="145"/>
        <v>447.97850861174499</v>
      </c>
      <c r="M328" s="306">
        <f t="shared" ca="1" si="161"/>
        <v>1.2306237783713605</v>
      </c>
      <c r="N328" s="304">
        <f t="shared" ca="1" si="162"/>
        <v>70.509548669121756</v>
      </c>
      <c r="P328" s="310">
        <f t="shared" ca="1" si="163"/>
        <v>11</v>
      </c>
      <c r="Q328" s="304">
        <f t="shared" ca="1" si="164"/>
        <v>2209.2618098068347</v>
      </c>
      <c r="R328" s="306">
        <f t="shared" ca="1" si="165"/>
        <v>1.3285929137115566</v>
      </c>
      <c r="S328" s="307">
        <f t="shared" ca="1" si="166"/>
        <v>16.174016809475727</v>
      </c>
      <c r="T328" s="304">
        <f t="shared" ca="1" si="146"/>
        <v>158.6671049009569</v>
      </c>
      <c r="U328" s="311">
        <f t="shared" ca="1" si="147"/>
        <v>0</v>
      </c>
      <c r="V328" s="306">
        <f t="shared" ca="1" si="148"/>
        <v>1.1740440822942084</v>
      </c>
      <c r="W328" s="304">
        <f t="shared" ca="1" si="149"/>
        <v>556.76908517920424</v>
      </c>
      <c r="Y328" s="314" t="str">
        <f t="shared" ca="1" si="167"/>
        <v/>
      </c>
      <c r="Z328" s="315" t="str">
        <f t="shared" ca="1" si="168"/>
        <v/>
      </c>
      <c r="AA328" s="316" t="str">
        <f t="shared" ca="1" si="169"/>
        <v/>
      </c>
      <c r="AC328" s="310" t="e">
        <f t="shared" ca="1" si="170"/>
        <v>#N/A</v>
      </c>
      <c r="AD328" s="323" t="e">
        <f t="shared" ca="1" si="171"/>
        <v>#N/A</v>
      </c>
      <c r="AE328" s="324">
        <f t="shared" ca="1" si="150"/>
        <v>424.80184571733594</v>
      </c>
      <c r="AG328" s="306">
        <f t="shared" ca="1" si="172"/>
        <v>93.133230593268053</v>
      </c>
      <c r="AH328" s="304">
        <f t="shared" ca="1" si="173"/>
        <v>102.3814592119098</v>
      </c>
    </row>
    <row r="329" spans="1:34" x14ac:dyDescent="0.2">
      <c r="A329" s="347">
        <f t="shared" ca="1" si="151"/>
        <v>0.01</v>
      </c>
      <c r="B329" s="304">
        <f t="shared" ca="1" si="152"/>
        <v>3.2499999999999747</v>
      </c>
      <c r="D329" s="306">
        <f t="shared" ca="1" si="153"/>
        <v>34.121558817270014</v>
      </c>
      <c r="E329" s="307">
        <f t="shared" ca="1" si="154"/>
        <v>86.597367527262094</v>
      </c>
      <c r="F329" s="304">
        <f t="shared" ca="1" si="155"/>
        <v>93.0773057128972</v>
      </c>
      <c r="G329" s="306">
        <f t="shared" ca="1" si="156"/>
        <v>96.906896274326797</v>
      </c>
      <c r="H329" s="307">
        <f t="shared" ca="1" si="157"/>
        <v>273.70354004455538</v>
      </c>
      <c r="I329" s="304">
        <f t="shared" ca="1" si="158"/>
        <v>290.35250021042469</v>
      </c>
      <c r="J329" s="306">
        <f t="shared" ca="1" si="159"/>
        <v>143.19301476640905</v>
      </c>
      <c r="K329" s="307">
        <f t="shared" ca="1" si="160"/>
        <v>427.53455124940513</v>
      </c>
      <c r="L329" s="304">
        <f t="shared" ca="1" si="145"/>
        <v>450.87695881462304</v>
      </c>
      <c r="M329" s="306">
        <f t="shared" ca="1" si="161"/>
        <v>1.2305110497352851</v>
      </c>
      <c r="N329" s="304">
        <f t="shared" ca="1" si="162"/>
        <v>70.503089794044371</v>
      </c>
      <c r="P329" s="310">
        <f t="shared" ca="1" si="163"/>
        <v>11</v>
      </c>
      <c r="Q329" s="304">
        <f t="shared" ca="1" si="164"/>
        <v>2209.488050520059</v>
      </c>
      <c r="R329" s="306">
        <f t="shared" ca="1" si="165"/>
        <v>1.328728969025168</v>
      </c>
      <c r="S329" s="307">
        <f t="shared" ca="1" si="166"/>
        <v>16.160729519785477</v>
      </c>
      <c r="T329" s="304">
        <f t="shared" ca="1" si="146"/>
        <v>158.53675658909555</v>
      </c>
      <c r="U329" s="311">
        <f t="shared" ca="1" si="147"/>
        <v>0</v>
      </c>
      <c r="V329" s="306">
        <f t="shared" ca="1" si="148"/>
        <v>1.1737231487513515</v>
      </c>
      <c r="W329" s="304">
        <f t="shared" ca="1" si="149"/>
        <v>560.20055573539241</v>
      </c>
      <c r="Y329" s="314" t="str">
        <f t="shared" ca="1" si="167"/>
        <v/>
      </c>
      <c r="Z329" s="315" t="str">
        <f t="shared" ca="1" si="168"/>
        <v/>
      </c>
      <c r="AA329" s="316" t="str">
        <f t="shared" ca="1" si="169"/>
        <v/>
      </c>
      <c r="AC329" s="310" t="e">
        <f t="shared" ca="1" si="170"/>
        <v>#N/A</v>
      </c>
      <c r="AD329" s="323" t="e">
        <f t="shared" ca="1" si="171"/>
        <v>#N/A</v>
      </c>
      <c r="AE329" s="324">
        <f t="shared" ca="1" si="150"/>
        <v>427.53455124940513</v>
      </c>
      <c r="AG329" s="306">
        <f t="shared" ca="1" si="172"/>
        <v>93.019737841773008</v>
      </c>
      <c r="AH329" s="304">
        <f t="shared" ca="1" si="173"/>
        <v>102.26759647931992</v>
      </c>
    </row>
    <row r="330" spans="1:34" x14ac:dyDescent="0.2">
      <c r="A330" s="347">
        <f t="shared" ca="1" si="151"/>
        <v>0.01</v>
      </c>
      <c r="B330" s="304">
        <f t="shared" ca="1" si="152"/>
        <v>3.2599999999999745</v>
      </c>
      <c r="D330" s="306">
        <f t="shared" ca="1" si="153"/>
        <v>34.094266189702026</v>
      </c>
      <c r="E330" s="307">
        <f t="shared" ca="1" si="154"/>
        <v>86.485740655302138</v>
      </c>
      <c r="F330" s="304">
        <f t="shared" ca="1" si="155"/>
        <v>92.963446169504934</v>
      </c>
      <c r="G330" s="306">
        <f t="shared" ca="1" si="156"/>
        <v>97.247838936223815</v>
      </c>
      <c r="H330" s="307">
        <f t="shared" ca="1" si="157"/>
        <v>274.56839745110841</v>
      </c>
      <c r="I330" s="304">
        <f t="shared" ca="1" si="158"/>
        <v>291.28155976071599</v>
      </c>
      <c r="J330" s="306">
        <f t="shared" ca="1" si="159"/>
        <v>144.16378844246179</v>
      </c>
      <c r="K330" s="307">
        <f t="shared" ca="1" si="160"/>
        <v>430.27591093688346</v>
      </c>
      <c r="L330" s="304">
        <f t="shared" ca="1" si="145"/>
        <v>453.78470383062466</v>
      </c>
      <c r="M330" s="306">
        <f t="shared" ca="1" si="161"/>
        <v>1.2303986448644335</v>
      </c>
      <c r="N330" s="304">
        <f t="shared" ca="1" si="162"/>
        <v>70.496649469347858</v>
      </c>
      <c r="P330" s="310">
        <f t="shared" ca="1" si="163"/>
        <v>11</v>
      </c>
      <c r="Q330" s="304">
        <f t="shared" ca="1" si="164"/>
        <v>2209.7142912332833</v>
      </c>
      <c r="R330" s="306">
        <f t="shared" ca="1" si="165"/>
        <v>1.3288650243387794</v>
      </c>
      <c r="S330" s="307">
        <f t="shared" ca="1" si="166"/>
        <v>16.147440869542088</v>
      </c>
      <c r="T330" s="304">
        <f t="shared" ca="1" si="146"/>
        <v>158.40639493020788</v>
      </c>
      <c r="U330" s="311">
        <f t="shared" ca="1" si="147"/>
        <v>0</v>
      </c>
      <c r="V330" s="306">
        <f t="shared" ca="1" si="148"/>
        <v>1.1734012851127953</v>
      </c>
      <c r="W330" s="304">
        <f t="shared" ca="1" si="149"/>
        <v>563.63670537900498</v>
      </c>
      <c r="Y330" s="314" t="str">
        <f t="shared" ca="1" si="167"/>
        <v/>
      </c>
      <c r="Z330" s="315" t="str">
        <f t="shared" ca="1" si="168"/>
        <v/>
      </c>
      <c r="AA330" s="316" t="str">
        <f t="shared" ca="1" si="169"/>
        <v/>
      </c>
      <c r="AC330" s="310" t="e">
        <f t="shared" ca="1" si="170"/>
        <v>#N/A</v>
      </c>
      <c r="AD330" s="323" t="e">
        <f t="shared" ca="1" si="171"/>
        <v>#N/A</v>
      </c>
      <c r="AE330" s="324">
        <f t="shared" ca="1" si="150"/>
        <v>430.27591093688346</v>
      </c>
      <c r="AG330" s="306">
        <f t="shared" ca="1" si="172"/>
        <v>92.905771014117647</v>
      </c>
      <c r="AH330" s="304">
        <f t="shared" ca="1" si="173"/>
        <v>102.15326062034177</v>
      </c>
    </row>
    <row r="331" spans="1:34" x14ac:dyDescent="0.2">
      <c r="A331" s="347">
        <f t="shared" ca="1" si="151"/>
        <v>0.01</v>
      </c>
      <c r="B331" s="304">
        <f t="shared" ca="1" si="152"/>
        <v>3.2699999999999743</v>
      </c>
      <c r="D331" s="306">
        <f t="shared" ca="1" si="153"/>
        <v>34.066760856826818</v>
      </c>
      <c r="E331" s="307">
        <f t="shared" ca="1" si="154"/>
        <v>86.373689397389228</v>
      </c>
      <c r="F331" s="304">
        <f t="shared" ca="1" si="155"/>
        <v>92.849116395326547</v>
      </c>
      <c r="G331" s="306">
        <f t="shared" ca="1" si="156"/>
        <v>97.588506544792082</v>
      </c>
      <c r="H331" s="307">
        <f t="shared" ca="1" si="157"/>
        <v>275.43213434508232</v>
      </c>
      <c r="I331" s="304">
        <f t="shared" ca="1" si="158"/>
        <v>292.20947493113636</v>
      </c>
      <c r="J331" s="306">
        <f t="shared" ca="1" si="159"/>
        <v>145.13797016986686</v>
      </c>
      <c r="K331" s="307">
        <f t="shared" ca="1" si="160"/>
        <v>433.02591359586444</v>
      </c>
      <c r="L331" s="304">
        <f t="shared" ca="1" si="145"/>
        <v>456.70173223950246</v>
      </c>
      <c r="M331" s="306">
        <f t="shared" ca="1" si="161"/>
        <v>1.2302865613649661</v>
      </c>
      <c r="N331" s="304">
        <f t="shared" ca="1" si="162"/>
        <v>70.490227557875315</v>
      </c>
      <c r="P331" s="310">
        <f t="shared" ca="1" si="163"/>
        <v>11</v>
      </c>
      <c r="Q331" s="304">
        <f t="shared" ca="1" si="164"/>
        <v>2209.9405319465077</v>
      </c>
      <c r="R331" s="306">
        <f t="shared" ca="1" si="165"/>
        <v>1.3290010796523908</v>
      </c>
      <c r="S331" s="307">
        <f t="shared" ca="1" si="166"/>
        <v>16.134150858745564</v>
      </c>
      <c r="T331" s="304">
        <f t="shared" ca="1" si="146"/>
        <v>158.27601992429399</v>
      </c>
      <c r="U331" s="311">
        <f t="shared" ca="1" si="147"/>
        <v>0</v>
      </c>
      <c r="V331" s="306">
        <f t="shared" ca="1" si="148"/>
        <v>1.1730784934744318</v>
      </c>
      <c r="W331" s="304">
        <f t="shared" ca="1" si="149"/>
        <v>567.07746029543841</v>
      </c>
      <c r="Y331" s="314" t="str">
        <f t="shared" ca="1" si="167"/>
        <v/>
      </c>
      <c r="Z331" s="315" t="str">
        <f t="shared" ca="1" si="168"/>
        <v/>
      </c>
      <c r="AA331" s="316" t="str">
        <f t="shared" ca="1" si="169"/>
        <v/>
      </c>
      <c r="AC331" s="310" t="e">
        <f t="shared" ca="1" si="170"/>
        <v>#N/A</v>
      </c>
      <c r="AD331" s="323" t="e">
        <f t="shared" ca="1" si="171"/>
        <v>#N/A</v>
      </c>
      <c r="AE331" s="324">
        <f t="shared" ca="1" si="150"/>
        <v>433.02591359586444</v>
      </c>
      <c r="AG331" s="306">
        <f t="shared" ca="1" si="172"/>
        <v>92.791333494876866</v>
      </c>
      <c r="AH331" s="304">
        <f t="shared" ca="1" si="173"/>
        <v>102.03845501265528</v>
      </c>
    </row>
    <row r="332" spans="1:34" x14ac:dyDescent="0.2">
      <c r="A332" s="347">
        <f t="shared" ca="1" si="151"/>
        <v>0.01</v>
      </c>
      <c r="B332" s="304">
        <f t="shared" ca="1" si="152"/>
        <v>3.279999999999974</v>
      </c>
      <c r="D332" s="306">
        <f t="shared" ca="1" si="153"/>
        <v>34.039044140929086</v>
      </c>
      <c r="E332" s="307">
        <f t="shared" ca="1" si="154"/>
        <v>86.261216895806655</v>
      </c>
      <c r="F332" s="304">
        <f t="shared" ca="1" si="155"/>
        <v>92.734319787085937</v>
      </c>
      <c r="G332" s="306">
        <f t="shared" ca="1" si="156"/>
        <v>97.92889698620138</v>
      </c>
      <c r="H332" s="307">
        <f t="shared" ca="1" si="157"/>
        <v>276.29474651404041</v>
      </c>
      <c r="I332" s="304">
        <f t="shared" ca="1" si="158"/>
        <v>293.13624104875174</v>
      </c>
      <c r="J332" s="306">
        <f t="shared" ca="1" si="159"/>
        <v>146.11555718752183</v>
      </c>
      <c r="K332" s="307">
        <f t="shared" ca="1" si="160"/>
        <v>435.78454800016004</v>
      </c>
      <c r="L332" s="304">
        <f t="shared" ca="1" si="145"/>
        <v>459.62803257408456</v>
      </c>
      <c r="M332" s="306">
        <f t="shared" ca="1" si="161"/>
        <v>1.2301747968669909</v>
      </c>
      <c r="N332" s="304">
        <f t="shared" ca="1" si="162"/>
        <v>70.483823923841953</v>
      </c>
      <c r="P332" s="310">
        <f t="shared" ca="1" si="163"/>
        <v>11</v>
      </c>
      <c r="Q332" s="304">
        <f t="shared" ca="1" si="164"/>
        <v>2210.166772659732</v>
      </c>
      <c r="R332" s="306">
        <f t="shared" ca="1" si="165"/>
        <v>1.3291371349660022</v>
      </c>
      <c r="S332" s="307">
        <f t="shared" ca="1" si="166"/>
        <v>16.120859487395904</v>
      </c>
      <c r="T332" s="304">
        <f t="shared" ca="1" si="146"/>
        <v>158.14563157135382</v>
      </c>
      <c r="U332" s="311">
        <f t="shared" ca="1" si="147"/>
        <v>0</v>
      </c>
      <c r="V332" s="306">
        <f t="shared" ca="1" si="148"/>
        <v>1.1727547759376398</v>
      </c>
      <c r="W332" s="304">
        <f t="shared" ca="1" si="149"/>
        <v>570.52274668372911</v>
      </c>
      <c r="Y332" s="314" t="str">
        <f t="shared" ca="1" si="167"/>
        <v/>
      </c>
      <c r="Z332" s="315" t="str">
        <f t="shared" ca="1" si="168"/>
        <v/>
      </c>
      <c r="AA332" s="316" t="str">
        <f t="shared" ca="1" si="169"/>
        <v/>
      </c>
      <c r="AC332" s="310" t="e">
        <f t="shared" ca="1" si="170"/>
        <v>#N/A</v>
      </c>
      <c r="AD332" s="323" t="e">
        <f t="shared" ca="1" si="171"/>
        <v>#N/A</v>
      </c>
      <c r="AE332" s="324">
        <f t="shared" ca="1" si="150"/>
        <v>435.78454800016004</v>
      </c>
      <c r="AG332" s="306">
        <f t="shared" ca="1" si="172"/>
        <v>92.676428678856723</v>
      </c>
      <c r="AH332" s="304">
        <f t="shared" ca="1" si="173"/>
        <v>101.923183044238</v>
      </c>
    </row>
    <row r="333" spans="1:34" x14ac:dyDescent="0.2">
      <c r="A333" s="347">
        <f t="shared" ca="1" si="151"/>
        <v>0.01</v>
      </c>
      <c r="B333" s="304">
        <f t="shared" ca="1" si="152"/>
        <v>3.2899999999999738</v>
      </c>
      <c r="D333" s="306">
        <f t="shared" ca="1" si="153"/>
        <v>34.011117366563369</v>
      </c>
      <c r="E333" s="307">
        <f t="shared" ca="1" si="154"/>
        <v>86.148326302582532</v>
      </c>
      <c r="F333" s="304">
        <f t="shared" ca="1" si="155"/>
        <v>92.619059751534849</v>
      </c>
      <c r="G333" s="306">
        <f t="shared" ca="1" si="156"/>
        <v>98.269008159867013</v>
      </c>
      <c r="H333" s="307">
        <f t="shared" ca="1" si="157"/>
        <v>277.15622977706624</v>
      </c>
      <c r="I333" s="304">
        <f t="shared" ca="1" si="158"/>
        <v>294.06185347467624</v>
      </c>
      <c r="J333" s="306">
        <f t="shared" ca="1" si="159"/>
        <v>147.09654671325217</v>
      </c>
      <c r="K333" s="307">
        <f t="shared" ca="1" si="160"/>
        <v>438.55180288161557</v>
      </c>
      <c r="L333" s="304">
        <f t="shared" ca="1" si="145"/>
        <v>462.5635933206151</v>
      </c>
      <c r="M333" s="306">
        <f t="shared" ca="1" si="161"/>
        <v>1.2300633490242481</v>
      </c>
      <c r="N333" s="304">
        <f t="shared" ca="1" si="162"/>
        <v>70.477438432816939</v>
      </c>
      <c r="P333" s="310">
        <f t="shared" ca="1" si="163"/>
        <v>11</v>
      </c>
      <c r="Q333" s="304">
        <f t="shared" ca="1" si="164"/>
        <v>2210.3930133729564</v>
      </c>
      <c r="R333" s="306">
        <f t="shared" ca="1" si="165"/>
        <v>1.3292731902796135</v>
      </c>
      <c r="S333" s="307">
        <f t="shared" ca="1" si="166"/>
        <v>16.107566755493107</v>
      </c>
      <c r="T333" s="304">
        <f t="shared" ca="1" si="146"/>
        <v>158.01522987138739</v>
      </c>
      <c r="U333" s="311">
        <f t="shared" ca="1" si="147"/>
        <v>0</v>
      </c>
      <c r="V333" s="306">
        <f t="shared" ca="1" si="148"/>
        <v>1.1724301346092207</v>
      </c>
      <c r="W333" s="304">
        <f t="shared" ca="1" si="149"/>
        <v>573.97249076047024</v>
      </c>
      <c r="Y333" s="314" t="str">
        <f t="shared" ca="1" si="167"/>
        <v/>
      </c>
      <c r="Z333" s="315" t="str">
        <f t="shared" ca="1" si="168"/>
        <v/>
      </c>
      <c r="AA333" s="316" t="str">
        <f t="shared" ca="1" si="169"/>
        <v/>
      </c>
      <c r="AC333" s="310" t="e">
        <f t="shared" ca="1" si="170"/>
        <v>#N/A</v>
      </c>
      <c r="AD333" s="323" t="e">
        <f t="shared" ca="1" si="171"/>
        <v>#N/A</v>
      </c>
      <c r="AE333" s="324">
        <f t="shared" ca="1" si="150"/>
        <v>438.55180288161557</v>
      </c>
      <c r="AG333" s="306">
        <f t="shared" ca="1" si="172"/>
        <v>92.561059970896466</v>
      </c>
      <c r="AH333" s="304">
        <f t="shared" ca="1" si="173"/>
        <v>101.80744811316632</v>
      </c>
    </row>
    <row r="334" spans="1:34" x14ac:dyDescent="0.2">
      <c r="A334" s="347">
        <f t="shared" ca="1" si="151"/>
        <v>0.01</v>
      </c>
      <c r="B334" s="304">
        <f t="shared" ca="1" si="152"/>
        <v>3.2999999999999736</v>
      </c>
      <c r="D334" s="306">
        <f t="shared" ca="1" si="153"/>
        <v>33.98298186051624</v>
      </c>
      <c r="E334" s="307">
        <f t="shared" ca="1" si="154"/>
        <v>86.035020779294484</v>
      </c>
      <c r="F334" s="304">
        <f t="shared" ca="1" si="155"/>
        <v>92.503339705255016</v>
      </c>
      <c r="G334" s="306">
        <f t="shared" ca="1" si="156"/>
        <v>98.608837978472181</v>
      </c>
      <c r="H334" s="307">
        <f t="shared" ca="1" si="157"/>
        <v>278.01657998485916</v>
      </c>
      <c r="I334" s="304">
        <f t="shared" ca="1" si="158"/>
        <v>294.98630760417029</v>
      </c>
      <c r="J334" s="306">
        <f t="shared" ca="1" si="159"/>
        <v>148.08093594394387</v>
      </c>
      <c r="K334" s="307">
        <f t="shared" ca="1" si="160"/>
        <v>441.32766693042521</v>
      </c>
      <c r="L334" s="304">
        <f t="shared" ca="1" si="145"/>
        <v>465.50840291909526</v>
      </c>
      <c r="M334" s="306">
        <f t="shared" ca="1" si="161"/>
        <v>1.2299522155137974</v>
      </c>
      <c r="N334" s="304">
        <f t="shared" ca="1" si="162"/>
        <v>70.471070951705642</v>
      </c>
      <c r="P334" s="310">
        <f t="shared" ca="1" si="163"/>
        <v>11</v>
      </c>
      <c r="Q334" s="304">
        <f t="shared" ca="1" si="164"/>
        <v>2210.6192540861807</v>
      </c>
      <c r="R334" s="306">
        <f t="shared" ca="1" si="165"/>
        <v>1.3294092455932249</v>
      </c>
      <c r="S334" s="307">
        <f t="shared" ca="1" si="166"/>
        <v>16.094272663037174</v>
      </c>
      <c r="T334" s="304">
        <f t="shared" ca="1" si="146"/>
        <v>157.88481482439468</v>
      </c>
      <c r="U334" s="311">
        <f t="shared" ca="1" si="147"/>
        <v>0</v>
      </c>
      <c r="V334" s="306">
        <f t="shared" ca="1" si="148"/>
        <v>1.1721045716013463</v>
      </c>
      <c r="W334" s="304">
        <f t="shared" ca="1" si="149"/>
        <v>577.42661876371949</v>
      </c>
      <c r="Y334" s="314" t="str">
        <f t="shared" ca="1" si="167"/>
        <v/>
      </c>
      <c r="Z334" s="315" t="str">
        <f t="shared" ca="1" si="168"/>
        <v/>
      </c>
      <c r="AA334" s="316" t="str">
        <f t="shared" ca="1" si="169"/>
        <v/>
      </c>
      <c r="AC334" s="310" t="e">
        <f t="shared" ca="1" si="170"/>
        <v>#N/A</v>
      </c>
      <c r="AD334" s="323" t="e">
        <f t="shared" ca="1" si="171"/>
        <v>#N/A</v>
      </c>
      <c r="AE334" s="324">
        <f t="shared" ca="1" si="150"/>
        <v>441.32766693042521</v>
      </c>
      <c r="AG334" s="306">
        <f t="shared" ca="1" si="172"/>
        <v>92.445230785670589</v>
      </c>
      <c r="AH334" s="304">
        <f t="shared" ca="1" si="173"/>
        <v>101.69125362741659</v>
      </c>
    </row>
    <row r="335" spans="1:34" x14ac:dyDescent="0.2">
      <c r="A335" s="347">
        <f t="shared" ca="1" si="151"/>
        <v>0.01</v>
      </c>
      <c r="B335" s="304">
        <f t="shared" ca="1" si="152"/>
        <v>3.3099999999999734</v>
      </c>
      <c r="D335" s="306">
        <f t="shared" ca="1" si="153"/>
        <v>33.954638951767869</v>
      </c>
      <c r="E335" s="307">
        <f t="shared" ca="1" si="154"/>
        <v>85.921303496873904</v>
      </c>
      <c r="F335" s="304">
        <f t="shared" ca="1" si="155"/>
        <v>92.387163074459792</v>
      </c>
      <c r="G335" s="306">
        <f t="shared" ca="1" si="156"/>
        <v>98.94838436798986</v>
      </c>
      <c r="H335" s="307">
        <f t="shared" ca="1" si="157"/>
        <v>278.87579301982788</v>
      </c>
      <c r="I335" s="304">
        <f t="shared" ca="1" si="158"/>
        <v>295.90959886673727</v>
      </c>
      <c r="J335" s="306">
        <f t="shared" ca="1" si="159"/>
        <v>149.06872205567618</v>
      </c>
      <c r="K335" s="307">
        <f t="shared" ca="1" si="160"/>
        <v>444.11212879544865</v>
      </c>
      <c r="L335" s="304">
        <f t="shared" ca="1" si="145"/>
        <v>468.46244976362578</v>
      </c>
      <c r="M335" s="306">
        <f t="shared" ca="1" si="161"/>
        <v>1.2298413940357127</v>
      </c>
      <c r="N335" s="304">
        <f t="shared" ca="1" si="162"/>
        <v>70.464721348731985</v>
      </c>
      <c r="P335" s="310">
        <f t="shared" ca="1" si="163"/>
        <v>11</v>
      </c>
      <c r="Q335" s="304">
        <f t="shared" ca="1" si="164"/>
        <v>2210.8454947994051</v>
      </c>
      <c r="R335" s="306">
        <f t="shared" ca="1" si="165"/>
        <v>1.3295453009068363</v>
      </c>
      <c r="S335" s="307">
        <f t="shared" ca="1" si="166"/>
        <v>16.080977210028106</v>
      </c>
      <c r="T335" s="304">
        <f t="shared" ca="1" si="146"/>
        <v>157.75438643037572</v>
      </c>
      <c r="U335" s="311">
        <f t="shared" ca="1" si="147"/>
        <v>0</v>
      </c>
      <c r="V335" s="306">
        <f t="shared" ca="1" si="148"/>
        <v>1.1717780890314968</v>
      </c>
      <c r="W335" s="304">
        <f t="shared" ca="1" si="149"/>
        <v>580.88505695689105</v>
      </c>
      <c r="Y335" s="314" t="str">
        <f t="shared" ca="1" si="167"/>
        <v/>
      </c>
      <c r="Z335" s="315" t="str">
        <f t="shared" ca="1" si="168"/>
        <v/>
      </c>
      <c r="AA335" s="316" t="str">
        <f t="shared" ca="1" si="169"/>
        <v/>
      </c>
      <c r="AC335" s="310" t="e">
        <f t="shared" ca="1" si="170"/>
        <v>#N/A</v>
      </c>
      <c r="AD335" s="323" t="e">
        <f t="shared" ca="1" si="171"/>
        <v>#N/A</v>
      </c>
      <c r="AE335" s="324">
        <f t="shared" ca="1" si="150"/>
        <v>444.11212879544865</v>
      </c>
      <c r="AG335" s="306">
        <f t="shared" ca="1" si="172"/>
        <v>92.328944547490465</v>
      </c>
      <c r="AH335" s="304">
        <f t="shared" ca="1" si="173"/>
        <v>101.57460300466596</v>
      </c>
    </row>
    <row r="336" spans="1:34" x14ac:dyDescent="0.2">
      <c r="A336" s="347">
        <f t="shared" ca="1" si="151"/>
        <v>0.01</v>
      </c>
      <c r="B336" s="304">
        <f t="shared" ca="1" si="152"/>
        <v>3.3199999999999732</v>
      </c>
      <c r="D336" s="306">
        <f t="shared" ca="1" si="153"/>
        <v>33.926089971452967</v>
      </c>
      <c r="E336" s="307">
        <f t="shared" ca="1" si="154"/>
        <v>85.807177635410653</v>
      </c>
      <c r="F336" s="304">
        <f t="shared" ca="1" si="155"/>
        <v>92.270533294795896</v>
      </c>
      <c r="G336" s="306">
        <f t="shared" ca="1" si="156"/>
        <v>99.287645267704391</v>
      </c>
      <c r="H336" s="307">
        <f t="shared" ca="1" si="157"/>
        <v>279.73386479618199</v>
      </c>
      <c r="I336" s="304">
        <f t="shared" ca="1" si="158"/>
        <v>296.83172272621761</v>
      </c>
      <c r="J336" s="306">
        <f t="shared" ca="1" si="159"/>
        <v>150.05990220385465</v>
      </c>
      <c r="K336" s="307">
        <f t="shared" ca="1" si="160"/>
        <v>446.9051770845287</v>
      </c>
      <c r="L336" s="304">
        <f t="shared" ca="1" si="145"/>
        <v>471.42572220274997</v>
      </c>
      <c r="M336" s="306">
        <f t="shared" ca="1" si="161"/>
        <v>1.2297308823127802</v>
      </c>
      <c r="N336" s="304">
        <f t="shared" ca="1" si="162"/>
        <v>70.458389493421237</v>
      </c>
      <c r="P336" s="310">
        <f t="shared" ca="1" si="163"/>
        <v>11</v>
      </c>
      <c r="Q336" s="304">
        <f t="shared" ca="1" si="164"/>
        <v>2211.0717355126294</v>
      </c>
      <c r="R336" s="306">
        <f t="shared" ca="1" si="165"/>
        <v>1.3296813562204477</v>
      </c>
      <c r="S336" s="307">
        <f t="shared" ca="1" si="166"/>
        <v>16.067680396465903</v>
      </c>
      <c r="T336" s="304">
        <f t="shared" ca="1" si="146"/>
        <v>157.62394468933053</v>
      </c>
      <c r="U336" s="311">
        <f t="shared" ca="1" si="147"/>
        <v>0</v>
      </c>
      <c r="V336" s="306">
        <f t="shared" ca="1" si="148"/>
        <v>1.171450689022405</v>
      </c>
      <c r="W336" s="304">
        <f t="shared" ca="1" si="149"/>
        <v>584.3477316326356</v>
      </c>
      <c r="Y336" s="314" t="str">
        <f t="shared" ca="1" si="167"/>
        <v/>
      </c>
      <c r="Z336" s="315" t="str">
        <f t="shared" ca="1" si="168"/>
        <v/>
      </c>
      <c r="AA336" s="316" t="str">
        <f t="shared" ca="1" si="169"/>
        <v/>
      </c>
      <c r="AC336" s="310" t="e">
        <f t="shared" ca="1" si="170"/>
        <v>#N/A</v>
      </c>
      <c r="AD336" s="323" t="e">
        <f t="shared" ca="1" si="171"/>
        <v>#N/A</v>
      </c>
      <c r="AE336" s="324">
        <f t="shared" ca="1" si="150"/>
        <v>446.9051770845287</v>
      </c>
      <c r="AG336" s="306">
        <f t="shared" ca="1" si="172"/>
        <v>92.212204690105963</v>
      </c>
      <c r="AH336" s="304">
        <f t="shared" ca="1" si="173"/>
        <v>101.45749967209323</v>
      </c>
    </row>
    <row r="337" spans="1:34" x14ac:dyDescent="0.2">
      <c r="A337" s="347">
        <f t="shared" ca="1" si="151"/>
        <v>0.01</v>
      </c>
      <c r="B337" s="304">
        <f t="shared" ca="1" si="152"/>
        <v>3.329999999999973</v>
      </c>
      <c r="D337" s="306">
        <f t="shared" ca="1" si="153"/>
        <v>33.897336252821127</v>
      </c>
      <c r="E337" s="307">
        <f t="shared" ca="1" si="154"/>
        <v>85.692646383957495</v>
      </c>
      <c r="F337" s="304">
        <f t="shared" ca="1" si="155"/>
        <v>92.153453811144843</v>
      </c>
      <c r="G337" s="306">
        <f t="shared" ca="1" si="156"/>
        <v>99.626618630232599</v>
      </c>
      <c r="H337" s="307">
        <f t="shared" ca="1" si="157"/>
        <v>280.59079126002155</v>
      </c>
      <c r="I337" s="304">
        <f t="shared" ca="1" si="158"/>
        <v>297.7526746808814</v>
      </c>
      <c r="J337" s="306">
        <f t="shared" ca="1" si="159"/>
        <v>151.05447352334434</v>
      </c>
      <c r="K337" s="307">
        <f t="shared" ca="1" si="160"/>
        <v>449.70680036480974</v>
      </c>
      <c r="L337" s="304">
        <f t="shared" ca="1" si="145"/>
        <v>474.39820853979791</v>
      </c>
      <c r="M337" s="306">
        <f t="shared" ca="1" si="161"/>
        <v>1.2296206780902028</v>
      </c>
      <c r="N337" s="304">
        <f t="shared" ca="1" si="162"/>
        <v>70.452075256583029</v>
      </c>
      <c r="P337" s="310">
        <f t="shared" ca="1" si="163"/>
        <v>11</v>
      </c>
      <c r="Q337" s="304">
        <f t="shared" ca="1" si="164"/>
        <v>2211.2979762258537</v>
      </c>
      <c r="R337" s="306">
        <f t="shared" ca="1" si="165"/>
        <v>1.3298174115340591</v>
      </c>
      <c r="S337" s="307">
        <f t="shared" ca="1" si="166"/>
        <v>16.054382222350561</v>
      </c>
      <c r="T337" s="304">
        <f t="shared" ca="1" si="146"/>
        <v>157.49348960125903</v>
      </c>
      <c r="U337" s="311">
        <f t="shared" ca="1" si="147"/>
        <v>0</v>
      </c>
      <c r="V337" s="306">
        <f t="shared" ca="1" si="148"/>
        <v>1.1711223737019973</v>
      </c>
      <c r="W337" s="304">
        <f t="shared" ca="1" si="149"/>
        <v>587.81456911670557</v>
      </c>
      <c r="Y337" s="314" t="str">
        <f t="shared" ca="1" si="167"/>
        <v/>
      </c>
      <c r="Z337" s="315" t="str">
        <f t="shared" ca="1" si="168"/>
        <v/>
      </c>
      <c r="AA337" s="316" t="str">
        <f t="shared" ca="1" si="169"/>
        <v/>
      </c>
      <c r="AC337" s="310" t="e">
        <f t="shared" ca="1" si="170"/>
        <v>#N/A</v>
      </c>
      <c r="AD337" s="323" t="e">
        <f t="shared" ca="1" si="171"/>
        <v>#N/A</v>
      </c>
      <c r="AE337" s="324">
        <f t="shared" ca="1" si="150"/>
        <v>449.70680036480974</v>
      </c>
      <c r="AG337" s="306">
        <f t="shared" ca="1" si="172"/>
        <v>92.095014656506876</v>
      </c>
      <c r="AH337" s="304">
        <f t="shared" ca="1" si="173"/>
        <v>101.33994706617943</v>
      </c>
    </row>
    <row r="338" spans="1:34" x14ac:dyDescent="0.2">
      <c r="A338" s="347">
        <f t="shared" ca="1" si="151"/>
        <v>0.01</v>
      </c>
      <c r="B338" s="304">
        <f t="shared" ca="1" si="152"/>
        <v>3.3399999999999728</v>
      </c>
      <c r="D338" s="306">
        <f t="shared" ca="1" si="153"/>
        <v>33.868379131196434</v>
      </c>
      <c r="E338" s="307">
        <f t="shared" ca="1" si="154"/>
        <v>85.577712940334536</v>
      </c>
      <c r="F338" s="304">
        <f t="shared" ca="1" si="155"/>
        <v>92.035928077424003</v>
      </c>
      <c r="G338" s="306">
        <f t="shared" ca="1" si="156"/>
        <v>99.965302421544564</v>
      </c>
      <c r="H338" s="307">
        <f t="shared" ca="1" si="157"/>
        <v>281.4465683894249</v>
      </c>
      <c r="I338" s="304">
        <f t="shared" ca="1" si="158"/>
        <v>298.67245026351878</v>
      </c>
      <c r="J338" s="306">
        <f t="shared" ca="1" si="159"/>
        <v>152.05243312860324</v>
      </c>
      <c r="K338" s="307">
        <f t="shared" ca="1" si="160"/>
        <v>452.51698716305697</v>
      </c>
      <c r="L338" s="304">
        <f t="shared" ca="1" si="145"/>
        <v>477.37989703323143</v>
      </c>
      <c r="M338" s="306">
        <f t="shared" ca="1" si="161"/>
        <v>1.2295107791353079</v>
      </c>
      <c r="N338" s="304">
        <f t="shared" ca="1" si="162"/>
        <v>70.445778510294659</v>
      </c>
      <c r="P338" s="310">
        <f t="shared" ca="1" si="163"/>
        <v>11</v>
      </c>
      <c r="Q338" s="304">
        <f t="shared" ca="1" si="164"/>
        <v>2211.5242169390781</v>
      </c>
      <c r="R338" s="306">
        <f t="shared" ca="1" si="165"/>
        <v>1.3299534668476705</v>
      </c>
      <c r="S338" s="307">
        <f t="shared" ca="1" si="166"/>
        <v>16.041082687682085</v>
      </c>
      <c r="T338" s="304">
        <f t="shared" ca="1" si="146"/>
        <v>157.36302116616127</v>
      </c>
      <c r="U338" s="311">
        <f t="shared" ca="1" si="147"/>
        <v>0</v>
      </c>
      <c r="V338" s="306">
        <f t="shared" ca="1" si="148"/>
        <v>1.1707931452033342</v>
      </c>
      <c r="W338" s="304">
        <f t="shared" ca="1" si="149"/>
        <v>591.28549577180604</v>
      </c>
      <c r="Y338" s="314" t="str">
        <f t="shared" ca="1" si="167"/>
        <v/>
      </c>
      <c r="Z338" s="315" t="str">
        <f t="shared" ca="1" si="168"/>
        <v/>
      </c>
      <c r="AA338" s="316" t="str">
        <f t="shared" ca="1" si="169"/>
        <v/>
      </c>
      <c r="AC338" s="310" t="e">
        <f t="shared" ca="1" si="170"/>
        <v>#N/A</v>
      </c>
      <c r="AD338" s="323" t="e">
        <f t="shared" ca="1" si="171"/>
        <v>#N/A</v>
      </c>
      <c r="AE338" s="324">
        <f t="shared" ca="1" si="150"/>
        <v>452.51698716305697</v>
      </c>
      <c r="AG338" s="306">
        <f t="shared" ca="1" si="172"/>
        <v>91.977377898724114</v>
      </c>
      <c r="AH338" s="304">
        <f t="shared" ca="1" si="173"/>
        <v>101.2219486325082</v>
      </c>
    </row>
    <row r="339" spans="1:34" x14ac:dyDescent="0.2">
      <c r="A339" s="347">
        <f t="shared" ca="1" si="151"/>
        <v>0.01</v>
      </c>
      <c r="B339" s="304">
        <f t="shared" ca="1" si="152"/>
        <v>3.3499999999999726</v>
      </c>
      <c r="D339" s="306">
        <f t="shared" ca="1" si="153"/>
        <v>33.839219943936783</v>
      </c>
      <c r="E339" s="307">
        <f t="shared" ca="1" si="154"/>
        <v>85.462380510934111</v>
      </c>
      <c r="F339" s="304">
        <f t="shared" ca="1" si="155"/>
        <v>91.917959556388212</v>
      </c>
      <c r="G339" s="306">
        <f t="shared" ca="1" si="156"/>
        <v>100.30369462098393</v>
      </c>
      <c r="H339" s="307">
        <f t="shared" ca="1" si="157"/>
        <v>282.30119219453422</v>
      </c>
      <c r="I339" s="304">
        <f t="shared" ca="1" si="158"/>
        <v>299.59104504152816</v>
      </c>
      <c r="J339" s="306">
        <f t="shared" ca="1" si="159"/>
        <v>153.05377811381589</v>
      </c>
      <c r="K339" s="307">
        <f t="shared" ca="1" si="160"/>
        <v>455.33572596597674</v>
      </c>
      <c r="L339" s="304">
        <f t="shared" ca="1" si="145"/>
        <v>480.37077589699004</v>
      </c>
      <c r="M339" s="306">
        <f t="shared" ca="1" si="161"/>
        <v>1.2294011832372618</v>
      </c>
      <c r="N339" s="304">
        <f t="shared" ca="1" si="162"/>
        <v>70.439499127884673</v>
      </c>
      <c r="P339" s="310">
        <f t="shared" ca="1" si="163"/>
        <v>11</v>
      </c>
      <c r="Q339" s="304">
        <f t="shared" ca="1" si="164"/>
        <v>2211.7504576523024</v>
      </c>
      <c r="R339" s="306">
        <f t="shared" ca="1" si="165"/>
        <v>1.3300895221612818</v>
      </c>
      <c r="S339" s="307">
        <f t="shared" ca="1" si="166"/>
        <v>16.027781792460473</v>
      </c>
      <c r="T339" s="304">
        <f t="shared" ca="1" si="146"/>
        <v>157.23253938403724</v>
      </c>
      <c r="U339" s="311">
        <f t="shared" ca="1" si="147"/>
        <v>0</v>
      </c>
      <c r="V339" s="306">
        <f t="shared" ca="1" si="148"/>
        <v>1.1704630056645549</v>
      </c>
      <c r="W339" s="304">
        <f t="shared" ca="1" si="149"/>
        <v>594.76043800143225</v>
      </c>
      <c r="Y339" s="314" t="str">
        <f t="shared" ca="1" si="167"/>
        <v/>
      </c>
      <c r="Z339" s="315" t="str">
        <f t="shared" ca="1" si="168"/>
        <v/>
      </c>
      <c r="AA339" s="316" t="str">
        <f t="shared" ca="1" si="169"/>
        <v/>
      </c>
      <c r="AC339" s="310" t="e">
        <f t="shared" ca="1" si="170"/>
        <v>#N/A</v>
      </c>
      <c r="AD339" s="323" t="e">
        <f t="shared" ca="1" si="171"/>
        <v>#N/A</v>
      </c>
      <c r="AE339" s="324">
        <f t="shared" ca="1" si="150"/>
        <v>455.33572596597674</v>
      </c>
      <c r="AG339" s="306">
        <f t="shared" ca="1" si="172"/>
        <v>91.859297877630908</v>
      </c>
      <c r="AH339" s="304">
        <f t="shared" ca="1" si="173"/>
        <v>101.1035078255663</v>
      </c>
    </row>
    <row r="340" spans="1:34" x14ac:dyDescent="0.2">
      <c r="A340" s="347">
        <f t="shared" ca="1" si="151"/>
        <v>0.01</v>
      </c>
      <c r="B340" s="304">
        <f t="shared" ca="1" si="152"/>
        <v>3.3599999999999723</v>
      </c>
      <c r="D340" s="306">
        <f t="shared" ca="1" si="153"/>
        <v>33.809860030392301</v>
      </c>
      <c r="E340" s="307">
        <f t="shared" ca="1" si="154"/>
        <v>85.3466523105253</v>
      </c>
      <c r="F340" s="304">
        <f t="shared" ca="1" si="155"/>
        <v>91.799551719430596</v>
      </c>
      <c r="G340" s="306">
        <f t="shared" ca="1" si="156"/>
        <v>100.64179322128786</v>
      </c>
      <c r="H340" s="307">
        <f t="shared" ca="1" si="157"/>
        <v>283.15465871763945</v>
      </c>
      <c r="I340" s="304">
        <f t="shared" ca="1" si="158"/>
        <v>300.508454617003</v>
      </c>
      <c r="J340" s="306">
        <f t="shared" ca="1" si="159"/>
        <v>154.05850555302726</v>
      </c>
      <c r="K340" s="307">
        <f t="shared" ca="1" si="160"/>
        <v>458.16300522053763</v>
      </c>
      <c r="L340" s="304">
        <f t="shared" ca="1" si="145"/>
        <v>483.370833300838</v>
      </c>
      <c r="M340" s="306">
        <f t="shared" ca="1" si="161"/>
        <v>1.2292918882067871</v>
      </c>
      <c r="N340" s="304">
        <f t="shared" ca="1" si="162"/>
        <v>70.433236983916714</v>
      </c>
      <c r="P340" s="310">
        <f t="shared" ca="1" si="163"/>
        <v>11</v>
      </c>
      <c r="Q340" s="304">
        <f t="shared" ca="1" si="164"/>
        <v>2211.9766983655268</v>
      </c>
      <c r="R340" s="306">
        <f t="shared" ca="1" si="165"/>
        <v>1.3302255774748932</v>
      </c>
      <c r="S340" s="307">
        <f t="shared" ca="1" si="166"/>
        <v>16.014479536685723</v>
      </c>
      <c r="T340" s="304">
        <f t="shared" ca="1" si="146"/>
        <v>157.10204425488695</v>
      </c>
      <c r="U340" s="311">
        <f t="shared" ca="1" si="147"/>
        <v>0</v>
      </c>
      <c r="V340" s="306">
        <f t="shared" ca="1" si="148"/>
        <v>1.1701319572288151</v>
      </c>
      <c r="W340" s="304">
        <f t="shared" ca="1" si="149"/>
        <v>598.23932225369163</v>
      </c>
      <c r="Y340" s="314" t="str">
        <f t="shared" ca="1" si="167"/>
        <v/>
      </c>
      <c r="Z340" s="315" t="str">
        <f t="shared" ca="1" si="168"/>
        <v/>
      </c>
      <c r="AA340" s="316" t="str">
        <f t="shared" ca="1" si="169"/>
        <v/>
      </c>
      <c r="AC340" s="310" t="e">
        <f t="shared" ca="1" si="170"/>
        <v>#N/A</v>
      </c>
      <c r="AD340" s="323" t="e">
        <f t="shared" ca="1" si="171"/>
        <v>#N/A</v>
      </c>
      <c r="AE340" s="324">
        <f t="shared" ca="1" si="150"/>
        <v>458.16300522053763</v>
      </c>
      <c r="AG340" s="306">
        <f t="shared" ca="1" si="172"/>
        <v>91.740778062743985</v>
      </c>
      <c r="AH340" s="304">
        <f t="shared" ca="1" si="173"/>
        <v>100.98462810854392</v>
      </c>
    </row>
    <row r="341" spans="1:34" x14ac:dyDescent="0.2">
      <c r="A341" s="347">
        <f t="shared" ca="1" si="151"/>
        <v>0.01</v>
      </c>
      <c r="B341" s="304">
        <f t="shared" ca="1" si="152"/>
        <v>3.3699999999999721</v>
      </c>
      <c r="D341" s="306">
        <f t="shared" ca="1" si="153"/>
        <v>33.780300731863427</v>
      </c>
      <c r="E341" s="307">
        <f t="shared" ca="1" si="154"/>
        <v>85.230531562058871</v>
      </c>
      <c r="F341" s="304">
        <f t="shared" ca="1" si="155"/>
        <v>91.6807080463837</v>
      </c>
      <c r="G341" s="306">
        <f t="shared" ca="1" si="156"/>
        <v>100.9795962286065</v>
      </c>
      <c r="H341" s="307">
        <f t="shared" ca="1" si="157"/>
        <v>284.00696403326003</v>
      </c>
      <c r="I341" s="304">
        <f t="shared" ca="1" si="158"/>
        <v>301.42467462681594</v>
      </c>
      <c r="J341" s="306">
        <f t="shared" ca="1" si="159"/>
        <v>155.06661250027673</v>
      </c>
      <c r="K341" s="307">
        <f t="shared" ca="1" si="160"/>
        <v>460.99881333429215</v>
      </c>
      <c r="L341" s="304">
        <f t="shared" ca="1" si="145"/>
        <v>486.38005737071137</v>
      </c>
      <c r="M341" s="306">
        <f t="shared" ca="1" si="161"/>
        <v>1.229182891875886</v>
      </c>
      <c r="N341" s="304">
        <f t="shared" ca="1" si="162"/>
        <v>70.426991954173673</v>
      </c>
      <c r="P341" s="310">
        <f t="shared" ca="1" si="163"/>
        <v>11</v>
      </c>
      <c r="Q341" s="304">
        <f t="shared" ca="1" si="164"/>
        <v>2212.2029390787511</v>
      </c>
      <c r="R341" s="306">
        <f t="shared" ca="1" si="165"/>
        <v>1.3303616327885046</v>
      </c>
      <c r="S341" s="307">
        <f t="shared" ca="1" si="166"/>
        <v>16.001175920357838</v>
      </c>
      <c r="T341" s="304">
        <f t="shared" ca="1" si="146"/>
        <v>156.9715357787104</v>
      </c>
      <c r="U341" s="311">
        <f t="shared" ca="1" si="147"/>
        <v>0</v>
      </c>
      <c r="V341" s="306">
        <f t="shared" ca="1" si="148"/>
        <v>1.1698000020442325</v>
      </c>
      <c r="W341" s="304">
        <f t="shared" ca="1" si="149"/>
        <v>601.72207502511037</v>
      </c>
      <c r="Y341" s="314" t="str">
        <f t="shared" ca="1" si="167"/>
        <v/>
      </c>
      <c r="Z341" s="315" t="str">
        <f t="shared" ca="1" si="168"/>
        <v/>
      </c>
      <c r="AA341" s="316" t="str">
        <f t="shared" ca="1" si="169"/>
        <v/>
      </c>
      <c r="AC341" s="310" t="e">
        <f t="shared" ca="1" si="170"/>
        <v>#N/A</v>
      </c>
      <c r="AD341" s="323" t="e">
        <f t="shared" ca="1" si="171"/>
        <v>#N/A</v>
      </c>
      <c r="AE341" s="324">
        <f t="shared" ca="1" si="150"/>
        <v>460.99881333429215</v>
      </c>
      <c r="AG341" s="306">
        <f t="shared" ca="1" si="172"/>
        <v>91.621821932024446</v>
      </c>
      <c r="AH341" s="304">
        <f t="shared" ca="1" si="173"/>
        <v>100.86531295313489</v>
      </c>
    </row>
    <row r="342" spans="1:34" x14ac:dyDescent="0.2">
      <c r="A342" s="347">
        <f t="shared" ca="1" si="151"/>
        <v>0.01</v>
      </c>
      <c r="B342" s="304">
        <f t="shared" ca="1" si="152"/>
        <v>3.3799999999999719</v>
      </c>
      <c r="D342" s="306">
        <f t="shared" ca="1" si="153"/>
        <v>33.750543391558438</v>
      </c>
      <c r="E342" s="307">
        <f t="shared" ca="1" si="154"/>
        <v>85.114021496472134</v>
      </c>
      <c r="F342" s="304">
        <f t="shared" ca="1" si="155"/>
        <v>91.561432025320514</v>
      </c>
      <c r="G342" s="306">
        <f t="shared" ca="1" si="156"/>
        <v>101.31710166252208</v>
      </c>
      <c r="H342" s="307">
        <f t="shared" ca="1" si="157"/>
        <v>284.85810424822478</v>
      </c>
      <c r="I342" s="304">
        <f t="shared" ca="1" si="158"/>
        <v>302.33970074270155</v>
      </c>
      <c r="J342" s="306">
        <f t="shared" ca="1" si="159"/>
        <v>156.07809598973239</v>
      </c>
      <c r="K342" s="307">
        <f t="shared" ca="1" si="160"/>
        <v>463.84313867569955</v>
      </c>
      <c r="L342" s="304">
        <f t="shared" ca="1" si="145"/>
        <v>489.39843618906707</v>
      </c>
      <c r="M342" s="306">
        <f t="shared" ca="1" si="161"/>
        <v>1.2290741920975663</v>
      </c>
      <c r="N342" s="304">
        <f t="shared" ca="1" si="162"/>
        <v>70.420763915641942</v>
      </c>
      <c r="P342" s="310">
        <f t="shared" ca="1" si="163"/>
        <v>11</v>
      </c>
      <c r="Q342" s="304">
        <f t="shared" ca="1" si="164"/>
        <v>2212.4291797919759</v>
      </c>
      <c r="R342" s="306">
        <f t="shared" ca="1" si="165"/>
        <v>1.3304976881021162</v>
      </c>
      <c r="S342" s="307">
        <f t="shared" ca="1" si="166"/>
        <v>15.987870943476818</v>
      </c>
      <c r="T342" s="304">
        <f t="shared" ca="1" si="146"/>
        <v>156.84101395550758</v>
      </c>
      <c r="U342" s="311">
        <f t="shared" ca="1" si="147"/>
        <v>0</v>
      </c>
      <c r="V342" s="306">
        <f t="shared" ca="1" si="148"/>
        <v>1.1694671422638256</v>
      </c>
      <c r="W342" s="304">
        <f t="shared" ca="1" si="149"/>
        <v>605.20862286442559</v>
      </c>
      <c r="Y342" s="314" t="str">
        <f t="shared" ca="1" si="167"/>
        <v/>
      </c>
      <c r="Z342" s="315" t="str">
        <f t="shared" ca="1" si="168"/>
        <v/>
      </c>
      <c r="AA342" s="316" t="str">
        <f t="shared" ca="1" si="169"/>
        <v/>
      </c>
      <c r="AC342" s="310" t="e">
        <f t="shared" ca="1" si="170"/>
        <v>#N/A</v>
      </c>
      <c r="AD342" s="323" t="e">
        <f t="shared" ca="1" si="171"/>
        <v>#N/A</v>
      </c>
      <c r="AE342" s="324">
        <f t="shared" ca="1" si="150"/>
        <v>463.84313867569955</v>
      </c>
      <c r="AG342" s="306">
        <f t="shared" ca="1" si="172"/>
        <v>91.5024329716788</v>
      </c>
      <c r="AH342" s="304">
        <f t="shared" ca="1" si="173"/>
        <v>100.74556583933693</v>
      </c>
    </row>
    <row r="343" spans="1:34" x14ac:dyDescent="0.2">
      <c r="A343" s="347">
        <f t="shared" ca="1" si="151"/>
        <v>0.01</v>
      </c>
      <c r="B343" s="304">
        <f t="shared" ca="1" si="152"/>
        <v>3.3899999999999717</v>
      </c>
      <c r="D343" s="306">
        <f t="shared" ca="1" si="153"/>
        <v>33.720589354550413</v>
      </c>
      <c r="E343" s="307">
        <f t="shared" ca="1" si="154"/>
        <v>84.99712535249391</v>
      </c>
      <c r="F343" s="304">
        <f t="shared" ca="1" si="155"/>
        <v>91.441727152355242</v>
      </c>
      <c r="G343" s="306">
        <f t="shared" ca="1" si="156"/>
        <v>101.65430755606758</v>
      </c>
      <c r="H343" s="307">
        <f t="shared" ca="1" si="157"/>
        <v>285.7080755017497</v>
      </c>
      <c r="I343" s="304">
        <f t="shared" ca="1" si="158"/>
        <v>303.25352867133648</v>
      </c>
      <c r="J343" s="306">
        <f t="shared" ca="1" si="159"/>
        <v>157.09295303582533</v>
      </c>
      <c r="K343" s="307">
        <f t="shared" ca="1" si="160"/>
        <v>466.69596957444941</v>
      </c>
      <c r="L343" s="304">
        <f t="shared" ca="1" si="145"/>
        <v>492.42595779523185</v>
      </c>
      <c r="M343" s="306">
        <f t="shared" ca="1" si="161"/>
        <v>1.2289657867455743</v>
      </c>
      <c r="N343" s="304">
        <f t="shared" ca="1" si="162"/>
        <v>70.41455274649617</v>
      </c>
      <c r="P343" s="310">
        <f t="shared" ca="1" si="163"/>
        <v>11</v>
      </c>
      <c r="Q343" s="304">
        <f t="shared" ca="1" si="164"/>
        <v>2212.6554205052003</v>
      </c>
      <c r="R343" s="306">
        <f t="shared" ca="1" si="165"/>
        <v>1.3306337434157276</v>
      </c>
      <c r="S343" s="307">
        <f t="shared" ca="1" si="166"/>
        <v>15.97456460604266</v>
      </c>
      <c r="T343" s="304">
        <f t="shared" ca="1" si="146"/>
        <v>156.7104787852785</v>
      </c>
      <c r="U343" s="311">
        <f t="shared" ca="1" si="147"/>
        <v>0</v>
      </c>
      <c r="V343" s="306">
        <f t="shared" ca="1" si="148"/>
        <v>1.1691333800454569</v>
      </c>
      <c r="W343" s="304">
        <f t="shared" ca="1" si="149"/>
        <v>608.69889237636005</v>
      </c>
      <c r="Y343" s="314" t="str">
        <f t="shared" ca="1" si="167"/>
        <v/>
      </c>
      <c r="Z343" s="315" t="str">
        <f t="shared" ca="1" si="168"/>
        <v/>
      </c>
      <c r="AA343" s="316" t="str">
        <f t="shared" ca="1" si="169"/>
        <v/>
      </c>
      <c r="AC343" s="310" t="e">
        <f t="shared" ca="1" si="170"/>
        <v>#N/A</v>
      </c>
      <c r="AD343" s="323" t="e">
        <f t="shared" ca="1" si="171"/>
        <v>#N/A</v>
      </c>
      <c r="AE343" s="324">
        <f t="shared" ca="1" si="150"/>
        <v>466.69596957444941</v>
      </c>
      <c r="AG343" s="306">
        <f t="shared" ca="1" si="172"/>
        <v>91.382614675959772</v>
      </c>
      <c r="AH343" s="304">
        <f t="shared" ca="1" si="173"/>
        <v>100.62539025525174</v>
      </c>
    </row>
    <row r="344" spans="1:34" x14ac:dyDescent="0.2">
      <c r="A344" s="347">
        <f t="shared" ca="1" si="151"/>
        <v>0.01</v>
      </c>
      <c r="B344" s="304">
        <f t="shared" ca="1" si="152"/>
        <v>3.3999999999999715</v>
      </c>
      <c r="D344" s="306">
        <f t="shared" ca="1" si="153"/>
        <v>33.690439967733745</v>
      </c>
      <c r="E344" s="307">
        <f t="shared" ca="1" si="154"/>
        <v>84.879846376449976</v>
      </c>
      <c r="F344" s="304">
        <f t="shared" ca="1" si="155"/>
        <v>91.321596931444532</v>
      </c>
      <c r="G344" s="306">
        <f t="shared" ca="1" si="156"/>
        <v>101.99121195574492</v>
      </c>
      <c r="H344" s="307">
        <f t="shared" ca="1" si="157"/>
        <v>286.55687396551423</v>
      </c>
      <c r="I344" s="304">
        <f t="shared" ca="1" si="158"/>
        <v>304.16615415441822</v>
      </c>
      <c r="J344" s="306">
        <f t="shared" ca="1" si="159"/>
        <v>158.11118063338441</v>
      </c>
      <c r="K344" s="307">
        <f t="shared" ca="1" si="160"/>
        <v>469.55729432178572</v>
      </c>
      <c r="L344" s="304">
        <f t="shared" ca="1" si="145"/>
        <v>495.4626101857524</v>
      </c>
      <c r="M344" s="306">
        <f t="shared" ca="1" si="161"/>
        <v>1.2288576737141303</v>
      </c>
      <c r="N344" s="304">
        <f t="shared" ca="1" si="162"/>
        <v>70.40835832608407</v>
      </c>
      <c r="P344" s="310">
        <f t="shared" ca="1" si="163"/>
        <v>11</v>
      </c>
      <c r="Q344" s="304">
        <f t="shared" ca="1" si="164"/>
        <v>2212.8816612184246</v>
      </c>
      <c r="R344" s="306">
        <f t="shared" ca="1" si="165"/>
        <v>1.330769798729339</v>
      </c>
      <c r="S344" s="307">
        <f t="shared" ca="1" si="166"/>
        <v>15.961256908055367</v>
      </c>
      <c r="T344" s="304">
        <f t="shared" ca="1" si="146"/>
        <v>156.57993026802316</v>
      </c>
      <c r="U344" s="311">
        <f t="shared" ca="1" si="147"/>
        <v>0</v>
      </c>
      <c r="V344" s="306">
        <f t="shared" ca="1" si="148"/>
        <v>1.1687987175517716</v>
      </c>
      <c r="W344" s="304">
        <f t="shared" ca="1" si="149"/>
        <v>612.19281022538155</v>
      </c>
      <c r="Y344" s="314" t="str">
        <f t="shared" ca="1" si="167"/>
        <v/>
      </c>
      <c r="Z344" s="315" t="str">
        <f t="shared" ca="1" si="168"/>
        <v/>
      </c>
      <c r="AA344" s="316" t="str">
        <f t="shared" ca="1" si="169"/>
        <v/>
      </c>
      <c r="AC344" s="310" t="e">
        <f t="shared" ca="1" si="170"/>
        <v>#N/A</v>
      </c>
      <c r="AD344" s="323" t="e">
        <f t="shared" ca="1" si="171"/>
        <v>#N/A</v>
      </c>
      <c r="AE344" s="324">
        <f t="shared" ca="1" si="150"/>
        <v>469.55729432178572</v>
      </c>
      <c r="AG344" s="306">
        <f t="shared" ca="1" si="172"/>
        <v>91.262370546967446</v>
      </c>
      <c r="AH344" s="304">
        <f t="shared" ca="1" si="173"/>
        <v>100.50478969688544</v>
      </c>
    </row>
    <row r="345" spans="1:34" x14ac:dyDescent="0.2">
      <c r="A345" s="347">
        <f t="shared" ca="1" si="151"/>
        <v>0.01</v>
      </c>
      <c r="B345" s="304">
        <f t="shared" ca="1" si="152"/>
        <v>3.4099999999999713</v>
      </c>
      <c r="D345" s="306">
        <f t="shared" ca="1" si="153"/>
        <v>33.660096579780095</v>
      </c>
      <c r="E345" s="307">
        <f t="shared" ca="1" si="154"/>
        <v>84.762187822068256</v>
      </c>
      <c r="F345" s="304">
        <f t="shared" ca="1" si="155"/>
        <v>91.201044874188256</v>
      </c>
      <c r="G345" s="306">
        <f t="shared" ca="1" si="156"/>
        <v>102.32781292154272</v>
      </c>
      <c r="H345" s="307">
        <f t="shared" ca="1" si="157"/>
        <v>287.40449584373494</v>
      </c>
      <c r="I345" s="304">
        <f t="shared" ca="1" si="158"/>
        <v>305.07757296874132</v>
      </c>
      <c r="J345" s="306">
        <f t="shared" ca="1" si="159"/>
        <v>159.13277575777084</v>
      </c>
      <c r="K345" s="307">
        <f t="shared" ca="1" si="160"/>
        <v>472.42710117083197</v>
      </c>
      <c r="L345" s="304">
        <f t="shared" ca="1" si="145"/>
        <v>498.50838131474632</v>
      </c>
      <c r="M345" s="306">
        <f t="shared" ca="1" si="161"/>
        <v>1.2287498509176686</v>
      </c>
      <c r="N345" s="304">
        <f t="shared" ca="1" si="162"/>
        <v>70.402180534911523</v>
      </c>
      <c r="P345" s="310">
        <f t="shared" ca="1" si="163"/>
        <v>11</v>
      </c>
      <c r="Q345" s="304">
        <f t="shared" ca="1" si="164"/>
        <v>2213.1079019316489</v>
      </c>
      <c r="R345" s="306">
        <f t="shared" ca="1" si="165"/>
        <v>1.3309058540429504</v>
      </c>
      <c r="S345" s="307">
        <f t="shared" ca="1" si="166"/>
        <v>15.947947849514938</v>
      </c>
      <c r="T345" s="304">
        <f t="shared" ca="1" si="146"/>
        <v>156.44936840374154</v>
      </c>
      <c r="U345" s="311">
        <f t="shared" ca="1" si="147"/>
        <v>0</v>
      </c>
      <c r="V345" s="306">
        <f t="shared" ca="1" si="148"/>
        <v>1.1684631569501427</v>
      </c>
      <c r="W345" s="304">
        <f t="shared" ca="1" si="149"/>
        <v>615.69030313944677</v>
      </c>
      <c r="Y345" s="314" t="str">
        <f t="shared" ca="1" si="167"/>
        <v/>
      </c>
      <c r="Z345" s="315" t="str">
        <f t="shared" ca="1" si="168"/>
        <v/>
      </c>
      <c r="AA345" s="316" t="str">
        <f t="shared" ca="1" si="169"/>
        <v/>
      </c>
      <c r="AC345" s="310" t="e">
        <f t="shared" ca="1" si="170"/>
        <v>#N/A</v>
      </c>
      <c r="AD345" s="323" t="e">
        <f t="shared" ca="1" si="171"/>
        <v>#N/A</v>
      </c>
      <c r="AE345" s="324">
        <f t="shared" ca="1" si="150"/>
        <v>472.42710117083197</v>
      </c>
      <c r="AG345" s="306">
        <f t="shared" ca="1" si="172"/>
        <v>91.14170409445002</v>
      </c>
      <c r="AH345" s="304">
        <f t="shared" ca="1" si="173"/>
        <v>100.38376766794858</v>
      </c>
    </row>
    <row r="346" spans="1:34" x14ac:dyDescent="0.2">
      <c r="A346" s="347">
        <f t="shared" ca="1" si="151"/>
        <v>0.01</v>
      </c>
      <c r="B346" s="304">
        <f t="shared" ca="1" si="152"/>
        <v>3.4199999999999711</v>
      </c>
      <c r="D346" s="306">
        <f t="shared" ca="1" si="153"/>
        <v>33.629560541093959</v>
      </c>
      <c r="E346" s="307">
        <f t="shared" ca="1" si="154"/>
        <v>84.644152950284294</v>
      </c>
      <c r="F346" s="304">
        <f t="shared" ca="1" si="155"/>
        <v>91.080074499630413</v>
      </c>
      <c r="G346" s="306">
        <f t="shared" ca="1" si="156"/>
        <v>102.66410852695365</v>
      </c>
      <c r="H346" s="307">
        <f t="shared" ca="1" si="157"/>
        <v>288.25093737323778</v>
      </c>
      <c r="I346" s="304">
        <f t="shared" ca="1" si="158"/>
        <v>305.98778092627225</v>
      </c>
      <c r="J346" s="306">
        <f t="shared" ca="1" si="159"/>
        <v>160.15773536501334</v>
      </c>
      <c r="K346" s="307">
        <f t="shared" ca="1" si="160"/>
        <v>475.30537833691682</v>
      </c>
      <c r="L346" s="304">
        <f t="shared" ca="1" si="145"/>
        <v>501.56325909425351</v>
      </c>
      <c r="M346" s="306">
        <f t="shared" ca="1" si="161"/>
        <v>1.2286423162905813</v>
      </c>
      <c r="N346" s="304">
        <f t="shared" ca="1" si="162"/>
        <v>70.396019254627902</v>
      </c>
      <c r="P346" s="310">
        <f t="shared" ca="1" si="163"/>
        <v>11</v>
      </c>
      <c r="Q346" s="304">
        <f t="shared" ca="1" si="164"/>
        <v>2213.3341426448733</v>
      </c>
      <c r="R346" s="306">
        <f t="shared" ca="1" si="165"/>
        <v>1.3310419093565617</v>
      </c>
      <c r="S346" s="307">
        <f t="shared" ca="1" si="166"/>
        <v>15.934637430421372</v>
      </c>
      <c r="T346" s="304">
        <f t="shared" ca="1" si="146"/>
        <v>156.31879319243367</v>
      </c>
      <c r="U346" s="311">
        <f t="shared" ca="1" si="147"/>
        <v>0</v>
      </c>
      <c r="V346" s="306">
        <f t="shared" ca="1" si="148"/>
        <v>1.1681267004126104</v>
      </c>
      <c r="W346" s="304">
        <f t="shared" ca="1" si="149"/>
        <v>619.19129791372825</v>
      </c>
      <c r="Y346" s="314" t="str">
        <f t="shared" ca="1" si="167"/>
        <v/>
      </c>
      <c r="Z346" s="315" t="str">
        <f t="shared" ca="1" si="168"/>
        <v/>
      </c>
      <c r="AA346" s="316" t="str">
        <f t="shared" ca="1" si="169"/>
        <v/>
      </c>
      <c r="AC346" s="310" t="e">
        <f t="shared" ca="1" si="170"/>
        <v>#N/A</v>
      </c>
      <c r="AD346" s="323" t="e">
        <f t="shared" ca="1" si="171"/>
        <v>#N/A</v>
      </c>
      <c r="AE346" s="324">
        <f t="shared" ca="1" si="150"/>
        <v>475.30537833691682</v>
      </c>
      <c r="AG346" s="306">
        <f t="shared" ca="1" si="172"/>
        <v>91.020618835604765</v>
      </c>
      <c r="AH346" s="304">
        <f t="shared" ca="1" si="173"/>
        <v>100.26232767965645</v>
      </c>
    </row>
    <row r="347" spans="1:34" x14ac:dyDescent="0.2">
      <c r="A347" s="347">
        <f t="shared" ca="1" si="151"/>
        <v>0.01</v>
      </c>
      <c r="B347" s="304">
        <f t="shared" ca="1" si="152"/>
        <v>3.4299999999999708</v>
      </c>
      <c r="D347" s="306">
        <f t="shared" ca="1" si="153"/>
        <v>33.598833203767789</v>
      </c>
      <c r="E347" s="307">
        <f t="shared" ca="1" si="154"/>
        <v>84.525745029047172</v>
      </c>
      <c r="F347" s="304">
        <f t="shared" ca="1" si="155"/>
        <v>90.958689334060338</v>
      </c>
      <c r="G347" s="306">
        <f t="shared" ca="1" si="156"/>
        <v>103.00009685899133</v>
      </c>
      <c r="H347" s="307">
        <f t="shared" ca="1" si="157"/>
        <v>289.09619482352826</v>
      </c>
      <c r="I347" s="304">
        <f t="shared" ca="1" si="158"/>
        <v>306.89677387422142</v>
      </c>
      <c r="J347" s="306">
        <f t="shared" ca="1" si="159"/>
        <v>161.18605639194305</v>
      </c>
      <c r="K347" s="307">
        <f t="shared" ca="1" si="160"/>
        <v>478.19211399790066</v>
      </c>
      <c r="L347" s="304">
        <f t="shared" ca="1" si="145"/>
        <v>504.62723139458882</v>
      </c>
      <c r="M347" s="306">
        <f t="shared" ca="1" si="161"/>
        <v>1.2285350677869684</v>
      </c>
      <c r="N347" s="304">
        <f t="shared" ca="1" si="162"/>
        <v>70.389874368011789</v>
      </c>
      <c r="P347" s="310">
        <f t="shared" ca="1" si="163"/>
        <v>11</v>
      </c>
      <c r="Q347" s="304">
        <f t="shared" ca="1" si="164"/>
        <v>2213.5603833580976</v>
      </c>
      <c r="R347" s="306">
        <f t="shared" ca="1" si="165"/>
        <v>1.3311779646701731</v>
      </c>
      <c r="S347" s="307">
        <f t="shared" ca="1" si="166"/>
        <v>15.921325650774669</v>
      </c>
      <c r="T347" s="304">
        <f t="shared" ca="1" si="146"/>
        <v>156.18820463409952</v>
      </c>
      <c r="U347" s="311">
        <f t="shared" ca="1" si="147"/>
        <v>0</v>
      </c>
      <c r="V347" s="306">
        <f t="shared" ca="1" si="148"/>
        <v>1.1677893501158225</v>
      </c>
      <c r="W347" s="304">
        <f t="shared" ca="1" si="149"/>
        <v>622.69572141432104</v>
      </c>
      <c r="Y347" s="314" t="str">
        <f t="shared" ca="1" si="167"/>
        <v/>
      </c>
      <c r="Z347" s="315" t="str">
        <f t="shared" ca="1" si="168"/>
        <v/>
      </c>
      <c r="AA347" s="316" t="str">
        <f t="shared" ca="1" si="169"/>
        <v/>
      </c>
      <c r="AC347" s="310" t="e">
        <f t="shared" ca="1" si="170"/>
        <v>#N/A</v>
      </c>
      <c r="AD347" s="323" t="e">
        <f t="shared" ca="1" si="171"/>
        <v>#N/A</v>
      </c>
      <c r="AE347" s="324">
        <f t="shared" ca="1" si="150"/>
        <v>478.19211399790066</v>
      </c>
      <c r="AG347" s="306">
        <f t="shared" ca="1" si="172"/>
        <v>90.899118294879102</v>
      </c>
      <c r="AH347" s="304">
        <f t="shared" ca="1" si="173"/>
        <v>100.14047325052947</v>
      </c>
    </row>
    <row r="348" spans="1:34" x14ac:dyDescent="0.2">
      <c r="A348" s="347">
        <f t="shared" ca="1" si="151"/>
        <v>0.01</v>
      </c>
      <c r="B348" s="304">
        <f t="shared" ca="1" si="152"/>
        <v>3.4399999999999706</v>
      </c>
      <c r="D348" s="306">
        <f t="shared" ca="1" si="153"/>
        <v>33.571555998859317</v>
      </c>
      <c r="E348" s="307">
        <f t="shared" ca="1" si="154"/>
        <v>84.417184143934122</v>
      </c>
      <c r="F348" s="304">
        <f t="shared" ca="1" si="155"/>
        <v>90.847731677656256</v>
      </c>
      <c r="G348" s="306">
        <f t="shared" ca="1" si="156"/>
        <v>103.33581241897993</v>
      </c>
      <c r="H348" s="307">
        <f t="shared" ca="1" si="157"/>
        <v>289.9403666649676</v>
      </c>
      <c r="I348" s="304">
        <f t="shared" ca="1" si="158"/>
        <v>307.80465615403949</v>
      </c>
      <c r="J348" s="306">
        <f t="shared" ca="1" si="159"/>
        <v>162.21773593833291</v>
      </c>
      <c r="K348" s="307">
        <f t="shared" ca="1" si="160"/>
        <v>481.08729680534316</v>
      </c>
      <c r="L348" s="304">
        <f t="shared" ca="1" si="145"/>
        <v>507.70028658691047</v>
      </c>
      <c r="M348" s="306">
        <f t="shared" ca="1" si="161"/>
        <v>1.2284281034180782</v>
      </c>
      <c r="N348" s="304">
        <f t="shared" ca="1" si="162"/>
        <v>70.383745761116103</v>
      </c>
      <c r="P348" s="310">
        <f t="shared" ca="1" si="163"/>
        <v>12</v>
      </c>
      <c r="Q348" s="304">
        <f t="shared" ca="1" si="164"/>
        <v>2213.9590569394963</v>
      </c>
      <c r="R348" s="306">
        <f t="shared" ca="1" si="165"/>
        <v>1.3314177166510288</v>
      </c>
      <c r="S348" s="307">
        <f t="shared" ca="1" si="166"/>
        <v>15.908011473608159</v>
      </c>
      <c r="T348" s="304">
        <f t="shared" ca="1" si="146"/>
        <v>156.05759255609604</v>
      </c>
      <c r="U348" s="311">
        <f t="shared" ca="1" si="147"/>
        <v>0</v>
      </c>
      <c r="V348" s="306">
        <f t="shared" ca="1" si="148"/>
        <v>1.1674511081813053</v>
      </c>
      <c r="W348" s="304">
        <f t="shared" ca="1" si="149"/>
        <v>626.20394185186126</v>
      </c>
      <c r="Y348" s="314" t="str">
        <f t="shared" ca="1" si="167"/>
        <v/>
      </c>
      <c r="Z348" s="315" t="str">
        <f t="shared" ca="1" si="168"/>
        <v/>
      </c>
      <c r="AA348" s="316" t="str">
        <f t="shared" ca="1" si="169"/>
        <v/>
      </c>
      <c r="AC348" s="310" t="e">
        <f t="shared" ca="1" si="170"/>
        <v>#N/A</v>
      </c>
      <c r="AD348" s="323" t="e">
        <f t="shared" ca="1" si="171"/>
        <v>#N/A</v>
      </c>
      <c r="AE348" s="324">
        <f t="shared" ca="1" si="150"/>
        <v>481.08729680534316</v>
      </c>
      <c r="AG348" s="306">
        <f t="shared" ca="1" si="172"/>
        <v>90.788051896359107</v>
      </c>
      <c r="AH348" s="304">
        <f t="shared" ca="1" si="173"/>
        <v>100.02905379878096</v>
      </c>
    </row>
    <row r="349" spans="1:34" x14ac:dyDescent="0.2">
      <c r="A349" s="347">
        <f t="shared" ca="1" si="151"/>
        <v>0.01</v>
      </c>
      <c r="B349" s="304">
        <f t="shared" ca="1" si="152"/>
        <v>3.4499999999999704</v>
      </c>
      <c r="D349" s="306">
        <f t="shared" ca="1" si="153"/>
        <v>33.576889335641773</v>
      </c>
      <c r="E349" s="307">
        <f t="shared" ca="1" si="154"/>
        <v>84.400277904167467</v>
      </c>
      <c r="F349" s="304">
        <f t="shared" ca="1" si="155"/>
        <v>90.833993679451495</v>
      </c>
      <c r="G349" s="306">
        <f t="shared" ca="1" si="156"/>
        <v>103.67158131233634</v>
      </c>
      <c r="H349" s="307">
        <f t="shared" ca="1" si="157"/>
        <v>290.78436944400926</v>
      </c>
      <c r="I349" s="304">
        <f t="shared" ca="1" si="158"/>
        <v>308.7124006008674</v>
      </c>
      <c r="J349" s="306">
        <f t="shared" ca="1" si="159"/>
        <v>163.25277290698949</v>
      </c>
      <c r="K349" s="307">
        <f t="shared" ca="1" si="160"/>
        <v>483.99092048588807</v>
      </c>
      <c r="L349" s="304">
        <f t="shared" ca="1" si="145"/>
        <v>510.78241842745365</v>
      </c>
      <c r="M349" s="306">
        <f t="shared" ca="1" si="161"/>
        <v>1.2283214215513518</v>
      </c>
      <c r="N349" s="304">
        <f t="shared" ca="1" si="162"/>
        <v>70.377633340402099</v>
      </c>
      <c r="P349" s="310">
        <f t="shared" ca="1" si="163"/>
        <v>12</v>
      </c>
      <c r="Q349" s="304">
        <f t="shared" ca="1" si="164"/>
        <v>2215.9096263345141</v>
      </c>
      <c r="R349" s="306">
        <f t="shared" ca="1" si="165"/>
        <v>1.3325907386371147</v>
      </c>
      <c r="S349" s="307">
        <f t="shared" ca="1" si="166"/>
        <v>15.894685566221789</v>
      </c>
      <c r="T349" s="304">
        <f t="shared" ca="1" si="146"/>
        <v>155.92686540463575</v>
      </c>
      <c r="U349" s="311">
        <f t="shared" ca="1" si="147"/>
        <v>0</v>
      </c>
      <c r="V349" s="306">
        <f t="shared" ca="1" si="148"/>
        <v>1.1671119761381783</v>
      </c>
      <c r="W349" s="304">
        <f t="shared" ca="1" si="149"/>
        <v>629.71987488236618</v>
      </c>
      <c r="Y349" s="314" t="str">
        <f t="shared" ca="1" si="167"/>
        <v/>
      </c>
      <c r="Z349" s="315" t="str">
        <f t="shared" ca="1" si="168"/>
        <v/>
      </c>
      <c r="AA349" s="316" t="str">
        <f t="shared" ca="1" si="169"/>
        <v/>
      </c>
      <c r="AC349" s="310" t="e">
        <f t="shared" ca="1" si="170"/>
        <v>#N/A</v>
      </c>
      <c r="AD349" s="323" t="e">
        <f t="shared" ca="1" si="171"/>
        <v>#N/A</v>
      </c>
      <c r="AE349" s="324">
        <f t="shared" ca="1" si="150"/>
        <v>483.99092048588807</v>
      </c>
      <c r="AG349" s="306">
        <f t="shared" ca="1" si="172"/>
        <v>90.77426900968446</v>
      </c>
      <c r="AH349" s="304">
        <f t="shared" ca="1" si="173"/>
        <v>100.01491868835569</v>
      </c>
    </row>
    <row r="350" spans="1:34" x14ac:dyDescent="0.2">
      <c r="A350" s="347">
        <f t="shared" ca="1" si="151"/>
        <v>0.01</v>
      </c>
      <c r="B350" s="304">
        <f t="shared" ca="1" si="152"/>
        <v>3.4599999999999702</v>
      </c>
      <c r="D350" s="306">
        <f t="shared" ca="1" si="153"/>
        <v>33.582046581538734</v>
      </c>
      <c r="E350" s="307">
        <f t="shared" ca="1" si="154"/>
        <v>84.382970882080016</v>
      </c>
      <c r="F350" s="304">
        <f t="shared" ca="1" si="155"/>
        <v>90.819819574201986</v>
      </c>
      <c r="G350" s="306">
        <f t="shared" ca="1" si="156"/>
        <v>104.00740177815173</v>
      </c>
      <c r="H350" s="307">
        <f t="shared" ca="1" si="157"/>
        <v>291.62819915283006</v>
      </c>
      <c r="I350" s="304">
        <f t="shared" ca="1" si="158"/>
        <v>309.62000285150276</v>
      </c>
      <c r="J350" s="306">
        <f t="shared" ca="1" si="159"/>
        <v>164.29116782244193</v>
      </c>
      <c r="K350" s="307">
        <f t="shared" ca="1" si="160"/>
        <v>486.90298332887227</v>
      </c>
      <c r="L350" s="304">
        <f t="shared" ca="1" si="145"/>
        <v>513.87362551411206</v>
      </c>
      <c r="M350" s="306">
        <f t="shared" ca="1" si="161"/>
        <v>1.2282150205669706</v>
      </c>
      <c r="N350" s="304">
        <f t="shared" ca="1" si="162"/>
        <v>70.371537013061015</v>
      </c>
      <c r="P350" s="310">
        <f t="shared" ca="1" si="163"/>
        <v>12</v>
      </c>
      <c r="Q350" s="304">
        <f t="shared" ca="1" si="164"/>
        <v>2217.8601957295318</v>
      </c>
      <c r="R350" s="306">
        <f t="shared" ca="1" si="165"/>
        <v>1.3337637606232007</v>
      </c>
      <c r="S350" s="307">
        <f t="shared" ca="1" si="166"/>
        <v>15.881347928615556</v>
      </c>
      <c r="T350" s="304">
        <f t="shared" ca="1" si="146"/>
        <v>155.79602317971862</v>
      </c>
      <c r="U350" s="311">
        <f t="shared" ca="1" si="147"/>
        <v>0</v>
      </c>
      <c r="V350" s="306">
        <f t="shared" ca="1" si="148"/>
        <v>1.1667719549838029</v>
      </c>
      <c r="W350" s="304">
        <f t="shared" ca="1" si="149"/>
        <v>633.24348077516936</v>
      </c>
      <c r="Y350" s="314" t="str">
        <f t="shared" ca="1" si="167"/>
        <v/>
      </c>
      <c r="Z350" s="315" t="str">
        <f t="shared" ca="1" si="168"/>
        <v/>
      </c>
      <c r="AA350" s="316" t="str">
        <f t="shared" ca="1" si="169"/>
        <v/>
      </c>
      <c r="AC350" s="310" t="e">
        <f t="shared" ca="1" si="170"/>
        <v>#N/A</v>
      </c>
      <c r="AD350" s="323" t="e">
        <f t="shared" ca="1" si="171"/>
        <v>#N/A</v>
      </c>
      <c r="AE350" s="324">
        <f t="shared" ca="1" si="150"/>
        <v>486.90298332887227</v>
      </c>
      <c r="AG350" s="306">
        <f t="shared" ca="1" si="172"/>
        <v>90.760049800512505</v>
      </c>
      <c r="AH350" s="304">
        <f t="shared" ca="1" si="173"/>
        <v>100.00034808037925</v>
      </c>
    </row>
    <row r="351" spans="1:34" x14ac:dyDescent="0.2">
      <c r="A351" s="347">
        <f t="shared" ca="1" si="151"/>
        <v>0.01</v>
      </c>
      <c r="B351" s="304">
        <f t="shared" ca="1" si="152"/>
        <v>3.46999999999997</v>
      </c>
      <c r="D351" s="306">
        <f t="shared" ca="1" si="153"/>
        <v>33.587028233866853</v>
      </c>
      <c r="E351" s="307">
        <f t="shared" ca="1" si="154"/>
        <v>84.36526436849627</v>
      </c>
      <c r="F351" s="304">
        <f t="shared" ca="1" si="155"/>
        <v>90.805210740071715</v>
      </c>
      <c r="G351" s="306">
        <f t="shared" ca="1" si="156"/>
        <v>104.34327206049041</v>
      </c>
      <c r="H351" s="307">
        <f t="shared" ca="1" si="157"/>
        <v>292.47185179651501</v>
      </c>
      <c r="I351" s="304">
        <f t="shared" ca="1" si="158"/>
        <v>310.52745855652148</v>
      </c>
      <c r="J351" s="306">
        <f t="shared" ca="1" si="159"/>
        <v>165.33292119163514</v>
      </c>
      <c r="K351" s="307">
        <f t="shared" ca="1" si="160"/>
        <v>489.82348358361901</v>
      </c>
      <c r="L351" s="304">
        <f t="shared" ca="1" si="145"/>
        <v>516.97390640123342</v>
      </c>
      <c r="M351" s="306">
        <f t="shared" ca="1" si="161"/>
        <v>1.2281088988577273</v>
      </c>
      <c r="N351" s="304">
        <f t="shared" ca="1" si="162"/>
        <v>70.36545668700667</v>
      </c>
      <c r="P351" s="310">
        <f t="shared" ca="1" si="163"/>
        <v>12</v>
      </c>
      <c r="Q351" s="304">
        <f t="shared" ca="1" si="164"/>
        <v>2219.8107651245496</v>
      </c>
      <c r="R351" s="306">
        <f t="shared" ca="1" si="165"/>
        <v>1.3349367826092864</v>
      </c>
      <c r="S351" s="307">
        <f t="shared" ca="1" si="166"/>
        <v>15.867998560789463</v>
      </c>
      <c r="T351" s="304">
        <f t="shared" ca="1" si="146"/>
        <v>155.66506588134465</v>
      </c>
      <c r="U351" s="311">
        <f t="shared" ca="1" si="147"/>
        <v>0</v>
      </c>
      <c r="V351" s="306">
        <f t="shared" ca="1" si="148"/>
        <v>1.1664310457217284</v>
      </c>
      <c r="W351" s="304">
        <f t="shared" ca="1" si="149"/>
        <v>636.77471964316271</v>
      </c>
      <c r="Y351" s="314" t="str">
        <f t="shared" ca="1" si="167"/>
        <v/>
      </c>
      <c r="Z351" s="315" t="str">
        <f t="shared" ca="1" si="168"/>
        <v/>
      </c>
      <c r="AA351" s="316" t="str">
        <f t="shared" ca="1" si="169"/>
        <v/>
      </c>
      <c r="AC351" s="310" t="e">
        <f t="shared" ca="1" si="170"/>
        <v>#N/A</v>
      </c>
      <c r="AD351" s="323" t="e">
        <f t="shared" ca="1" si="171"/>
        <v>#N/A</v>
      </c>
      <c r="AE351" s="324">
        <f t="shared" ca="1" si="150"/>
        <v>489.82348358361901</v>
      </c>
      <c r="AG351" s="306">
        <f t="shared" ca="1" si="172"/>
        <v>90.745395646696451</v>
      </c>
      <c r="AH351" s="304">
        <f t="shared" ca="1" si="173"/>
        <v>99.985343348206456</v>
      </c>
    </row>
    <row r="352" spans="1:34" x14ac:dyDescent="0.2">
      <c r="A352" s="347">
        <f t="shared" ca="1" si="151"/>
        <v>0.01</v>
      </c>
      <c r="B352" s="304">
        <f t="shared" ca="1" si="152"/>
        <v>3.4799999999999698</v>
      </c>
      <c r="D352" s="306">
        <f t="shared" ca="1" si="153"/>
        <v>33.591834794105964</v>
      </c>
      <c r="E352" s="307">
        <f t="shared" ca="1" si="154"/>
        <v>84.347159666022094</v>
      </c>
      <c r="F352" s="304">
        <f t="shared" ca="1" si="155"/>
        <v>90.790168567747102</v>
      </c>
      <c r="G352" s="306">
        <f t="shared" ca="1" si="156"/>
        <v>104.67919040843147</v>
      </c>
      <c r="H352" s="307">
        <f t="shared" ca="1" si="157"/>
        <v>293.31532339317522</v>
      </c>
      <c r="I352" s="304">
        <f t="shared" ca="1" si="158"/>
        <v>311.43476338040301</v>
      </c>
      <c r="J352" s="306">
        <f t="shared" ca="1" si="159"/>
        <v>166.37803350397974</v>
      </c>
      <c r="K352" s="307">
        <f t="shared" ca="1" si="160"/>
        <v>492.75241945956748</v>
      </c>
      <c r="L352" s="304">
        <f t="shared" ca="1" si="145"/>
        <v>520.08325959975764</v>
      </c>
      <c r="M352" s="306">
        <f t="shared" ca="1" si="161"/>
        <v>1.2280030548288983</v>
      </c>
      <c r="N352" s="304">
        <f t="shared" ca="1" si="162"/>
        <v>70.359392270868099</v>
      </c>
      <c r="P352" s="310">
        <f t="shared" ca="1" si="163"/>
        <v>12</v>
      </c>
      <c r="Q352" s="304">
        <f t="shared" ca="1" si="164"/>
        <v>2221.7613345195673</v>
      </c>
      <c r="R352" s="306">
        <f t="shared" ca="1" si="165"/>
        <v>1.3361098045953723</v>
      </c>
      <c r="S352" s="307">
        <f t="shared" ca="1" si="166"/>
        <v>15.85463746274351</v>
      </c>
      <c r="T352" s="304">
        <f t="shared" ca="1" si="146"/>
        <v>155.53399350951383</v>
      </c>
      <c r="U352" s="311">
        <f t="shared" ca="1" si="147"/>
        <v>0</v>
      </c>
      <c r="V352" s="306">
        <f t="shared" ca="1" si="148"/>
        <v>1.1660892493616639</v>
      </c>
      <c r="W352" s="304">
        <f t="shared" ca="1" si="149"/>
        <v>640.31355144478789</v>
      </c>
      <c r="Y352" s="314" t="str">
        <f t="shared" ca="1" si="167"/>
        <v/>
      </c>
      <c r="Z352" s="315" t="str">
        <f t="shared" ca="1" si="168"/>
        <v/>
      </c>
      <c r="AA352" s="316" t="str">
        <f t="shared" ca="1" si="169"/>
        <v/>
      </c>
      <c r="AC352" s="310" t="e">
        <f t="shared" ca="1" si="170"/>
        <v>#N/A</v>
      </c>
      <c r="AD352" s="323" t="e">
        <f t="shared" ca="1" si="171"/>
        <v>#N/A</v>
      </c>
      <c r="AE352" s="324">
        <f t="shared" ca="1" si="150"/>
        <v>492.75241945956748</v>
      </c>
      <c r="AG352" s="306">
        <f t="shared" ca="1" si="172"/>
        <v>90.730307938619987</v>
      </c>
      <c r="AH352" s="304">
        <f t="shared" ca="1" si="173"/>
        <v>99.969905877755465</v>
      </c>
    </row>
    <row r="353" spans="1:34" x14ac:dyDescent="0.2">
      <c r="A353" s="347">
        <f t="shared" ca="1" si="151"/>
        <v>0.01</v>
      </c>
      <c r="B353" s="304">
        <f t="shared" ca="1" si="152"/>
        <v>3.4899999999999696</v>
      </c>
      <c r="D353" s="306">
        <f t="shared" ca="1" si="153"/>
        <v>33.596466767887279</v>
      </c>
      <c r="E353" s="307">
        <f t="shared" ca="1" si="154"/>
        <v>84.328658088983389</v>
      </c>
      <c r="F353" s="304">
        <f t="shared" ca="1" si="155"/>
        <v>90.774694460374889</v>
      </c>
      <c r="G353" s="306">
        <f t="shared" ca="1" si="156"/>
        <v>105.01515507611035</v>
      </c>
      <c r="H353" s="307">
        <f t="shared" ca="1" si="157"/>
        <v>294.15860997406503</v>
      </c>
      <c r="I353" s="304">
        <f t="shared" ca="1" si="158"/>
        <v>312.34191300165531</v>
      </c>
      <c r="J353" s="306">
        <f t="shared" ca="1" si="159"/>
        <v>167.42650523140244</v>
      </c>
      <c r="K353" s="307">
        <f t="shared" ca="1" si="160"/>
        <v>495.6897891264037</v>
      </c>
      <c r="L353" s="304">
        <f t="shared" ca="1" si="145"/>
        <v>523.20168357735565</v>
      </c>
      <c r="M353" s="306">
        <f t="shared" ca="1" si="161"/>
        <v>1.2278974868981187</v>
      </c>
      <c r="N353" s="304">
        <f t="shared" ca="1" si="162"/>
        <v>70.353343673982508</v>
      </c>
      <c r="P353" s="310">
        <f t="shared" ca="1" si="163"/>
        <v>12</v>
      </c>
      <c r="Q353" s="304">
        <f t="shared" ca="1" si="164"/>
        <v>2223.711903914585</v>
      </c>
      <c r="R353" s="306">
        <f t="shared" ca="1" si="165"/>
        <v>1.337282826581458</v>
      </c>
      <c r="S353" s="307">
        <f t="shared" ca="1" si="166"/>
        <v>15.841264634477694</v>
      </c>
      <c r="T353" s="304">
        <f t="shared" ca="1" si="146"/>
        <v>155.40280606422618</v>
      </c>
      <c r="U353" s="311">
        <f t="shared" ca="1" si="147"/>
        <v>0</v>
      </c>
      <c r="V353" s="306">
        <f t="shared" ca="1" si="148"/>
        <v>1.1657465669194511</v>
      </c>
      <c r="W353" s="304">
        <f t="shared" ca="1" si="149"/>
        <v>643.85993598603704</v>
      </c>
      <c r="Y353" s="314" t="str">
        <f t="shared" ca="1" si="167"/>
        <v/>
      </c>
      <c r="Z353" s="315" t="str">
        <f t="shared" ca="1" si="168"/>
        <v/>
      </c>
      <c r="AA353" s="316" t="str">
        <f t="shared" ca="1" si="169"/>
        <v/>
      </c>
      <c r="AC353" s="310" t="e">
        <f t="shared" ca="1" si="170"/>
        <v>#N/A</v>
      </c>
      <c r="AD353" s="323" t="e">
        <f t="shared" ca="1" si="171"/>
        <v>#N/A</v>
      </c>
      <c r="AE353" s="324">
        <f t="shared" ca="1" si="150"/>
        <v>495.6897891264037</v>
      </c>
      <c r="AG353" s="306">
        <f t="shared" ca="1" si="172"/>
        <v>90.714788079135204</v>
      </c>
      <c r="AH353" s="304">
        <f t="shared" ca="1" si="173"/>
        <v>99.954037067445512</v>
      </c>
    </row>
    <row r="354" spans="1:34" x14ac:dyDescent="0.2">
      <c r="A354" s="347">
        <f t="shared" ca="1" si="151"/>
        <v>0.01</v>
      </c>
      <c r="B354" s="304">
        <f t="shared" ca="1" si="152"/>
        <v>3.4999999999999694</v>
      </c>
      <c r="D354" s="306">
        <f t="shared" ca="1" si="153"/>
        <v>33.600924664980973</v>
      </c>
      <c r="E354" s="307">
        <f t="shared" ca="1" si="154"/>
        <v>84.309760963363729</v>
      </c>
      <c r="F354" s="304">
        <f t="shared" ca="1" si="155"/>
        <v>90.758789833499094</v>
      </c>
      <c r="G354" s="306">
        <f t="shared" ca="1" si="156"/>
        <v>105.35116432276016</v>
      </c>
      <c r="H354" s="307">
        <f t="shared" ca="1" si="157"/>
        <v>295.00170758369865</v>
      </c>
      <c r="I354" s="304">
        <f t="shared" ca="1" si="158"/>
        <v>313.24890311293871</v>
      </c>
      <c r="J354" s="306">
        <f t="shared" ca="1" si="159"/>
        <v>168.47833682839681</v>
      </c>
      <c r="K354" s="307">
        <f t="shared" ca="1" si="160"/>
        <v>498.63559071419252</v>
      </c>
      <c r="L354" s="304">
        <f t="shared" ca="1" si="145"/>
        <v>526.32917675857038</v>
      </c>
      <c r="M354" s="306">
        <f t="shared" ca="1" si="161"/>
        <v>1.2277921934952578</v>
      </c>
      <c r="N354" s="304">
        <f t="shared" ca="1" si="162"/>
        <v>70.347310806387995</v>
      </c>
      <c r="P354" s="310">
        <f t="shared" ca="1" si="163"/>
        <v>12</v>
      </c>
      <c r="Q354" s="304">
        <f t="shared" ca="1" si="164"/>
        <v>2225.6624733096028</v>
      </c>
      <c r="R354" s="306">
        <f t="shared" ca="1" si="165"/>
        <v>1.338455848567544</v>
      </c>
      <c r="S354" s="307">
        <f t="shared" ca="1" si="166"/>
        <v>15.827880075992018</v>
      </c>
      <c r="T354" s="304">
        <f t="shared" ca="1" si="146"/>
        <v>155.27150354548172</v>
      </c>
      <c r="U354" s="311">
        <f t="shared" ca="1" si="147"/>
        <v>0</v>
      </c>
      <c r="V354" s="306">
        <f t="shared" ca="1" si="148"/>
        <v>1.1654029994170358</v>
      </c>
      <c r="W354" s="304">
        <f t="shared" ca="1" si="149"/>
        <v>647.4138329224578</v>
      </c>
      <c r="Y354" s="314" t="str">
        <f t="shared" ca="1" si="167"/>
        <v/>
      </c>
      <c r="Z354" s="315" t="str">
        <f t="shared" ca="1" si="168"/>
        <v/>
      </c>
      <c r="AA354" s="316" t="str">
        <f t="shared" ca="1" si="169"/>
        <v>Satellite</v>
      </c>
      <c r="AC354" s="310" t="e">
        <f t="shared" ca="1" si="170"/>
        <v>#N/A</v>
      </c>
      <c r="AD354" s="323" t="e">
        <f t="shared" ca="1" si="171"/>
        <v>#N/A</v>
      </c>
      <c r="AE354" s="324">
        <f t="shared" ca="1" si="150"/>
        <v>498.63559071419252</v>
      </c>
      <c r="AG354" s="306">
        <f t="shared" ca="1" si="172"/>
        <v>90.698837483499389</v>
      </c>
      <c r="AH354" s="304">
        <f t="shared" ca="1" si="173"/>
        <v>99.937738328133349</v>
      </c>
    </row>
    <row r="355" spans="1:34" x14ac:dyDescent="0.2">
      <c r="A355" s="347">
        <f t="shared" ca="1" si="151"/>
        <v>0.01</v>
      </c>
      <c r="B355" s="304">
        <f t="shared" ca="1" si="152"/>
        <v>3.5099999999999691</v>
      </c>
      <c r="D355" s="306">
        <f t="shared" ca="1" si="153"/>
        <v>33.605208999283803</v>
      </c>
      <c r="E355" s="307">
        <f t="shared" ca="1" si="154"/>
        <v>84.290469626742023</v>
      </c>
      <c r="F355" s="304">
        <f t="shared" ca="1" si="155"/>
        <v>90.742456114997609</v>
      </c>
      <c r="G355" s="306">
        <f t="shared" ca="1" si="156"/>
        <v>105.68721641275299</v>
      </c>
      <c r="H355" s="307">
        <f t="shared" ca="1" si="157"/>
        <v>295.84461227996604</v>
      </c>
      <c r="I355" s="304">
        <f t="shared" ca="1" si="158"/>
        <v>314.15572942118933</v>
      </c>
      <c r="J355" s="306">
        <f t="shared" ca="1" si="159"/>
        <v>169.53352873207436</v>
      </c>
      <c r="K355" s="307">
        <f t="shared" ca="1" si="160"/>
        <v>501.58982231351087</v>
      </c>
      <c r="L355" s="304">
        <f t="shared" ca="1" si="145"/>
        <v>529.46573752495874</v>
      </c>
      <c r="M355" s="306">
        <f t="shared" ca="1" si="161"/>
        <v>1.2276871730622962</v>
      </c>
      <c r="N355" s="304">
        <f t="shared" ca="1" si="162"/>
        <v>70.341293578816661</v>
      </c>
      <c r="P355" s="310">
        <f t="shared" ca="1" si="163"/>
        <v>12</v>
      </c>
      <c r="Q355" s="304">
        <f t="shared" ca="1" si="164"/>
        <v>2227.6130427046205</v>
      </c>
      <c r="R355" s="306">
        <f t="shared" ca="1" si="165"/>
        <v>1.3396288705536297</v>
      </c>
      <c r="S355" s="307">
        <f t="shared" ca="1" si="166"/>
        <v>15.814483787286482</v>
      </c>
      <c r="T355" s="304">
        <f t="shared" ca="1" si="146"/>
        <v>155.14008595328039</v>
      </c>
      <c r="U355" s="311">
        <f t="shared" ca="1" si="147"/>
        <v>0</v>
      </c>
      <c r="V355" s="306">
        <f t="shared" ca="1" si="148"/>
        <v>1.165058547882438</v>
      </c>
      <c r="W355" s="304">
        <f t="shared" ca="1" si="149"/>
        <v>650.97520176116655</v>
      </c>
      <c r="Y355" s="314" t="str">
        <f t="shared" ca="1" si="167"/>
        <v/>
      </c>
      <c r="Z355" s="315" t="str">
        <f t="shared" ca="1" si="168"/>
        <v/>
      </c>
      <c r="AA355" s="316" t="str">
        <f t="shared" ca="1" si="169"/>
        <v/>
      </c>
      <c r="AC355" s="310" t="e">
        <f t="shared" ca="1" si="170"/>
        <v>#N/A</v>
      </c>
      <c r="AD355" s="323" t="e">
        <f t="shared" ca="1" si="171"/>
        <v>#N/A</v>
      </c>
      <c r="AE355" s="324">
        <f t="shared" ca="1" si="150"/>
        <v>501.58982231351087</v>
      </c>
      <c r="AG355" s="306">
        <f t="shared" ca="1" si="172"/>
        <v>90.682457579311858</v>
      </c>
      <c r="AH355" s="304">
        <f t="shared" ca="1" si="173"/>
        <v>99.92101108304972</v>
      </c>
    </row>
    <row r="356" spans="1:34" x14ac:dyDescent="0.2">
      <c r="A356" s="347">
        <f t="shared" ca="1" si="151"/>
        <v>0.01</v>
      </c>
      <c r="B356" s="304">
        <f t="shared" ca="1" si="152"/>
        <v>3.5199999999999689</v>
      </c>
      <c r="D356" s="306">
        <f t="shared" ca="1" si="153"/>
        <v>33.609320288806131</v>
      </c>
      <c r="E356" s="307">
        <f t="shared" ca="1" si="154"/>
        <v>84.270785428229303</v>
      </c>
      <c r="F356" s="304">
        <f t="shared" ca="1" si="155"/>
        <v>90.725694745018174</v>
      </c>
      <c r="G356" s="306">
        <f t="shared" ca="1" si="156"/>
        <v>106.02330961564105</v>
      </c>
      <c r="H356" s="307">
        <f t="shared" ca="1" si="157"/>
        <v>296.68732013424835</v>
      </c>
      <c r="I356" s="304">
        <f t="shared" ca="1" si="158"/>
        <v>315.06238764774201</v>
      </c>
      <c r="J356" s="306">
        <f t="shared" ca="1" si="159"/>
        <v>170.59208136221633</v>
      </c>
      <c r="K356" s="307">
        <f t="shared" ca="1" si="160"/>
        <v>504.55248197558194</v>
      </c>
      <c r="L356" s="304">
        <f t="shared" ca="1" si="145"/>
        <v>532.61136421523429</v>
      </c>
      <c r="M356" s="306">
        <f t="shared" ca="1" si="161"/>
        <v>1.2275824240532056</v>
      </c>
      <c r="N356" s="304">
        <f t="shared" ca="1" si="162"/>
        <v>70.335291902687601</v>
      </c>
      <c r="P356" s="310">
        <f t="shared" ca="1" si="163"/>
        <v>12</v>
      </c>
      <c r="Q356" s="304">
        <f t="shared" ca="1" si="164"/>
        <v>2229.5636120996382</v>
      </c>
      <c r="R356" s="306">
        <f t="shared" ca="1" si="165"/>
        <v>1.3408018925397156</v>
      </c>
      <c r="S356" s="307">
        <f t="shared" ca="1" si="166"/>
        <v>15.801075768361086</v>
      </c>
      <c r="T356" s="304">
        <f t="shared" ca="1" si="146"/>
        <v>155.00855328762225</v>
      </c>
      <c r="U356" s="311">
        <f t="shared" ca="1" si="147"/>
        <v>0</v>
      </c>
      <c r="V356" s="306">
        <f t="shared" ca="1" si="148"/>
        <v>1.1647132133497278</v>
      </c>
      <c r="W356" s="304">
        <f t="shared" ca="1" si="149"/>
        <v>654.54400186287205</v>
      </c>
      <c r="Y356" s="314" t="str">
        <f t="shared" ca="1" si="167"/>
        <v/>
      </c>
      <c r="Z356" s="315" t="str">
        <f t="shared" ca="1" si="168"/>
        <v/>
      </c>
      <c r="AA356" s="316" t="str">
        <f t="shared" ca="1" si="169"/>
        <v/>
      </c>
      <c r="AC356" s="310" t="e">
        <f t="shared" ca="1" si="170"/>
        <v>#N/A</v>
      </c>
      <c r="AD356" s="323" t="e">
        <f t="shared" ca="1" si="171"/>
        <v>#N/A</v>
      </c>
      <c r="AE356" s="324">
        <f t="shared" ca="1" si="150"/>
        <v>504.55248197558194</v>
      </c>
      <c r="AG356" s="306">
        <f t="shared" ca="1" si="172"/>
        <v>90.665649806449622</v>
      </c>
      <c r="AH356" s="304">
        <f t="shared" ca="1" si="173"/>
        <v>99.903856767734837</v>
      </c>
    </row>
    <row r="357" spans="1:34" x14ac:dyDescent="0.2">
      <c r="A357" s="347">
        <f t="shared" ca="1" si="151"/>
        <v>0.01</v>
      </c>
      <c r="B357" s="304">
        <f t="shared" ca="1" si="152"/>
        <v>3.5299999999999687</v>
      </c>
      <c r="D357" s="306">
        <f t="shared" ca="1" si="153"/>
        <v>33.613259055658581</v>
      </c>
      <c r="E357" s="307">
        <f t="shared" ca="1" si="154"/>
        <v>84.250709728404757</v>
      </c>
      <c r="F357" s="304">
        <f t="shared" ca="1" si="155"/>
        <v>90.708507175913383</v>
      </c>
      <c r="G357" s="306">
        <f t="shared" ca="1" si="156"/>
        <v>106.35944220619764</v>
      </c>
      <c r="H357" s="307">
        <f t="shared" ca="1" si="157"/>
        <v>297.52982723153241</v>
      </c>
      <c r="I357" s="304">
        <f t="shared" ca="1" si="158"/>
        <v>315.96887352845221</v>
      </c>
      <c r="J357" s="306">
        <f t="shared" ca="1" si="159"/>
        <v>171.65399512132552</v>
      </c>
      <c r="K357" s="307">
        <f t="shared" ca="1" si="160"/>
        <v>507.52356771241085</v>
      </c>
      <c r="L357" s="304">
        <f t="shared" ca="1" si="145"/>
        <v>535.76605512541209</v>
      </c>
      <c r="M357" s="306">
        <f t="shared" ca="1" si="161"/>
        <v>1.2274779449338291</v>
      </c>
      <c r="N357" s="304">
        <f t="shared" ca="1" si="162"/>
        <v>70.329305690100071</v>
      </c>
      <c r="P357" s="310">
        <f t="shared" ca="1" si="163"/>
        <v>12</v>
      </c>
      <c r="Q357" s="304">
        <f t="shared" ca="1" si="164"/>
        <v>2231.514181494656</v>
      </c>
      <c r="R357" s="306">
        <f t="shared" ca="1" si="165"/>
        <v>1.3419749145258015</v>
      </c>
      <c r="S357" s="307">
        <f t="shared" ca="1" si="166"/>
        <v>15.787656019215827</v>
      </c>
      <c r="T357" s="304">
        <f t="shared" ca="1" si="146"/>
        <v>154.87690554850727</v>
      </c>
      <c r="U357" s="311">
        <f t="shared" ca="1" si="147"/>
        <v>0</v>
      </c>
      <c r="V357" s="306">
        <f t="shared" ca="1" si="148"/>
        <v>1.1643669968589918</v>
      </c>
      <c r="W357" s="304">
        <f t="shared" ca="1" si="149"/>
        <v>658.12019244389933</v>
      </c>
      <c r="Y357" s="314" t="str">
        <f t="shared" ca="1" si="167"/>
        <v/>
      </c>
      <c r="Z357" s="315" t="str">
        <f t="shared" ca="1" si="168"/>
        <v/>
      </c>
      <c r="AA357" s="316" t="str">
        <f t="shared" ca="1" si="169"/>
        <v/>
      </c>
      <c r="AC357" s="310" t="e">
        <f t="shared" ca="1" si="170"/>
        <v>#N/A</v>
      </c>
      <c r="AD357" s="323" t="e">
        <f t="shared" ca="1" si="171"/>
        <v>#N/A</v>
      </c>
      <c r="AE357" s="324">
        <f t="shared" ca="1" si="150"/>
        <v>507.52356771241085</v>
      </c>
      <c r="AG357" s="306">
        <f t="shared" ca="1" si="172"/>
        <v>90.64841561700257</v>
      </c>
      <c r="AH357" s="304">
        <f t="shared" ca="1" si="173"/>
        <v>99.886276829973156</v>
      </c>
    </row>
    <row r="358" spans="1:34" x14ac:dyDescent="0.2">
      <c r="A358" s="347">
        <f t="shared" ca="1" si="151"/>
        <v>0.01</v>
      </c>
      <c r="B358" s="304">
        <f t="shared" ca="1" si="152"/>
        <v>3.5399999999999685</v>
      </c>
      <c r="D358" s="306">
        <f t="shared" ca="1" si="153"/>
        <v>33.617025826038464</v>
      </c>
      <c r="E358" s="307">
        <f t="shared" ca="1" si="154"/>
        <v>84.23024389925169</v>
      </c>
      <c r="F358" s="304">
        <f t="shared" ca="1" si="155"/>
        <v>90.690894872175363</v>
      </c>
      <c r="G358" s="306">
        <f t="shared" ca="1" si="156"/>
        <v>106.69561246445802</v>
      </c>
      <c r="H358" s="307">
        <f t="shared" ca="1" si="157"/>
        <v>298.37212967052494</v>
      </c>
      <c r="I358" s="304">
        <f t="shared" ca="1" si="158"/>
        <v>316.87518281381767</v>
      </c>
      <c r="J358" s="306">
        <f t="shared" ca="1" si="159"/>
        <v>172.7192703946788</v>
      </c>
      <c r="K358" s="307">
        <f t="shared" ca="1" si="160"/>
        <v>510.50307749692115</v>
      </c>
      <c r="L358" s="304">
        <f t="shared" ca="1" si="145"/>
        <v>538.9298085089539</v>
      </c>
      <c r="M358" s="306">
        <f t="shared" ca="1" si="161"/>
        <v>1.2273737341817625</v>
      </c>
      <c r="N358" s="304">
        <f t="shared" ca="1" si="162"/>
        <v>70.323334853826779</v>
      </c>
      <c r="P358" s="310">
        <f t="shared" ca="1" si="163"/>
        <v>12</v>
      </c>
      <c r="Q358" s="304">
        <f t="shared" ca="1" si="164"/>
        <v>2233.4647508896737</v>
      </c>
      <c r="R358" s="306">
        <f t="shared" ca="1" si="165"/>
        <v>1.3431479365118872</v>
      </c>
      <c r="S358" s="307">
        <f t="shared" ca="1" si="166"/>
        <v>15.774224539850708</v>
      </c>
      <c r="T358" s="304">
        <f t="shared" ca="1" si="146"/>
        <v>154.74514273593545</v>
      </c>
      <c r="U358" s="311">
        <f t="shared" ca="1" si="147"/>
        <v>0</v>
      </c>
      <c r="V358" s="306">
        <f t="shared" ca="1" si="148"/>
        <v>1.1640198994563087</v>
      </c>
      <c r="W358" s="304">
        <f t="shared" ca="1" si="149"/>
        <v>661.70373257822712</v>
      </c>
      <c r="Y358" s="314" t="str">
        <f t="shared" ca="1" si="167"/>
        <v/>
      </c>
      <c r="Z358" s="315" t="str">
        <f t="shared" ca="1" si="168"/>
        <v/>
      </c>
      <c r="AA358" s="316" t="str">
        <f t="shared" ca="1" si="169"/>
        <v/>
      </c>
      <c r="AC358" s="310" t="e">
        <f t="shared" ca="1" si="170"/>
        <v>#N/A</v>
      </c>
      <c r="AD358" s="323" t="e">
        <f t="shared" ca="1" si="171"/>
        <v>#N/A</v>
      </c>
      <c r="AE358" s="324">
        <f t="shared" ca="1" si="150"/>
        <v>510.50307749692115</v>
      </c>
      <c r="AG358" s="306">
        <f t="shared" ca="1" si="172"/>
        <v>90.630756475208102</v>
      </c>
      <c r="AH358" s="304">
        <f t="shared" ca="1" si="173"/>
        <v>99.868272729727735</v>
      </c>
    </row>
    <row r="359" spans="1:34" x14ac:dyDescent="0.2">
      <c r="A359" s="347">
        <f t="shared" ca="1" si="151"/>
        <v>0.01</v>
      </c>
      <c r="B359" s="304">
        <f t="shared" ca="1" si="152"/>
        <v>3.5499999999999683</v>
      </c>
      <c r="D359" s="306">
        <f t="shared" ca="1" si="153"/>
        <v>33.620621130215895</v>
      </c>
      <c r="E359" s="307">
        <f t="shared" ca="1" si="154"/>
        <v>84.209389324092413</v>
      </c>
      <c r="F359" s="304">
        <f t="shared" ca="1" si="155"/>
        <v>90.67285931036966</v>
      </c>
      <c r="G359" s="306">
        <f t="shared" ca="1" si="156"/>
        <v>107.03181867576018</v>
      </c>
      <c r="H359" s="307">
        <f t="shared" ca="1" si="157"/>
        <v>299.21422356376587</v>
      </c>
      <c r="I359" s="304">
        <f t="shared" ca="1" si="158"/>
        <v>317.78131126909909</v>
      </c>
      <c r="J359" s="306">
        <f t="shared" ca="1" si="159"/>
        <v>173.78790755037988</v>
      </c>
      <c r="K359" s="307">
        <f t="shared" ca="1" si="160"/>
        <v>513.49100926309256</v>
      </c>
      <c r="L359" s="304">
        <f t="shared" ca="1" si="145"/>
        <v>542.10262257691465</v>
      </c>
      <c r="M359" s="306">
        <f t="shared" ca="1" si="161"/>
        <v>1.2272697902862393</v>
      </c>
      <c r="N359" s="304">
        <f t="shared" ca="1" si="162"/>
        <v>70.317379307307149</v>
      </c>
      <c r="P359" s="310">
        <f t="shared" ca="1" si="163"/>
        <v>12</v>
      </c>
      <c r="Q359" s="304">
        <f t="shared" ca="1" si="164"/>
        <v>2235.4153202846915</v>
      </c>
      <c r="R359" s="306">
        <f t="shared" ca="1" si="165"/>
        <v>1.3443209584979732</v>
      </c>
      <c r="S359" s="307">
        <f t="shared" ca="1" si="166"/>
        <v>15.760781330265729</v>
      </c>
      <c r="T359" s="304">
        <f t="shared" ca="1" si="146"/>
        <v>154.61326484990681</v>
      </c>
      <c r="U359" s="311">
        <f t="shared" ca="1" si="147"/>
        <v>0</v>
      </c>
      <c r="V359" s="306">
        <f t="shared" ca="1" si="148"/>
        <v>1.1636719221937168</v>
      </c>
      <c r="W359" s="304">
        <f t="shared" ca="1" si="149"/>
        <v>665.29458119952642</v>
      </c>
      <c r="Y359" s="314" t="str">
        <f t="shared" ca="1" si="167"/>
        <v/>
      </c>
      <c r="Z359" s="315" t="str">
        <f t="shared" ca="1" si="168"/>
        <v/>
      </c>
      <c r="AA359" s="316" t="str">
        <f t="shared" ca="1" si="169"/>
        <v/>
      </c>
      <c r="AC359" s="310" t="e">
        <f t="shared" ca="1" si="170"/>
        <v>#N/A</v>
      </c>
      <c r="AD359" s="323" t="e">
        <f t="shared" ca="1" si="171"/>
        <v>#N/A</v>
      </c>
      <c r="AE359" s="324">
        <f t="shared" ca="1" si="150"/>
        <v>513.49100926309256</v>
      </c>
      <c r="AG359" s="306">
        <f t="shared" ca="1" si="172"/>
        <v>90.612673857384991</v>
      </c>
      <c r="AH359" s="304">
        <f t="shared" ca="1" si="173"/>
        <v>99.849845939073845</v>
      </c>
    </row>
    <row r="360" spans="1:34" x14ac:dyDescent="0.2">
      <c r="A360" s="347">
        <f t="shared" ca="1" si="151"/>
        <v>0.01</v>
      </c>
      <c r="B360" s="304">
        <f t="shared" ca="1" si="152"/>
        <v>3.5599999999999681</v>
      </c>
      <c r="D360" s="306">
        <f t="shared" ca="1" si="153"/>
        <v>33.624045502519401</v>
      </c>
      <c r="E360" s="307">
        <f t="shared" ca="1" si="154"/>
        <v>84.188147397523096</v>
      </c>
      <c r="F360" s="304">
        <f t="shared" ca="1" si="155"/>
        <v>90.654401979068666</v>
      </c>
      <c r="G360" s="306">
        <f t="shared" ca="1" si="156"/>
        <v>107.36805913078537</v>
      </c>
      <c r="H360" s="307">
        <f t="shared" ca="1" si="157"/>
        <v>300.05610503774108</v>
      </c>
      <c r="I360" s="304">
        <f t="shared" ca="1" si="158"/>
        <v>318.68725467444057</v>
      </c>
      <c r="J360" s="306">
        <f t="shared" ca="1" si="159"/>
        <v>174.85990693941261</v>
      </c>
      <c r="K360" s="307">
        <f t="shared" ca="1" si="160"/>
        <v>516.48736090610009</v>
      </c>
      <c r="L360" s="304">
        <f t="shared" ca="1" si="145"/>
        <v>545.28449549809147</v>
      </c>
      <c r="M360" s="306">
        <f t="shared" ca="1" si="161"/>
        <v>1.2271661117480146</v>
      </c>
      <c r="N360" s="304">
        <f t="shared" ca="1" si="162"/>
        <v>70.311438964640786</v>
      </c>
      <c r="P360" s="310">
        <f t="shared" ca="1" si="163"/>
        <v>12</v>
      </c>
      <c r="Q360" s="304">
        <f t="shared" ca="1" si="164"/>
        <v>2237.3658896797092</v>
      </c>
      <c r="R360" s="306">
        <f t="shared" ca="1" si="165"/>
        <v>1.3454939804840589</v>
      </c>
      <c r="S360" s="307">
        <f t="shared" ca="1" si="166"/>
        <v>15.747326390460888</v>
      </c>
      <c r="T360" s="304">
        <f t="shared" ca="1" si="146"/>
        <v>154.48127189042131</v>
      </c>
      <c r="U360" s="311">
        <f t="shared" ca="1" si="147"/>
        <v>0</v>
      </c>
      <c r="V360" s="306">
        <f t="shared" ca="1" si="148"/>
        <v>1.1633230661291887</v>
      </c>
      <c r="W360" s="304">
        <f t="shared" ca="1" si="149"/>
        <v>668.89269710321025</v>
      </c>
      <c r="Y360" s="314" t="str">
        <f t="shared" ca="1" si="167"/>
        <v/>
      </c>
      <c r="Z360" s="315" t="str">
        <f t="shared" ca="1" si="168"/>
        <v/>
      </c>
      <c r="AA360" s="316" t="str">
        <f t="shared" ca="1" si="169"/>
        <v/>
      </c>
      <c r="AC360" s="310" t="e">
        <f t="shared" ca="1" si="170"/>
        <v>#N/A</v>
      </c>
      <c r="AD360" s="323" t="e">
        <f t="shared" ca="1" si="171"/>
        <v>#N/A</v>
      </c>
      <c r="AE360" s="324">
        <f t="shared" ca="1" si="150"/>
        <v>516.48736090610009</v>
      </c>
      <c r="AG360" s="306">
        <f t="shared" ca="1" si="172"/>
        <v>90.594169251866759</v>
      </c>
      <c r="AH360" s="304">
        <f t="shared" ca="1" si="173"/>
        <v>99.830997942132058</v>
      </c>
    </row>
    <row r="361" spans="1:34" x14ac:dyDescent="0.2">
      <c r="A361" s="347">
        <f t="shared" ca="1" si="151"/>
        <v>0.01</v>
      </c>
      <c r="B361" s="304">
        <f t="shared" ca="1" si="152"/>
        <v>3.5699999999999679</v>
      </c>
      <c r="D361" s="306">
        <f t="shared" ca="1" si="153"/>
        <v>33.627299481321316</v>
      </c>
      <c r="E361" s="307">
        <f t="shared" ca="1" si="154"/>
        <v>84.166519525347582</v>
      </c>
      <c r="F361" s="304">
        <f t="shared" ca="1" si="155"/>
        <v>90.635524378784211</v>
      </c>
      <c r="G361" s="306">
        <f t="shared" ca="1" si="156"/>
        <v>107.70433212559858</v>
      </c>
      <c r="H361" s="307">
        <f t="shared" ca="1" si="157"/>
        <v>300.89777023299456</v>
      </c>
      <c r="I361" s="304">
        <f t="shared" ca="1" si="158"/>
        <v>319.5930088249886</v>
      </c>
      <c r="J361" s="306">
        <f t="shared" ca="1" si="159"/>
        <v>175.93526889569452</v>
      </c>
      <c r="K361" s="307">
        <f t="shared" ca="1" si="160"/>
        <v>519.49213028245379</v>
      </c>
      <c r="L361" s="304">
        <f t="shared" ca="1" si="145"/>
        <v>548.47542539917163</v>
      </c>
      <c r="M361" s="306">
        <f t="shared" ca="1" si="161"/>
        <v>1.2270626970792515</v>
      </c>
      <c r="N361" s="304">
        <f t="shared" ca="1" si="162"/>
        <v>70.305513740580921</v>
      </c>
      <c r="P361" s="310">
        <f t="shared" ca="1" si="163"/>
        <v>12</v>
      </c>
      <c r="Q361" s="304">
        <f t="shared" ca="1" si="164"/>
        <v>2239.3164590747269</v>
      </c>
      <c r="R361" s="306">
        <f t="shared" ca="1" si="165"/>
        <v>1.3466670024701448</v>
      </c>
      <c r="S361" s="307">
        <f t="shared" ca="1" si="166"/>
        <v>15.733859720436186</v>
      </c>
      <c r="T361" s="304">
        <f t="shared" ca="1" si="146"/>
        <v>154.349163857479</v>
      </c>
      <c r="U361" s="311">
        <f t="shared" ca="1" si="147"/>
        <v>0</v>
      </c>
      <c r="V361" s="306">
        <f t="shared" ca="1" si="148"/>
        <v>1.1629733323265983</v>
      </c>
      <c r="W361" s="304">
        <f t="shared" ca="1" si="149"/>
        <v>672.49803894848367</v>
      </c>
      <c r="Y361" s="314" t="str">
        <f t="shared" ca="1" si="167"/>
        <v/>
      </c>
      <c r="Z361" s="315" t="str">
        <f t="shared" ca="1" si="168"/>
        <v/>
      </c>
      <c r="AA361" s="316" t="str">
        <f t="shared" ca="1" si="169"/>
        <v/>
      </c>
      <c r="AC361" s="310" t="e">
        <f t="shared" ca="1" si="170"/>
        <v>#N/A</v>
      </c>
      <c r="AD361" s="323" t="e">
        <f t="shared" ca="1" si="171"/>
        <v>#N/A</v>
      </c>
      <c r="AE361" s="324">
        <f t="shared" ca="1" si="150"/>
        <v>519.49213028245379</v>
      </c>
      <c r="AG361" s="306">
        <f t="shared" ca="1" si="172"/>
        <v>90.575244158934254</v>
      </c>
      <c r="AH361" s="304">
        <f t="shared" ca="1" si="173"/>
        <v>99.811730235000482</v>
      </c>
    </row>
    <row r="362" spans="1:34" x14ac:dyDescent="0.2">
      <c r="A362" s="347">
        <f t="shared" ca="1" si="151"/>
        <v>0.01</v>
      </c>
      <c r="B362" s="304">
        <f t="shared" ca="1" si="152"/>
        <v>3.5799999999999677</v>
      </c>
      <c r="D362" s="306">
        <f t="shared" ca="1" si="153"/>
        <v>33.63038360902295</v>
      </c>
      <c r="E362" s="307">
        <f t="shared" ca="1" si="154"/>
        <v>84.144507124511051</v>
      </c>
      <c r="F362" s="304">
        <f t="shared" ca="1" si="155"/>
        <v>90.616228021899758</v>
      </c>
      <c r="G362" s="306">
        <f t="shared" ca="1" si="156"/>
        <v>108.04063596168881</v>
      </c>
      <c r="H362" s="307">
        <f t="shared" ca="1" si="157"/>
        <v>301.73921530423968</v>
      </c>
      <c r="I362" s="304">
        <f t="shared" ca="1" si="158"/>
        <v>320.49856953101124</v>
      </c>
      <c r="J362" s="306">
        <f t="shared" ca="1" si="159"/>
        <v>177.01399373613097</v>
      </c>
      <c r="K362" s="307">
        <f t="shared" ca="1" si="160"/>
        <v>522.50531521014</v>
      </c>
      <c r="L362" s="304">
        <f t="shared" ca="1" si="145"/>
        <v>551.67541036488365</v>
      </c>
      <c r="M362" s="306">
        <f t="shared" ca="1" si="161"/>
        <v>1.2269595448034101</v>
      </c>
      <c r="N362" s="304">
        <f t="shared" ca="1" si="162"/>
        <v>70.299603550528033</v>
      </c>
      <c r="P362" s="310">
        <f t="shared" ca="1" si="163"/>
        <v>12</v>
      </c>
      <c r="Q362" s="304">
        <f t="shared" ca="1" si="164"/>
        <v>2241.2670284697447</v>
      </c>
      <c r="R362" s="306">
        <f t="shared" ca="1" si="165"/>
        <v>1.3478400244562305</v>
      </c>
      <c r="S362" s="307">
        <f t="shared" ca="1" si="166"/>
        <v>15.720381320191624</v>
      </c>
      <c r="T362" s="304">
        <f t="shared" ca="1" si="146"/>
        <v>154.21694075107985</v>
      </c>
      <c r="U362" s="311">
        <f t="shared" ca="1" si="147"/>
        <v>0</v>
      </c>
      <c r="V362" s="306">
        <f t="shared" ca="1" si="148"/>
        <v>1.162622721855695</v>
      </c>
      <c r="W362" s="304">
        <f t="shared" ca="1" si="149"/>
        <v>676.11056526040659</v>
      </c>
      <c r="Y362" s="314" t="str">
        <f t="shared" ca="1" si="167"/>
        <v/>
      </c>
      <c r="Z362" s="315" t="str">
        <f t="shared" ca="1" si="168"/>
        <v/>
      </c>
      <c r="AA362" s="316" t="str">
        <f t="shared" ca="1" si="169"/>
        <v/>
      </c>
      <c r="AC362" s="310" t="e">
        <f t="shared" ca="1" si="170"/>
        <v>#N/A</v>
      </c>
      <c r="AD362" s="323" t="e">
        <f t="shared" ca="1" si="171"/>
        <v>#N/A</v>
      </c>
      <c r="AE362" s="324">
        <f t="shared" ca="1" si="150"/>
        <v>522.50531521014</v>
      </c>
      <c r="AG362" s="306">
        <f t="shared" ca="1" si="172"/>
        <v>90.55590009074794</v>
      </c>
      <c r="AH362" s="304">
        <f t="shared" ca="1" si="173"/>
        <v>99.792044325686788</v>
      </c>
    </row>
    <row r="363" spans="1:34" x14ac:dyDescent="0.2">
      <c r="A363" s="347">
        <f t="shared" ca="1" si="151"/>
        <v>0.01</v>
      </c>
      <c r="B363" s="304">
        <f t="shared" ca="1" si="152"/>
        <v>3.5899999999999674</v>
      </c>
      <c r="D363" s="306">
        <f t="shared" ca="1" si="153"/>
        <v>33.633298432039155</v>
      </c>
      <c r="E363" s="307">
        <f t="shared" ca="1" si="154"/>
        <v>84.122111623032851</v>
      </c>
      <c r="F363" s="304">
        <f t="shared" ca="1" si="155"/>
        <v>90.596514432601694</v>
      </c>
      <c r="G363" s="306">
        <f t="shared" ca="1" si="156"/>
        <v>108.3769689460092</v>
      </c>
      <c r="H363" s="307">
        <f t="shared" ca="1" si="157"/>
        <v>302.58043642046999</v>
      </c>
      <c r="I363" s="304">
        <f t="shared" ca="1" si="158"/>
        <v>321.40393261801626</v>
      </c>
      <c r="J363" s="306">
        <f t="shared" ca="1" si="159"/>
        <v>178.09608176066945</v>
      </c>
      <c r="K363" s="307">
        <f t="shared" ca="1" si="160"/>
        <v>525.5269134687635</v>
      </c>
      <c r="L363" s="304">
        <f t="shared" ca="1" si="145"/>
        <v>554.88444843814852</v>
      </c>
      <c r="M363" s="306">
        <f t="shared" ca="1" si="161"/>
        <v>1.2268566534551353</v>
      </c>
      <c r="N363" s="304">
        <f t="shared" ca="1" si="162"/>
        <v>70.293708310523485</v>
      </c>
      <c r="P363" s="310">
        <f t="shared" ca="1" si="163"/>
        <v>12</v>
      </c>
      <c r="Q363" s="304">
        <f t="shared" ca="1" si="164"/>
        <v>2243.2175978647624</v>
      </c>
      <c r="R363" s="306">
        <f t="shared" ca="1" si="165"/>
        <v>1.3490130464423165</v>
      </c>
      <c r="S363" s="307">
        <f t="shared" ca="1" si="166"/>
        <v>15.706891189727202</v>
      </c>
      <c r="T363" s="304">
        <f t="shared" ca="1" si="146"/>
        <v>154.08460257122385</v>
      </c>
      <c r="U363" s="311">
        <f t="shared" ca="1" si="147"/>
        <v>0</v>
      </c>
      <c r="V363" s="306">
        <f t="shared" ca="1" si="148"/>
        <v>1.1622712357920719</v>
      </c>
      <c r="W363" s="304">
        <f t="shared" ca="1" si="149"/>
        <v>679.73023443195723</v>
      </c>
      <c r="Y363" s="314" t="str">
        <f t="shared" ca="1" si="167"/>
        <v/>
      </c>
      <c r="Z363" s="315" t="str">
        <f t="shared" ca="1" si="168"/>
        <v/>
      </c>
      <c r="AA363" s="316" t="str">
        <f t="shared" ca="1" si="169"/>
        <v/>
      </c>
      <c r="AC363" s="310" t="e">
        <f t="shared" ca="1" si="170"/>
        <v>#N/A</v>
      </c>
      <c r="AD363" s="323" t="e">
        <f t="shared" ca="1" si="171"/>
        <v>#N/A</v>
      </c>
      <c r="AE363" s="324">
        <f t="shared" ca="1" si="150"/>
        <v>525.5269134687635</v>
      </c>
      <c r="AG363" s="306">
        <f t="shared" ca="1" si="172"/>
        <v>90.536138571279125</v>
      </c>
      <c r="AH363" s="304">
        <f t="shared" ca="1" si="173"/>
        <v>99.771941734039189</v>
      </c>
    </row>
    <row r="364" spans="1:34" x14ac:dyDescent="0.2">
      <c r="A364" s="347">
        <f t="shared" ca="1" si="151"/>
        <v>0.01</v>
      </c>
      <c r="B364" s="304">
        <f t="shared" ca="1" si="152"/>
        <v>3.5999999999999672</v>
      </c>
      <c r="D364" s="306">
        <f t="shared" ca="1" si="153"/>
        <v>33.636044500782823</v>
      </c>
      <c r="E364" s="307">
        <f t="shared" ca="1" si="154"/>
        <v>84.099334459939143</v>
      </c>
      <c r="F364" s="304">
        <f t="shared" ca="1" si="155"/>
        <v>90.57638514681048</v>
      </c>
      <c r="G364" s="306">
        <f t="shared" ca="1" si="156"/>
        <v>108.71332939101703</v>
      </c>
      <c r="H364" s="307">
        <f t="shared" ca="1" si="157"/>
        <v>303.42142976506938</v>
      </c>
      <c r="I364" s="304">
        <f t="shared" ca="1" si="158"/>
        <v>322.30909392686812</v>
      </c>
      <c r="J364" s="306">
        <f t="shared" ca="1" si="159"/>
        <v>179.18153325235457</v>
      </c>
      <c r="K364" s="307">
        <f t="shared" ca="1" si="160"/>
        <v>528.55692279969116</v>
      </c>
      <c r="L364" s="304">
        <f t="shared" ca="1" si="145"/>
        <v>558.10253762023274</v>
      </c>
      <c r="M364" s="306">
        <f t="shared" ca="1" si="161"/>
        <v>1.2267540215801489</v>
      </c>
      <c r="N364" s="304">
        <f t="shared" ca="1" si="162"/>
        <v>70.28782793724325</v>
      </c>
      <c r="P364" s="310">
        <f t="shared" ca="1" si="163"/>
        <v>12</v>
      </c>
      <c r="Q364" s="304">
        <f t="shared" ca="1" si="164"/>
        <v>2245.1681672597801</v>
      </c>
      <c r="R364" s="306">
        <f t="shared" ca="1" si="165"/>
        <v>1.3501860684284024</v>
      </c>
      <c r="S364" s="307">
        <f t="shared" ca="1" si="166"/>
        <v>15.693389329042917</v>
      </c>
      <c r="T364" s="304">
        <f t="shared" ca="1" si="146"/>
        <v>153.95214931791102</v>
      </c>
      <c r="U364" s="311">
        <f t="shared" ca="1" si="147"/>
        <v>0</v>
      </c>
      <c r="V364" s="306">
        <f t="shared" ca="1" si="148"/>
        <v>1.1619188752171368</v>
      </c>
      <c r="W364" s="304">
        <f t="shared" ca="1" si="149"/>
        <v>683.35700472610199</v>
      </c>
      <c r="Y364" s="314" t="str">
        <f t="shared" ca="1" si="167"/>
        <v/>
      </c>
      <c r="Z364" s="315" t="str">
        <f t="shared" ca="1" si="168"/>
        <v/>
      </c>
      <c r="AA364" s="316" t="str">
        <f t="shared" ca="1" si="169"/>
        <v/>
      </c>
      <c r="AC364" s="310" t="e">
        <f t="shared" ca="1" si="170"/>
        <v>#N/A</v>
      </c>
      <c r="AD364" s="323" t="e">
        <f t="shared" ca="1" si="171"/>
        <v>#N/A</v>
      </c>
      <c r="AE364" s="324">
        <f t="shared" ca="1" si="150"/>
        <v>528.55692279969116</v>
      </c>
      <c r="AG364" s="306">
        <f t="shared" ca="1" si="172"/>
        <v>90.515961136241003</v>
      </c>
      <c r="AH364" s="304">
        <f t="shared" ca="1" si="173"/>
        <v>99.751423991677214</v>
      </c>
    </row>
    <row r="365" spans="1:34" x14ac:dyDescent="0.2">
      <c r="A365" s="347">
        <f t="shared" ca="1" si="151"/>
        <v>0.01</v>
      </c>
      <c r="B365" s="304">
        <f t="shared" ca="1" si="152"/>
        <v>3.609999999999967</v>
      </c>
      <c r="D365" s="306">
        <f t="shared" ca="1" si="153"/>
        <v>33.638622369648964</v>
      </c>
      <c r="E365" s="307">
        <f t="shared" ca="1" si="154"/>
        <v>84.076177085194814</v>
      </c>
      <c r="F365" s="304">
        <f t="shared" ca="1" si="155"/>
        <v>90.555841712110904</v>
      </c>
      <c r="G365" s="306">
        <f t="shared" ca="1" si="156"/>
        <v>109.04971561471352</v>
      </c>
      <c r="H365" s="307">
        <f t="shared" ca="1" si="157"/>
        <v>304.26219153592132</v>
      </c>
      <c r="I365" s="304">
        <f t="shared" ca="1" si="158"/>
        <v>323.21404931390521</v>
      </c>
      <c r="J365" s="306">
        <f t="shared" ca="1" si="159"/>
        <v>180.27034847738321</v>
      </c>
      <c r="K365" s="307">
        <f t="shared" ca="1" si="160"/>
        <v>531.59534090619616</v>
      </c>
      <c r="L365" s="304">
        <f t="shared" ca="1" si="145"/>
        <v>561.32967587090218</v>
      </c>
      <c r="M365" s="306">
        <f t="shared" ca="1" si="161"/>
        <v>1.2266516477351401</v>
      </c>
      <c r="N365" s="304">
        <f t="shared" ca="1" si="162"/>
        <v>70.281962347991723</v>
      </c>
      <c r="P365" s="310">
        <f t="shared" ca="1" si="163"/>
        <v>12</v>
      </c>
      <c r="Q365" s="304">
        <f t="shared" ca="1" si="164"/>
        <v>2247.1187366547979</v>
      </c>
      <c r="R365" s="306">
        <f t="shared" ca="1" si="165"/>
        <v>1.3513590904144881</v>
      </c>
      <c r="S365" s="307">
        <f t="shared" ca="1" si="166"/>
        <v>15.679875738138772</v>
      </c>
      <c r="T365" s="304">
        <f t="shared" ca="1" si="146"/>
        <v>153.81958099114135</v>
      </c>
      <c r="U365" s="311">
        <f t="shared" ca="1" si="147"/>
        <v>0</v>
      </c>
      <c r="V365" s="306">
        <f t="shared" ca="1" si="148"/>
        <v>1.161565641218083</v>
      </c>
      <c r="W365" s="304">
        <f t="shared" ca="1" si="149"/>
        <v>686.99083427787434</v>
      </c>
      <c r="Y365" s="314" t="str">
        <f t="shared" ca="1" si="167"/>
        <v/>
      </c>
      <c r="Z365" s="315" t="str">
        <f t="shared" ca="1" si="168"/>
        <v/>
      </c>
      <c r="AA365" s="316" t="str">
        <f t="shared" ca="1" si="169"/>
        <v/>
      </c>
      <c r="AC365" s="310" t="e">
        <f t="shared" ca="1" si="170"/>
        <v>#N/A</v>
      </c>
      <c r="AD365" s="323" t="e">
        <f t="shared" ca="1" si="171"/>
        <v>#N/A</v>
      </c>
      <c r="AE365" s="324">
        <f t="shared" ca="1" si="150"/>
        <v>531.59534090619616</v>
      </c>
      <c r="AG365" s="306">
        <f t="shared" ca="1" si="172"/>
        <v>90.495369333019042</v>
      </c>
      <c r="AH365" s="304">
        <f t="shared" ca="1" si="173"/>
        <v>99.730492641921742</v>
      </c>
    </row>
    <row r="366" spans="1:34" x14ac:dyDescent="0.2">
      <c r="A366" s="347">
        <f t="shared" ca="1" si="151"/>
        <v>0.01</v>
      </c>
      <c r="B366" s="304">
        <f t="shared" ca="1" si="152"/>
        <v>3.6199999999999668</v>
      </c>
      <c r="D366" s="306">
        <f t="shared" ca="1" si="153"/>
        <v>33.641032596998457</v>
      </c>
      <c r="E366" s="307">
        <f t="shared" ca="1" si="154"/>
        <v>84.052640959634644</v>
      </c>
      <c r="F366" s="304">
        <f t="shared" ca="1" si="155"/>
        <v>90.534885687681552</v>
      </c>
      <c r="G366" s="306">
        <f t="shared" ca="1" si="156"/>
        <v>109.3861259406835</v>
      </c>
      <c r="H366" s="307">
        <f t="shared" ca="1" si="157"/>
        <v>305.10271794551767</v>
      </c>
      <c r="I366" s="304">
        <f t="shared" ca="1" si="158"/>
        <v>324.11879465105562</v>
      </c>
      <c r="J366" s="306">
        <f t="shared" ca="1" si="159"/>
        <v>181.36252768516019</v>
      </c>
      <c r="K366" s="307">
        <f t="shared" ca="1" si="160"/>
        <v>534.6421654536033</v>
      </c>
      <c r="L366" s="304">
        <f t="shared" ca="1" si="145"/>
        <v>564.56586110857666</v>
      </c>
      <c r="M366" s="306">
        <f t="shared" ca="1" si="161"/>
        <v>1.2265495304876604</v>
      </c>
      <c r="N366" s="304">
        <f t="shared" ca="1" si="162"/>
        <v>70.276111460695631</v>
      </c>
      <c r="P366" s="310">
        <f t="shared" ca="1" si="163"/>
        <v>12</v>
      </c>
      <c r="Q366" s="304">
        <f t="shared" ca="1" si="164"/>
        <v>2249.0693060498156</v>
      </c>
      <c r="R366" s="306">
        <f t="shared" ca="1" si="165"/>
        <v>1.352532112400574</v>
      </c>
      <c r="S366" s="307">
        <f t="shared" ca="1" si="166"/>
        <v>15.666350417014767</v>
      </c>
      <c r="T366" s="304">
        <f t="shared" ca="1" si="146"/>
        <v>153.68689759091487</v>
      </c>
      <c r="U366" s="311">
        <f t="shared" ca="1" si="147"/>
        <v>0</v>
      </c>
      <c r="V366" s="306">
        <f t="shared" ca="1" si="148"/>
        <v>1.1612115348878596</v>
      </c>
      <c r="W366" s="304">
        <f t="shared" ca="1" si="149"/>
        <v>690.63168109645551</v>
      </c>
      <c r="Y366" s="314" t="str">
        <f t="shared" ca="1" si="167"/>
        <v/>
      </c>
      <c r="Z366" s="315" t="str">
        <f t="shared" ca="1" si="168"/>
        <v/>
      </c>
      <c r="AA366" s="316" t="str">
        <f t="shared" ca="1" si="169"/>
        <v/>
      </c>
      <c r="AC366" s="310" t="e">
        <f t="shared" ca="1" si="170"/>
        <v>#N/A</v>
      </c>
      <c r="AD366" s="323" t="e">
        <f t="shared" ca="1" si="171"/>
        <v>#N/A</v>
      </c>
      <c r="AE366" s="324">
        <f t="shared" ca="1" si="150"/>
        <v>534.6421654536033</v>
      </c>
      <c r="AG366" s="306">
        <f t="shared" ca="1" si="172"/>
        <v>90.474364720600349</v>
      </c>
      <c r="AH366" s="304">
        <f t="shared" ca="1" si="173"/>
        <v>99.709149239724212</v>
      </c>
    </row>
    <row r="367" spans="1:34" x14ac:dyDescent="0.2">
      <c r="A367" s="347">
        <f t="shared" ca="1" si="151"/>
        <v>0.01</v>
      </c>
      <c r="B367" s="304">
        <f t="shared" ca="1" si="152"/>
        <v>3.6299999999999666</v>
      </c>
      <c r="D367" s="306">
        <f t="shared" ca="1" si="153"/>
        <v>33.643275745141509</v>
      </c>
      <c r="E367" s="307">
        <f t="shared" ca="1" si="154"/>
        <v>84.028727554894616</v>
      </c>
      <c r="F367" s="304">
        <f t="shared" ca="1" si="155"/>
        <v>90.513518644224263</v>
      </c>
      <c r="G367" s="306">
        <f t="shared" ca="1" si="156"/>
        <v>109.72255869813492</v>
      </c>
      <c r="H367" s="307">
        <f t="shared" ca="1" si="157"/>
        <v>305.94300522106664</v>
      </c>
      <c r="I367" s="304">
        <f t="shared" ca="1" si="158"/>
        <v>325.0233258259525</v>
      </c>
      <c r="J367" s="306">
        <f t="shared" ca="1" si="159"/>
        <v>182.45807110835429</v>
      </c>
      <c r="K367" s="307">
        <f t="shared" ca="1" si="160"/>
        <v>537.6973940694362</v>
      </c>
      <c r="L367" s="304">
        <f t="shared" ca="1" si="145"/>
        <v>567.81109121048678</v>
      </c>
      <c r="M367" s="306">
        <f t="shared" ca="1" si="161"/>
        <v>1.2264476684160166</v>
      </c>
      <c r="N367" s="304">
        <f t="shared" ca="1" si="162"/>
        <v>70.270275193897987</v>
      </c>
      <c r="P367" s="310">
        <f t="shared" ca="1" si="163"/>
        <v>12</v>
      </c>
      <c r="Q367" s="304">
        <f t="shared" ca="1" si="164"/>
        <v>2251.0198754448334</v>
      </c>
      <c r="R367" s="306">
        <f t="shared" ca="1" si="165"/>
        <v>1.3537051343866597</v>
      </c>
      <c r="S367" s="307">
        <f t="shared" ca="1" si="166"/>
        <v>15.6528133656709</v>
      </c>
      <c r="T367" s="304">
        <f t="shared" ca="1" si="146"/>
        <v>153.55409911723154</v>
      </c>
      <c r="U367" s="311">
        <f t="shared" ca="1" si="147"/>
        <v>0</v>
      </c>
      <c r="V367" s="306">
        <f t="shared" ca="1" si="148"/>
        <v>1.1608565573251397</v>
      </c>
      <c r="W367" s="304">
        <f t="shared" ca="1" si="149"/>
        <v>694.27950306726029</v>
      </c>
      <c r="Y367" s="314" t="str">
        <f t="shared" ca="1" si="167"/>
        <v/>
      </c>
      <c r="Z367" s="315" t="str">
        <f t="shared" ca="1" si="168"/>
        <v/>
      </c>
      <c r="AA367" s="316" t="str">
        <f t="shared" ca="1" si="169"/>
        <v/>
      </c>
      <c r="AC367" s="310" t="e">
        <f t="shared" ca="1" si="170"/>
        <v>#N/A</v>
      </c>
      <c r="AD367" s="323" t="e">
        <f t="shared" ca="1" si="171"/>
        <v>#N/A</v>
      </c>
      <c r="AE367" s="324">
        <f t="shared" ca="1" si="150"/>
        <v>537.6973940694362</v>
      </c>
      <c r="AG367" s="306">
        <f t="shared" ca="1" si="172"/>
        <v>90.452948869503231</v>
      </c>
      <c r="AH367" s="304">
        <f t="shared" ca="1" si="173"/>
        <v>99.687395351595811</v>
      </c>
    </row>
    <row r="368" spans="1:34" x14ac:dyDescent="0.2">
      <c r="A368" s="347">
        <f t="shared" ca="1" si="151"/>
        <v>0.01</v>
      </c>
      <c r="B368" s="304">
        <f t="shared" ca="1" si="152"/>
        <v>3.6399999999999664</v>
      </c>
      <c r="D368" s="306">
        <f t="shared" ca="1" si="153"/>
        <v>33.645352380320844</v>
      </c>
      <c r="E368" s="307">
        <f t="shared" ca="1" si="154"/>
        <v>84.004438353341982</v>
      </c>
      <c r="F368" s="304">
        <f t="shared" ca="1" si="155"/>
        <v>90.491742163892468</v>
      </c>
      <c r="G368" s="306">
        <f t="shared" ca="1" si="156"/>
        <v>110.05901222193813</v>
      </c>
      <c r="H368" s="307">
        <f t="shared" ca="1" si="157"/>
        <v>306.78304960460008</v>
      </c>
      <c r="I368" s="304">
        <f t="shared" ca="1" si="158"/>
        <v>325.92763874204843</v>
      </c>
      <c r="J368" s="306">
        <f t="shared" ca="1" si="159"/>
        <v>183.55697896295464</v>
      </c>
      <c r="K368" s="307">
        <f t="shared" ca="1" si="160"/>
        <v>540.76102434356449</v>
      </c>
      <c r="L368" s="304">
        <f t="shared" ca="1" si="145"/>
        <v>571.06536401283142</v>
      </c>
      <c r="M368" s="306">
        <f t="shared" ca="1" si="161"/>
        <v>1.2263460601091685</v>
      </c>
      <c r="N368" s="304">
        <f t="shared" ca="1" si="162"/>
        <v>70.264453466752116</v>
      </c>
      <c r="P368" s="310">
        <f t="shared" ca="1" si="163"/>
        <v>12</v>
      </c>
      <c r="Q368" s="304">
        <f t="shared" ca="1" si="164"/>
        <v>2252.9704448398511</v>
      </c>
      <c r="R368" s="306">
        <f t="shared" ca="1" si="165"/>
        <v>1.3548781563727457</v>
      </c>
      <c r="S368" s="307">
        <f t="shared" ca="1" si="166"/>
        <v>15.639264584107172</v>
      </c>
      <c r="T368" s="304">
        <f t="shared" ca="1" si="146"/>
        <v>153.42118557009138</v>
      </c>
      <c r="U368" s="311">
        <f t="shared" ca="1" si="147"/>
        <v>0</v>
      </c>
      <c r="V368" s="306">
        <f t="shared" ca="1" si="148"/>
        <v>1.1605007096342932</v>
      </c>
      <c r="W368" s="304">
        <f t="shared" ca="1" si="149"/>
        <v>697.93425795402959</v>
      </c>
      <c r="Y368" s="314" t="str">
        <f t="shared" ca="1" si="167"/>
        <v/>
      </c>
      <c r="Z368" s="315" t="str">
        <f t="shared" ca="1" si="168"/>
        <v/>
      </c>
      <c r="AA368" s="316" t="str">
        <f t="shared" ca="1" si="169"/>
        <v/>
      </c>
      <c r="AC368" s="310" t="e">
        <f t="shared" ca="1" si="170"/>
        <v>#N/A</v>
      </c>
      <c r="AD368" s="323" t="e">
        <f t="shared" ca="1" si="171"/>
        <v>#N/A</v>
      </c>
      <c r="AE368" s="324">
        <f t="shared" ca="1" si="150"/>
        <v>540.76102434356449</v>
      </c>
      <c r="AG368" s="306">
        <f t="shared" ca="1" si="172"/>
        <v>90.431123361705346</v>
      </c>
      <c r="AH368" s="304">
        <f t="shared" ca="1" si="173"/>
        <v>99.665232555535454</v>
      </c>
    </row>
    <row r="369" spans="1:34" x14ac:dyDescent="0.2">
      <c r="A369" s="347">
        <f t="shared" ca="1" si="151"/>
        <v>0.01</v>
      </c>
      <c r="B369" s="304">
        <f t="shared" ca="1" si="152"/>
        <v>3.6499999999999662</v>
      </c>
      <c r="D369" s="306">
        <f t="shared" ca="1" si="153"/>
        <v>33.647263072694486</v>
      </c>
      <c r="E369" s="307">
        <f t="shared" ca="1" si="154"/>
        <v>83.979774848005476</v>
      </c>
      <c r="F369" s="304">
        <f t="shared" ca="1" si="155"/>
        <v>90.469557840219395</v>
      </c>
      <c r="G369" s="306">
        <f t="shared" ca="1" si="156"/>
        <v>110.39548485266508</v>
      </c>
      <c r="H369" s="307">
        <f t="shared" ca="1" si="157"/>
        <v>307.62284735308015</v>
      </c>
      <c r="I369" s="304">
        <f t="shared" ca="1" si="158"/>
        <v>326.8317293187298</v>
      </c>
      <c r="J369" s="306">
        <f t="shared" ca="1" si="159"/>
        <v>184.65925144832767</v>
      </c>
      <c r="K369" s="307">
        <f t="shared" ca="1" si="160"/>
        <v>543.83305382835283</v>
      </c>
      <c r="L369" s="304">
        <f t="shared" ca="1" si="145"/>
        <v>574.32867731093563</v>
      </c>
      <c r="M369" s="306">
        <f t="shared" ca="1" si="161"/>
        <v>1.2262447041666245</v>
      </c>
      <c r="N369" s="304">
        <f t="shared" ca="1" si="162"/>
        <v>70.258646199015772</v>
      </c>
      <c r="P369" s="310">
        <f t="shared" ca="1" si="163"/>
        <v>12</v>
      </c>
      <c r="Q369" s="304">
        <f t="shared" ca="1" si="164"/>
        <v>2254.9210142348688</v>
      </c>
      <c r="R369" s="306">
        <f t="shared" ca="1" si="165"/>
        <v>1.3560511783588314</v>
      </c>
      <c r="S369" s="307">
        <f t="shared" ca="1" si="166"/>
        <v>15.625704072323584</v>
      </c>
      <c r="T369" s="304">
        <f t="shared" ca="1" si="146"/>
        <v>153.28815694949438</v>
      </c>
      <c r="U369" s="311">
        <f t="shared" ca="1" si="147"/>
        <v>0</v>
      </c>
      <c r="V369" s="306">
        <f t="shared" ca="1" si="148"/>
        <v>1.160143992925353</v>
      </c>
      <c r="W369" s="304">
        <f t="shared" ca="1" si="149"/>
        <v>701.59590340092734</v>
      </c>
      <c r="Y369" s="314" t="str">
        <f t="shared" ca="1" si="167"/>
        <v/>
      </c>
      <c r="Z369" s="315" t="str">
        <f t="shared" ca="1" si="168"/>
        <v/>
      </c>
      <c r="AA369" s="316" t="str">
        <f t="shared" ca="1" si="169"/>
        <v/>
      </c>
      <c r="AC369" s="310" t="e">
        <f t="shared" ca="1" si="170"/>
        <v>#N/A</v>
      </c>
      <c r="AD369" s="323" t="e">
        <f t="shared" ca="1" si="171"/>
        <v>#N/A</v>
      </c>
      <c r="AE369" s="324">
        <f t="shared" ca="1" si="150"/>
        <v>543.83305382835283</v>
      </c>
      <c r="AG369" s="306">
        <f t="shared" ca="1" si="172"/>
        <v>90.408889790572118</v>
      </c>
      <c r="AH369" s="304">
        <f t="shared" ca="1" si="173"/>
        <v>99.642662440957849</v>
      </c>
    </row>
    <row r="370" spans="1:34" x14ac:dyDescent="0.2">
      <c r="A370" s="347">
        <f t="shared" ca="1" si="151"/>
        <v>0.01</v>
      </c>
      <c r="B370" s="304">
        <f t="shared" ca="1" si="152"/>
        <v>3.6599999999999659</v>
      </c>
      <c r="D370" s="306">
        <f t="shared" ca="1" si="153"/>
        <v>33.649008396318386</v>
      </c>
      <c r="E370" s="307">
        <f t="shared" ca="1" si="154"/>
        <v>83.954738542504543</v>
      </c>
      <c r="F370" s="304">
        <f t="shared" ca="1" si="155"/>
        <v>90.446967278045335</v>
      </c>
      <c r="G370" s="306">
        <f t="shared" ca="1" si="156"/>
        <v>110.73197493662826</v>
      </c>
      <c r="H370" s="307">
        <f t="shared" ca="1" si="157"/>
        <v>308.46239473850517</v>
      </c>
      <c r="I370" s="304">
        <f t="shared" ca="1" si="158"/>
        <v>327.73559349142937</v>
      </c>
      <c r="J370" s="306">
        <f t="shared" ca="1" si="159"/>
        <v>185.76488874727414</v>
      </c>
      <c r="K370" s="307">
        <f t="shared" ca="1" si="160"/>
        <v>546.9134800388108</v>
      </c>
      <c r="L370" s="304">
        <f t="shared" ca="1" si="145"/>
        <v>577.6010288594108</v>
      </c>
      <c r="M370" s="306">
        <f t="shared" ca="1" si="161"/>
        <v>1.2261435991983414</v>
      </c>
      <c r="N370" s="304">
        <f t="shared" ca="1" si="162"/>
        <v>70.252853311045357</v>
      </c>
      <c r="P370" s="310">
        <f t="shared" ca="1" si="163"/>
        <v>12</v>
      </c>
      <c r="Q370" s="304">
        <f t="shared" ca="1" si="164"/>
        <v>2256.8715836298866</v>
      </c>
      <c r="R370" s="306">
        <f t="shared" ca="1" si="165"/>
        <v>1.3572242003449173</v>
      </c>
      <c r="S370" s="307">
        <f t="shared" ca="1" si="166"/>
        <v>15.612131830320136</v>
      </c>
      <c r="T370" s="304">
        <f t="shared" ca="1" si="146"/>
        <v>153.15501325544054</v>
      </c>
      <c r="U370" s="311">
        <f t="shared" ca="1" si="147"/>
        <v>0</v>
      </c>
      <c r="V370" s="306">
        <f t="shared" ca="1" si="148"/>
        <v>1.1597864083139873</v>
      </c>
      <c r="W370" s="304">
        <f t="shared" ca="1" si="149"/>
        <v>705.26439693464079</v>
      </c>
      <c r="Y370" s="314" t="str">
        <f t="shared" ca="1" si="167"/>
        <v/>
      </c>
      <c r="Z370" s="315" t="str">
        <f t="shared" ca="1" si="168"/>
        <v/>
      </c>
      <c r="AA370" s="316" t="str">
        <f t="shared" ca="1" si="169"/>
        <v/>
      </c>
      <c r="AC370" s="310" t="e">
        <f t="shared" ca="1" si="170"/>
        <v>#N/A</v>
      </c>
      <c r="AD370" s="323" t="e">
        <f t="shared" ca="1" si="171"/>
        <v>#N/A</v>
      </c>
      <c r="AE370" s="324">
        <f t="shared" ca="1" si="150"/>
        <v>546.9134800388108</v>
      </c>
      <c r="AG370" s="306">
        <f t="shared" ca="1" si="172"/>
        <v>90.386249760783798</v>
      </c>
      <c r="AH370" s="304">
        <f t="shared" ca="1" si="173"/>
        <v>99.619686608620398</v>
      </c>
    </row>
    <row r="371" spans="1:34" x14ac:dyDescent="0.2">
      <c r="A371" s="347">
        <f t="shared" ca="1" si="151"/>
        <v>0.01</v>
      </c>
      <c r="B371" s="304">
        <f t="shared" ca="1" si="152"/>
        <v>3.6699999999999657</v>
      </c>
      <c r="D371" s="306">
        <f t="shared" ca="1" si="153"/>
        <v>33.650588929128624</v>
      </c>
      <c r="E371" s="307">
        <f t="shared" ca="1" si="154"/>
        <v>83.929330950978439</v>
      </c>
      <c r="F371" s="304">
        <f t="shared" ca="1" si="155"/>
        <v>90.423972093444675</v>
      </c>
      <c r="G371" s="306">
        <f t="shared" ca="1" si="156"/>
        <v>111.06848082591955</v>
      </c>
      <c r="H371" s="307">
        <f t="shared" ca="1" si="157"/>
        <v>309.30168804801497</v>
      </c>
      <c r="I371" s="304">
        <f t="shared" ca="1" si="158"/>
        <v>328.63922721173935</v>
      </c>
      <c r="J371" s="306">
        <f t="shared" ca="1" si="159"/>
        <v>186.87389102608688</v>
      </c>
      <c r="K371" s="307">
        <f t="shared" ca="1" si="160"/>
        <v>550.00230045274338</v>
      </c>
      <c r="L371" s="304">
        <f t="shared" ca="1" si="145"/>
        <v>580.88241637231499</v>
      </c>
      <c r="M371" s="306">
        <f t="shared" ca="1" si="161"/>
        <v>1.2260427438246229</v>
      </c>
      <c r="N371" s="304">
        <f t="shared" ca="1" si="162"/>
        <v>70.247074723790064</v>
      </c>
      <c r="P371" s="310">
        <f t="shared" ca="1" si="163"/>
        <v>12</v>
      </c>
      <c r="Q371" s="304">
        <f t="shared" ca="1" si="164"/>
        <v>2258.8221530249043</v>
      </c>
      <c r="R371" s="306">
        <f t="shared" ca="1" si="165"/>
        <v>1.3583972223310032</v>
      </c>
      <c r="S371" s="307">
        <f t="shared" ca="1" si="166"/>
        <v>15.598547858096826</v>
      </c>
      <c r="T371" s="304">
        <f t="shared" ca="1" si="146"/>
        <v>153.02175448792985</v>
      </c>
      <c r="U371" s="311">
        <f t="shared" ca="1" si="147"/>
        <v>0</v>
      </c>
      <c r="V371" s="306">
        <f t="shared" ca="1" si="148"/>
        <v>1.1594279569214681</v>
      </c>
      <c r="W371" s="304">
        <f t="shared" ca="1" si="149"/>
        <v>708.93969596648753</v>
      </c>
      <c r="Y371" s="314" t="str">
        <f t="shared" ca="1" si="167"/>
        <v/>
      </c>
      <c r="Z371" s="315" t="str">
        <f t="shared" ca="1" si="168"/>
        <v/>
      </c>
      <c r="AA371" s="316" t="str">
        <f t="shared" ca="1" si="169"/>
        <v/>
      </c>
      <c r="AC371" s="310" t="e">
        <f t="shared" ca="1" si="170"/>
        <v>#N/A</v>
      </c>
      <c r="AD371" s="323" t="e">
        <f t="shared" ca="1" si="171"/>
        <v>#N/A</v>
      </c>
      <c r="AE371" s="324">
        <f t="shared" ca="1" si="150"/>
        <v>550.00230045274338</v>
      </c>
      <c r="AG371" s="306">
        <f t="shared" ca="1" si="172"/>
        <v>90.363204888262672</v>
      </c>
      <c r="AH371" s="304">
        <f t="shared" ca="1" si="173"/>
        <v>99.596306670550078</v>
      </c>
    </row>
    <row r="372" spans="1:34" x14ac:dyDescent="0.2">
      <c r="A372" s="347">
        <f t="shared" ca="1" si="151"/>
        <v>0.01</v>
      </c>
      <c r="B372" s="304">
        <f t="shared" ca="1" si="152"/>
        <v>3.6799999999999655</v>
      </c>
      <c r="D372" s="306">
        <f t="shared" ca="1" si="153"/>
        <v>33.652005252923352</v>
      </c>
      <c r="E372" s="307">
        <f t="shared" ca="1" si="154"/>
        <v>83.903553598014511</v>
      </c>
      <c r="F372" s="304">
        <f t="shared" ca="1" si="155"/>
        <v>90.400573913652096</v>
      </c>
      <c r="G372" s="306">
        <f t="shared" ca="1" si="156"/>
        <v>111.40500087844879</v>
      </c>
      <c r="H372" s="307">
        <f t="shared" ca="1" si="157"/>
        <v>310.14072358399511</v>
      </c>
      <c r="I372" s="304">
        <f t="shared" ca="1" si="158"/>
        <v>329.54262644752231</v>
      </c>
      <c r="J372" s="306">
        <f t="shared" ca="1" si="159"/>
        <v>187.98625843460871</v>
      </c>
      <c r="K372" s="307">
        <f t="shared" ca="1" si="160"/>
        <v>553.09951251090342</v>
      </c>
      <c r="L372" s="304">
        <f t="shared" ca="1" si="145"/>
        <v>584.17283752331593</v>
      </c>
      <c r="M372" s="306">
        <f t="shared" ca="1" si="161"/>
        <v>1.2259421366760217</v>
      </c>
      <c r="N372" s="304">
        <f t="shared" ca="1" si="162"/>
        <v>70.241310358786379</v>
      </c>
      <c r="P372" s="310">
        <f t="shared" ca="1" si="163"/>
        <v>12</v>
      </c>
      <c r="Q372" s="304">
        <f t="shared" ca="1" si="164"/>
        <v>2260.772722419922</v>
      </c>
      <c r="R372" s="306">
        <f t="shared" ca="1" si="165"/>
        <v>1.3595702443170889</v>
      </c>
      <c r="S372" s="307">
        <f t="shared" ca="1" si="166"/>
        <v>15.584952155653655</v>
      </c>
      <c r="T372" s="304">
        <f t="shared" ca="1" si="146"/>
        <v>152.88838064696236</v>
      </c>
      <c r="U372" s="311">
        <f t="shared" ca="1" si="147"/>
        <v>0</v>
      </c>
      <c r="V372" s="306">
        <f t="shared" ca="1" si="148"/>
        <v>1.1590686398746401</v>
      </c>
      <c r="W372" s="304">
        <f t="shared" ca="1" si="149"/>
        <v>712.62175779452332</v>
      </c>
      <c r="Y372" s="314" t="str">
        <f t="shared" ca="1" si="167"/>
        <v/>
      </c>
      <c r="Z372" s="315" t="str">
        <f t="shared" ca="1" si="168"/>
        <v/>
      </c>
      <c r="AA372" s="316" t="str">
        <f t="shared" ca="1" si="169"/>
        <v/>
      </c>
      <c r="AC372" s="310" t="e">
        <f t="shared" ca="1" si="170"/>
        <v>#N/A</v>
      </c>
      <c r="AD372" s="323" t="e">
        <f t="shared" ca="1" si="171"/>
        <v>#N/A</v>
      </c>
      <c r="AE372" s="324">
        <f t="shared" ca="1" si="150"/>
        <v>553.09951251090342</v>
      </c>
      <c r="AG372" s="306">
        <f t="shared" ca="1" si="172"/>
        <v>90.339756800099124</v>
      </c>
      <c r="AH372" s="304">
        <f t="shared" ca="1" si="173"/>
        <v>99.572524249969277</v>
      </c>
    </row>
    <row r="373" spans="1:34" x14ac:dyDescent="0.2">
      <c r="A373" s="347">
        <f t="shared" ca="1" si="151"/>
        <v>0.01</v>
      </c>
      <c r="B373" s="304">
        <f t="shared" ca="1" si="152"/>
        <v>3.6899999999999653</v>
      </c>
      <c r="D373" s="306">
        <f t="shared" ca="1" si="153"/>
        <v>33.653257953344486</v>
      </c>
      <c r="E373" s="307">
        <f t="shared" ca="1" si="154"/>
        <v>83.877408018576446</v>
      </c>
      <c r="F373" s="304">
        <f t="shared" ca="1" si="155"/>
        <v>90.376774376988564</v>
      </c>
      <c r="G373" s="306">
        <f t="shared" ca="1" si="156"/>
        <v>111.74153345798223</v>
      </c>
      <c r="H373" s="307">
        <f t="shared" ca="1" si="157"/>
        <v>310.97949766418088</v>
      </c>
      <c r="I373" s="304">
        <f t="shared" ca="1" si="158"/>
        <v>330.4457871830229</v>
      </c>
      <c r="J373" s="306">
        <f t="shared" ca="1" si="159"/>
        <v>189.10199110629088</v>
      </c>
      <c r="K373" s="307">
        <f t="shared" ca="1" si="160"/>
        <v>556.20511361714432</v>
      </c>
      <c r="L373" s="304">
        <f t="shared" ca="1" si="145"/>
        <v>587.47228994585282</v>
      </c>
      <c r="M373" s="306">
        <f t="shared" ca="1" si="161"/>
        <v>1.2258417763932408</v>
      </c>
      <c r="N373" s="304">
        <f t="shared" ca="1" si="162"/>
        <v>70.23556013815228</v>
      </c>
      <c r="P373" s="310">
        <f t="shared" ca="1" si="163"/>
        <v>12</v>
      </c>
      <c r="Q373" s="304">
        <f t="shared" ca="1" si="164"/>
        <v>2262.7232918149398</v>
      </c>
      <c r="R373" s="306">
        <f t="shared" ca="1" si="165"/>
        <v>1.3607432663031749</v>
      </c>
      <c r="S373" s="307">
        <f t="shared" ca="1" si="166"/>
        <v>15.571344722990624</v>
      </c>
      <c r="T373" s="304">
        <f t="shared" ca="1" si="146"/>
        <v>152.75489173253803</v>
      </c>
      <c r="U373" s="311">
        <f t="shared" ca="1" si="147"/>
        <v>0</v>
      </c>
      <c r="V373" s="306">
        <f t="shared" ca="1" si="148"/>
        <v>1.1587084583058915</v>
      </c>
      <c r="W373" s="304">
        <f t="shared" ca="1" si="149"/>
        <v>716.3105396056593</v>
      </c>
      <c r="Y373" s="314" t="str">
        <f t="shared" ca="1" si="167"/>
        <v/>
      </c>
      <c r="Z373" s="315" t="str">
        <f t="shared" ca="1" si="168"/>
        <v/>
      </c>
      <c r="AA373" s="316" t="str">
        <f t="shared" ca="1" si="169"/>
        <v/>
      </c>
      <c r="AC373" s="310" t="e">
        <f t="shared" ca="1" si="170"/>
        <v>#N/A</v>
      </c>
      <c r="AD373" s="323" t="e">
        <f t="shared" ca="1" si="171"/>
        <v>#N/A</v>
      </c>
      <c r="AE373" s="324">
        <f t="shared" ca="1" si="150"/>
        <v>556.20511361714432</v>
      </c>
      <c r="AG373" s="306">
        <f t="shared" ca="1" si="172"/>
        <v>90.315907134477698</v>
      </c>
      <c r="AH373" s="304">
        <f t="shared" ca="1" si="173"/>
        <v>99.548340981221614</v>
      </c>
    </row>
    <row r="374" spans="1:34" x14ac:dyDescent="0.2">
      <c r="A374" s="347">
        <f t="shared" ca="1" si="151"/>
        <v>0.01</v>
      </c>
      <c r="B374" s="304">
        <f t="shared" ca="1" si="152"/>
        <v>3.6999999999999651</v>
      </c>
      <c r="D374" s="306">
        <f t="shared" ca="1" si="153"/>
        <v>33.654347619859067</v>
      </c>
      <c r="E374" s="307">
        <f t="shared" ca="1" si="154"/>
        <v>83.850895757931539</v>
      </c>
      <c r="F374" s="304">
        <f t="shared" ca="1" si="155"/>
        <v>90.352575132786413</v>
      </c>
      <c r="G374" s="306">
        <f t="shared" ca="1" si="156"/>
        <v>112.07807693418081</v>
      </c>
      <c r="H374" s="307">
        <f t="shared" ca="1" si="157"/>
        <v>311.81800662176022</v>
      </c>
      <c r="I374" s="304">
        <f t="shared" ca="1" si="158"/>
        <v>331.34870541897737</v>
      </c>
      <c r="J374" s="306">
        <f t="shared" ca="1" si="159"/>
        <v>190.22108915825169</v>
      </c>
      <c r="K374" s="307">
        <f t="shared" ca="1" si="160"/>
        <v>559.31910113857407</v>
      </c>
      <c r="L374" s="304">
        <f t="shared" ca="1" si="145"/>
        <v>590.78077123330104</v>
      </c>
      <c r="M374" s="306">
        <f t="shared" ca="1" si="161"/>
        <v>1.2257416616270371</v>
      </c>
      <c r="N374" s="304">
        <f t="shared" ca="1" si="162"/>
        <v>70.229823984581884</v>
      </c>
      <c r="P374" s="310">
        <f t="shared" ca="1" si="163"/>
        <v>12</v>
      </c>
      <c r="Q374" s="304">
        <f t="shared" ca="1" si="164"/>
        <v>2264.6738612099575</v>
      </c>
      <c r="R374" s="306">
        <f t="shared" ca="1" si="165"/>
        <v>1.3619162882892606</v>
      </c>
      <c r="S374" s="307">
        <f t="shared" ca="1" si="166"/>
        <v>15.55772556010773</v>
      </c>
      <c r="T374" s="304">
        <f t="shared" ca="1" si="146"/>
        <v>152.62128774465685</v>
      </c>
      <c r="U374" s="311">
        <f t="shared" ca="1" si="147"/>
        <v>0</v>
      </c>
      <c r="V374" s="306">
        <f t="shared" ca="1" si="148"/>
        <v>1.1583474133531193</v>
      </c>
      <c r="W374" s="304">
        <f t="shared" ca="1" si="149"/>
        <v>720.00599847777448</v>
      </c>
      <c r="Y374" s="314" t="str">
        <f t="shared" ca="1" si="167"/>
        <v/>
      </c>
      <c r="Z374" s="315" t="str">
        <f t="shared" ca="1" si="168"/>
        <v/>
      </c>
      <c r="AA374" s="316" t="str">
        <f t="shared" ca="1" si="169"/>
        <v/>
      </c>
      <c r="AC374" s="310" t="e">
        <f t="shared" ca="1" si="170"/>
        <v>#N/A</v>
      </c>
      <c r="AD374" s="323" t="e">
        <f t="shared" ca="1" si="171"/>
        <v>#N/A</v>
      </c>
      <c r="AE374" s="324">
        <f t="shared" ca="1" si="150"/>
        <v>559.31910113857407</v>
      </c>
      <c r="AG374" s="306">
        <f t="shared" ca="1" si="172"/>
        <v>90.291657540602131</v>
      </c>
      <c r="AH374" s="304">
        <f t="shared" ca="1" si="173"/>
        <v>99.523758509696734</v>
      </c>
    </row>
    <row r="375" spans="1:34" x14ac:dyDescent="0.2">
      <c r="A375" s="347">
        <f t="shared" ca="1" si="151"/>
        <v>0.01</v>
      </c>
      <c r="B375" s="304">
        <f t="shared" ca="1" si="152"/>
        <v>3.7099999999999649</v>
      </c>
      <c r="D375" s="306">
        <f t="shared" ca="1" si="153"/>
        <v>33.655274845740387</v>
      </c>
      <c r="E375" s="307">
        <f t="shared" ca="1" si="154"/>
        <v>83.824018371578134</v>
      </c>
      <c r="F375" s="304">
        <f t="shared" ca="1" si="155"/>
        <v>90.32797784131445</v>
      </c>
      <c r="G375" s="306">
        <f t="shared" ca="1" si="156"/>
        <v>112.41462968263822</v>
      </c>
      <c r="H375" s="307">
        <f t="shared" ca="1" si="157"/>
        <v>312.65624680547597</v>
      </c>
      <c r="I375" s="304">
        <f t="shared" ca="1" si="158"/>
        <v>332.25137717272355</v>
      </c>
      <c r="J375" s="306">
        <f t="shared" ca="1" si="159"/>
        <v>191.34355269133579</v>
      </c>
      <c r="K375" s="307">
        <f t="shared" ca="1" si="160"/>
        <v>562.44147240571021</v>
      </c>
      <c r="L375" s="304">
        <f t="shared" ca="1" si="145"/>
        <v>594.09827893913746</v>
      </c>
      <c r="M375" s="306">
        <f t="shared" ca="1" si="161"/>
        <v>1.2256417910381263</v>
      </c>
      <c r="N375" s="304">
        <f t="shared" ca="1" si="162"/>
        <v>70.224101821339801</v>
      </c>
      <c r="P375" s="310">
        <f t="shared" ca="1" si="163"/>
        <v>12</v>
      </c>
      <c r="Q375" s="304">
        <f t="shared" ca="1" si="164"/>
        <v>2266.6244306049753</v>
      </c>
      <c r="R375" s="306">
        <f t="shared" ca="1" si="165"/>
        <v>1.3630893102753465</v>
      </c>
      <c r="S375" s="307">
        <f t="shared" ca="1" si="166"/>
        <v>15.544094667004977</v>
      </c>
      <c r="T375" s="304">
        <f t="shared" ca="1" si="146"/>
        <v>152.48756868331884</v>
      </c>
      <c r="U375" s="311">
        <f t="shared" ca="1" si="147"/>
        <v>0</v>
      </c>
      <c r="V375" s="306">
        <f t="shared" ca="1" si="148"/>
        <v>1.1579855061597035</v>
      </c>
      <c r="W375" s="304">
        <f t="shared" ca="1" si="149"/>
        <v>723.70809138184427</v>
      </c>
      <c r="Y375" s="314" t="str">
        <f t="shared" ca="1" si="167"/>
        <v/>
      </c>
      <c r="Z375" s="315" t="str">
        <f t="shared" ca="1" si="168"/>
        <v/>
      </c>
      <c r="AA375" s="316" t="str">
        <f t="shared" ca="1" si="169"/>
        <v/>
      </c>
      <c r="AC375" s="310" t="e">
        <f t="shared" ca="1" si="170"/>
        <v>#N/A</v>
      </c>
      <c r="AD375" s="323" t="e">
        <f t="shared" ca="1" si="171"/>
        <v>#N/A</v>
      </c>
      <c r="AE375" s="324">
        <f t="shared" ca="1" si="150"/>
        <v>562.44147240571021</v>
      </c>
      <c r="AG375" s="306">
        <f t="shared" ca="1" si="172"/>
        <v>90.267009678620454</v>
      </c>
      <c r="AH375" s="304">
        <f t="shared" ca="1" si="173"/>
        <v>99.498778491755147</v>
      </c>
    </row>
    <row r="376" spans="1:34" x14ac:dyDescent="0.2">
      <c r="A376" s="347">
        <f t="shared" ca="1" si="151"/>
        <v>0.01</v>
      </c>
      <c r="B376" s="304">
        <f t="shared" ca="1" si="152"/>
        <v>3.7199999999999647</v>
      </c>
      <c r="D376" s="306">
        <f t="shared" ca="1" si="153"/>
        <v>33.656040228048717</v>
      </c>
      <c r="E376" s="307">
        <f t="shared" ca="1" si="154"/>
        <v>83.796777425171783</v>
      </c>
      <c r="F376" s="304">
        <f t="shared" ca="1" si="155"/>
        <v>90.30298417370166</v>
      </c>
      <c r="G376" s="306">
        <f t="shared" ca="1" si="156"/>
        <v>112.7511900849187</v>
      </c>
      <c r="H376" s="307">
        <f t="shared" ca="1" si="157"/>
        <v>313.49421457972767</v>
      </c>
      <c r="I376" s="304">
        <f t="shared" ca="1" si="158"/>
        <v>333.15379847830911</v>
      </c>
      <c r="J376" s="306">
        <f t="shared" ca="1" si="159"/>
        <v>192.46938179017357</v>
      </c>
      <c r="K376" s="307">
        <f t="shared" ca="1" si="160"/>
        <v>565.57222471263628</v>
      </c>
      <c r="L376" s="304">
        <f t="shared" ca="1" si="145"/>
        <v>597.42481057710711</v>
      </c>
      <c r="M376" s="306">
        <f t="shared" ca="1" si="161"/>
        <v>1.2255421632970878</v>
      </c>
      <c r="N376" s="304">
        <f t="shared" ca="1" si="162"/>
        <v>70.218393572255877</v>
      </c>
      <c r="P376" s="310">
        <f t="shared" ca="1" si="163"/>
        <v>12</v>
      </c>
      <c r="Q376" s="304">
        <f t="shared" ca="1" si="164"/>
        <v>2268.574999999993</v>
      </c>
      <c r="R376" s="306">
        <f t="shared" ca="1" si="165"/>
        <v>1.3642623322614322</v>
      </c>
      <c r="S376" s="307">
        <f t="shared" ca="1" si="166"/>
        <v>15.530452043682363</v>
      </c>
      <c r="T376" s="304">
        <f t="shared" ca="1" si="146"/>
        <v>152.35373454852399</v>
      </c>
      <c r="U376" s="311">
        <f t="shared" ca="1" si="147"/>
        <v>0</v>
      </c>
      <c r="V376" s="306">
        <f t="shared" ca="1" si="148"/>
        <v>1.1576227378744712</v>
      </c>
      <c r="W376" s="304">
        <f t="shared" ca="1" si="149"/>
        <v>727.41677518405891</v>
      </c>
      <c r="Y376" s="314" t="str">
        <f t="shared" ca="1" si="167"/>
        <v/>
      </c>
      <c r="Z376" s="315" t="str">
        <f t="shared" ca="1" si="168"/>
        <v/>
      </c>
      <c r="AA376" s="316" t="str">
        <f t="shared" ca="1" si="169"/>
        <v/>
      </c>
      <c r="AC376" s="310" t="e">
        <f t="shared" ca="1" si="170"/>
        <v>#N/A</v>
      </c>
      <c r="AD376" s="323" t="e">
        <f t="shared" ca="1" si="171"/>
        <v>#N/A</v>
      </c>
      <c r="AE376" s="324">
        <f t="shared" ca="1" si="150"/>
        <v>565.57222471263628</v>
      </c>
      <c r="AG376" s="306">
        <f t="shared" ca="1" si="172"/>
        <v>90.241965219548831</v>
      </c>
      <c r="AH376" s="304">
        <f t="shared" ca="1" si="173"/>
        <v>99.473402594651816</v>
      </c>
    </row>
    <row r="377" spans="1:34" x14ac:dyDescent="0.2">
      <c r="A377" s="347">
        <f t="shared" ca="1" si="151"/>
        <v>0.01</v>
      </c>
      <c r="B377" s="304">
        <f t="shared" ca="1" si="152"/>
        <v>3.7299999999999645</v>
      </c>
      <c r="D377" s="306">
        <f t="shared" ca="1" si="153"/>
        <v>33.632433259180821</v>
      </c>
      <c r="E377" s="307">
        <f t="shared" ca="1" si="154"/>
        <v>83.701857755568639</v>
      </c>
      <c r="F377" s="304">
        <f t="shared" ca="1" si="155"/>
        <v>90.206105994365473</v>
      </c>
      <c r="G377" s="306">
        <f t="shared" ca="1" si="156"/>
        <v>113.08751441751052</v>
      </c>
      <c r="H377" s="307">
        <f t="shared" ca="1" si="157"/>
        <v>314.33123315728335</v>
      </c>
      <c r="I377" s="304">
        <f t="shared" ca="1" si="158"/>
        <v>334.05525000411097</v>
      </c>
      <c r="J377" s="306">
        <f t="shared" ca="1" si="159"/>
        <v>193.59857531268571</v>
      </c>
      <c r="K377" s="307">
        <f t="shared" ca="1" si="160"/>
        <v>568.71135195132138</v>
      </c>
      <c r="L377" s="304">
        <f t="shared" ca="1" si="145"/>
        <v>600.76036004500281</v>
      </c>
      <c r="M377" s="306">
        <f t="shared" ca="1" si="161"/>
        <v>1.2254427768714353</v>
      </c>
      <c r="N377" s="304">
        <f t="shared" ca="1" si="162"/>
        <v>70.212699149525093</v>
      </c>
      <c r="P377" s="310">
        <f t="shared" ca="1" si="163"/>
        <v>13</v>
      </c>
      <c r="Q377" s="304">
        <f t="shared" ca="1" si="164"/>
        <v>2269.4161878453006</v>
      </c>
      <c r="R377" s="306">
        <f t="shared" ca="1" si="165"/>
        <v>1.3647682008757427</v>
      </c>
      <c r="S377" s="307">
        <f t="shared" ca="1" si="166"/>
        <v>15.516804361673605</v>
      </c>
      <c r="T377" s="304">
        <f t="shared" ca="1" si="146"/>
        <v>152.21985078801808</v>
      </c>
      <c r="U377" s="311">
        <f t="shared" ca="1" si="147"/>
        <v>0</v>
      </c>
      <c r="V377" s="306">
        <f t="shared" ca="1" si="148"/>
        <v>1.1572591100414973</v>
      </c>
      <c r="W377" s="304">
        <f t="shared" ca="1" si="149"/>
        <v>731.12887545203648</v>
      </c>
      <c r="Y377" s="314" t="str">
        <f t="shared" ca="1" si="167"/>
        <v/>
      </c>
      <c r="Z377" s="315" t="str">
        <f t="shared" ca="1" si="168"/>
        <v/>
      </c>
      <c r="AA377" s="316" t="str">
        <f t="shared" ca="1" si="169"/>
        <v/>
      </c>
      <c r="AC377" s="310" t="e">
        <f t="shared" ca="1" si="170"/>
        <v>#N/A</v>
      </c>
      <c r="AD377" s="323" t="e">
        <f t="shared" ca="1" si="171"/>
        <v>#N/A</v>
      </c>
      <c r="AE377" s="324">
        <f t="shared" ca="1" si="150"/>
        <v>568.71135195132138</v>
      </c>
      <c r="AG377" s="306">
        <f t="shared" ca="1" si="172"/>
        <v>90.14498759594855</v>
      </c>
      <c r="AH377" s="304">
        <f t="shared" ca="1" si="173"/>
        <v>99.376094247212976</v>
      </c>
    </row>
    <row r="378" spans="1:34" x14ac:dyDescent="0.2">
      <c r="A378" s="347">
        <f t="shared" ca="1" si="151"/>
        <v>0.01</v>
      </c>
      <c r="B378" s="304">
        <f t="shared" ca="1" si="152"/>
        <v>3.7399999999999642</v>
      </c>
      <c r="D378" s="306">
        <f t="shared" ca="1" si="153"/>
        <v>33.608663534230303</v>
      </c>
      <c r="E378" s="307">
        <f t="shared" ca="1" si="154"/>
        <v>83.60661374287892</v>
      </c>
      <c r="F378" s="304">
        <f t="shared" ca="1" si="155"/>
        <v>90.108868187920621</v>
      </c>
      <c r="G378" s="306">
        <f t="shared" ca="1" si="156"/>
        <v>113.42360105285282</v>
      </c>
      <c r="H378" s="307">
        <f t="shared" ca="1" si="157"/>
        <v>315.16729929471217</v>
      </c>
      <c r="I378" s="304">
        <f t="shared" ca="1" si="158"/>
        <v>334.95572815003385</v>
      </c>
      <c r="J378" s="306">
        <f t="shared" ca="1" si="159"/>
        <v>194.73113089003752</v>
      </c>
      <c r="K378" s="307">
        <f t="shared" ca="1" si="160"/>
        <v>571.85884461358137</v>
      </c>
      <c r="L378" s="304">
        <f t="shared" ca="1" si="145"/>
        <v>604.10491762647746</v>
      </c>
      <c r="M378" s="306">
        <f t="shared" ca="1" si="161"/>
        <v>1.2253436302416569</v>
      </c>
      <c r="N378" s="304">
        <f t="shared" ca="1" si="162"/>
        <v>70.207018466085842</v>
      </c>
      <c r="P378" s="310">
        <f t="shared" ca="1" si="163"/>
        <v>13</v>
      </c>
      <c r="Q378" s="304">
        <f t="shared" ca="1" si="164"/>
        <v>2270.2573756906045</v>
      </c>
      <c r="R378" s="306">
        <f t="shared" ca="1" si="165"/>
        <v>1.3652740694900509</v>
      </c>
      <c r="S378" s="307">
        <f t="shared" ca="1" si="166"/>
        <v>15.503151620978706</v>
      </c>
      <c r="T378" s="304">
        <f t="shared" ca="1" si="146"/>
        <v>152.08591740180111</v>
      </c>
      <c r="U378" s="311">
        <f t="shared" ca="1" si="147"/>
        <v>0</v>
      </c>
      <c r="V378" s="306">
        <f t="shared" ca="1" si="148"/>
        <v>1.1568946245992684</v>
      </c>
      <c r="W378" s="304">
        <f t="shared" ca="1" si="149"/>
        <v>734.84432842811691</v>
      </c>
      <c r="Y378" s="314" t="str">
        <f t="shared" ca="1" si="167"/>
        <v/>
      </c>
      <c r="Z378" s="315" t="str">
        <f t="shared" ca="1" si="168"/>
        <v/>
      </c>
      <c r="AA378" s="316" t="str">
        <f t="shared" ca="1" si="169"/>
        <v/>
      </c>
      <c r="AC378" s="310" t="e">
        <f t="shared" ca="1" si="170"/>
        <v>#N/A</v>
      </c>
      <c r="AD378" s="323" t="e">
        <f t="shared" ca="1" si="171"/>
        <v>#N/A</v>
      </c>
      <c r="AE378" s="324">
        <f t="shared" ca="1" si="150"/>
        <v>571.85884461358137</v>
      </c>
      <c r="AG378" s="306">
        <f t="shared" ca="1" si="172"/>
        <v>90.0476499606402</v>
      </c>
      <c r="AH378" s="304">
        <f t="shared" ca="1" si="173"/>
        <v>99.278426597843179</v>
      </c>
    </row>
    <row r="379" spans="1:34" x14ac:dyDescent="0.2">
      <c r="A379" s="347">
        <f t="shared" ca="1" si="151"/>
        <v>0.01</v>
      </c>
      <c r="B379" s="304">
        <f t="shared" ca="1" si="152"/>
        <v>3.749999999999964</v>
      </c>
      <c r="D379" s="306">
        <f t="shared" ca="1" si="153"/>
        <v>33.584732203743556</v>
      </c>
      <c r="E379" s="307">
        <f t="shared" ca="1" si="154"/>
        <v>83.511048246896323</v>
      </c>
      <c r="F379" s="304">
        <f t="shared" ca="1" si="155"/>
        <v>90.011273829963187</v>
      </c>
      <c r="G379" s="306">
        <f t="shared" ca="1" si="156"/>
        <v>113.75944837489025</v>
      </c>
      <c r="H379" s="307">
        <f t="shared" ca="1" si="157"/>
        <v>316.00240977718113</v>
      </c>
      <c r="I379" s="304">
        <f t="shared" ca="1" si="158"/>
        <v>335.85522934673031</v>
      </c>
      <c r="J379" s="306">
        <f t="shared" ca="1" si="159"/>
        <v>195.86704613717623</v>
      </c>
      <c r="K379" s="307">
        <f t="shared" ca="1" si="160"/>
        <v>575.01469315894087</v>
      </c>
      <c r="L379" s="304">
        <f t="shared" ca="1" si="145"/>
        <v>607.45847356932438</v>
      </c>
      <c r="M379" s="306">
        <f t="shared" ca="1" si="161"/>
        <v>1.225244721901072</v>
      </c>
      <c r="N379" s="304">
        <f t="shared" ca="1" si="162"/>
        <v>70.201351435611684</v>
      </c>
      <c r="P379" s="310">
        <f t="shared" ca="1" si="163"/>
        <v>13</v>
      </c>
      <c r="Q379" s="304">
        <f t="shared" ca="1" si="164"/>
        <v>2271.0985635359084</v>
      </c>
      <c r="R379" s="306">
        <f t="shared" ca="1" si="165"/>
        <v>1.3657799381043592</v>
      </c>
      <c r="S379" s="307">
        <f t="shared" ca="1" si="166"/>
        <v>15.489493821597662</v>
      </c>
      <c r="T379" s="304">
        <f t="shared" ca="1" si="146"/>
        <v>151.95193438987309</v>
      </c>
      <c r="U379" s="311">
        <f t="shared" ca="1" si="147"/>
        <v>0</v>
      </c>
      <c r="V379" s="306">
        <f t="shared" ca="1" si="148"/>
        <v>1.1565292834902414</v>
      </c>
      <c r="W379" s="304">
        <f t="shared" ca="1" si="149"/>
        <v>738.5630704209309</v>
      </c>
      <c r="Y379" s="314" t="str">
        <f t="shared" ca="1" si="167"/>
        <v/>
      </c>
      <c r="Z379" s="315" t="str">
        <f t="shared" ca="1" si="168"/>
        <v/>
      </c>
      <c r="AA379" s="316" t="str">
        <f t="shared" ca="1" si="169"/>
        <v/>
      </c>
      <c r="AC379" s="310" t="e">
        <f t="shared" ca="1" si="170"/>
        <v>#N/A</v>
      </c>
      <c r="AD379" s="323" t="e">
        <f t="shared" ca="1" si="171"/>
        <v>#N/A</v>
      </c>
      <c r="AE379" s="324">
        <f t="shared" ca="1" si="150"/>
        <v>575.01469315894087</v>
      </c>
      <c r="AG379" s="306">
        <f t="shared" ca="1" si="172"/>
        <v>89.949955388413272</v>
      </c>
      <c r="AH379" s="304">
        <f t="shared" ca="1" si="173"/>
        <v>99.180402716951704</v>
      </c>
    </row>
    <row r="380" spans="1:34" x14ac:dyDescent="0.2">
      <c r="A380" s="347">
        <f t="shared" ca="1" si="151"/>
        <v>0.01</v>
      </c>
      <c r="B380" s="304">
        <f t="shared" ca="1" si="152"/>
        <v>3.7599999999999638</v>
      </c>
      <c r="D380" s="306">
        <f t="shared" ca="1" si="153"/>
        <v>33.560640420096846</v>
      </c>
      <c r="E380" s="307">
        <f t="shared" ca="1" si="154"/>
        <v>83.415164132889132</v>
      </c>
      <c r="F380" s="304">
        <f t="shared" ca="1" si="155"/>
        <v>89.913326001899577</v>
      </c>
      <c r="G380" s="306">
        <f t="shared" ca="1" si="156"/>
        <v>114.09505477909123</v>
      </c>
      <c r="H380" s="307">
        <f t="shared" ca="1" si="157"/>
        <v>316.83656141851003</v>
      </c>
      <c r="I380" s="304">
        <f t="shared" ca="1" si="158"/>
        <v>336.75375005565877</v>
      </c>
      <c r="J380" s="306">
        <f t="shared" ca="1" si="159"/>
        <v>197.00631865294613</v>
      </c>
      <c r="K380" s="307">
        <f t="shared" ca="1" si="160"/>
        <v>578.17888801491938</v>
      </c>
      <c r="L380" s="304">
        <f t="shared" ca="1" si="145"/>
        <v>610.821018085785</v>
      </c>
      <c r="M380" s="306">
        <f t="shared" ca="1" si="161"/>
        <v>1.2251460503556906</v>
      </c>
      <c r="N380" s="304">
        <f t="shared" ca="1" si="162"/>
        <v>70.195697972503297</v>
      </c>
      <c r="P380" s="310">
        <f t="shared" ca="1" si="163"/>
        <v>13</v>
      </c>
      <c r="Q380" s="304">
        <f t="shared" ca="1" si="164"/>
        <v>2271.9397513812123</v>
      </c>
      <c r="R380" s="306">
        <f t="shared" ca="1" si="165"/>
        <v>1.3662858067186674</v>
      </c>
      <c r="S380" s="307">
        <f t="shared" ca="1" si="166"/>
        <v>15.475830963530475</v>
      </c>
      <c r="T380" s="304">
        <f t="shared" ca="1" si="146"/>
        <v>151.81790175223398</v>
      </c>
      <c r="U380" s="311">
        <f t="shared" ca="1" si="147"/>
        <v>0</v>
      </c>
      <c r="V380" s="306">
        <f t="shared" ca="1" si="148"/>
        <v>1.1561630886607968</v>
      </c>
      <c r="W380" s="304">
        <f t="shared" ca="1" si="149"/>
        <v>742.28503780843539</v>
      </c>
      <c r="Y380" s="314" t="str">
        <f t="shared" ca="1" si="167"/>
        <v/>
      </c>
      <c r="Z380" s="315" t="str">
        <f t="shared" ca="1" si="168"/>
        <v/>
      </c>
      <c r="AA380" s="316" t="str">
        <f t="shared" ca="1" si="169"/>
        <v/>
      </c>
      <c r="AC380" s="310" t="e">
        <f t="shared" ca="1" si="170"/>
        <v>#N/A</v>
      </c>
      <c r="AD380" s="323" t="e">
        <f t="shared" ca="1" si="171"/>
        <v>#N/A</v>
      </c>
      <c r="AE380" s="324">
        <f t="shared" ca="1" si="150"/>
        <v>578.17888801491938</v>
      </c>
      <c r="AG380" s="306">
        <f t="shared" ca="1" si="172"/>
        <v>89.851906959876274</v>
      </c>
      <c r="AH380" s="304">
        <f t="shared" ca="1" si="173"/>
        <v>99.082025680802261</v>
      </c>
    </row>
    <row r="381" spans="1:34" x14ac:dyDescent="0.2">
      <c r="A381" s="347">
        <f t="shared" ca="1" si="151"/>
        <v>0.01</v>
      </c>
      <c r="B381" s="304">
        <f t="shared" ca="1" si="152"/>
        <v>3.7699999999999636</v>
      </c>
      <c r="D381" s="306">
        <f t="shared" ca="1" si="153"/>
        <v>33.536389337452206</v>
      </c>
      <c r="E381" s="307">
        <f t="shared" ca="1" si="154"/>
        <v>83.318964271446717</v>
      </c>
      <c r="F381" s="304">
        <f t="shared" ca="1" si="155"/>
        <v>89.815027790786729</v>
      </c>
      <c r="G381" s="306">
        <f t="shared" ca="1" si="156"/>
        <v>114.43041867246575</v>
      </c>
      <c r="H381" s="307">
        <f t="shared" ca="1" si="157"/>
        <v>317.66975106122447</v>
      </c>
      <c r="I381" s="304">
        <f t="shared" ca="1" si="158"/>
        <v>337.65128676914014</v>
      </c>
      <c r="J381" s="306">
        <f t="shared" ca="1" si="159"/>
        <v>198.14894602020391</v>
      </c>
      <c r="K381" s="307">
        <f t="shared" ca="1" si="160"/>
        <v>581.3514195773181</v>
      </c>
      <c r="L381" s="304">
        <f t="shared" ca="1" si="145"/>
        <v>614.19254135285678</v>
      </c>
      <c r="M381" s="306">
        <f t="shared" ca="1" si="161"/>
        <v>1.2250476141240747</v>
      </c>
      <c r="N381" s="304">
        <f t="shared" ca="1" si="162"/>
        <v>70.190057991880536</v>
      </c>
      <c r="P381" s="310">
        <f t="shared" ca="1" si="163"/>
        <v>13</v>
      </c>
      <c r="Q381" s="304">
        <f t="shared" ca="1" si="164"/>
        <v>2272.7809392265162</v>
      </c>
      <c r="R381" s="306">
        <f t="shared" ca="1" si="165"/>
        <v>1.3667916753329756</v>
      </c>
      <c r="S381" s="307">
        <f t="shared" ca="1" si="166"/>
        <v>15.462163046777146</v>
      </c>
      <c r="T381" s="304">
        <f t="shared" ca="1" si="146"/>
        <v>151.68381948888381</v>
      </c>
      <c r="U381" s="311">
        <f t="shared" ca="1" si="147"/>
        <v>0</v>
      </c>
      <c r="V381" s="306">
        <f t="shared" ca="1" si="148"/>
        <v>1.1557960420611837</v>
      </c>
      <c r="W381" s="304">
        <f t="shared" ca="1" si="149"/>
        <v>746.01016704092933</v>
      </c>
      <c r="Y381" s="314" t="str">
        <f t="shared" ca="1" si="167"/>
        <v/>
      </c>
      <c r="Z381" s="315" t="str">
        <f t="shared" ca="1" si="168"/>
        <v/>
      </c>
      <c r="AA381" s="316" t="str">
        <f t="shared" ca="1" si="169"/>
        <v/>
      </c>
      <c r="AC381" s="310" t="e">
        <f t="shared" ca="1" si="170"/>
        <v>#N/A</v>
      </c>
      <c r="AD381" s="323" t="e">
        <f t="shared" ca="1" si="171"/>
        <v>#N/A</v>
      </c>
      <c r="AE381" s="324">
        <f t="shared" ca="1" si="150"/>
        <v>581.3514195773181</v>
      </c>
      <c r="AG381" s="306">
        <f t="shared" ca="1" si="172"/>
        <v>89.75350776129693</v>
      </c>
      <c r="AH381" s="304">
        <f t="shared" ca="1" si="173"/>
        <v>98.983298571352833</v>
      </c>
    </row>
    <row r="382" spans="1:34" x14ac:dyDescent="0.2">
      <c r="A382" s="347">
        <f t="shared" ca="1" si="151"/>
        <v>0.01</v>
      </c>
      <c r="B382" s="304">
        <f t="shared" ca="1" si="152"/>
        <v>3.7799999999999634</v>
      </c>
      <c r="D382" s="306">
        <f t="shared" ca="1" si="153"/>
        <v>33.511980111712973</v>
      </c>
      <c r="E382" s="307">
        <f t="shared" ca="1" si="154"/>
        <v>83.222451538326368</v>
      </c>
      <c r="F382" s="304">
        <f t="shared" ca="1" si="155"/>
        <v>89.716382289172401</v>
      </c>
      <c r="G382" s="306">
        <f t="shared" ca="1" si="156"/>
        <v>114.76553847358288</v>
      </c>
      <c r="H382" s="307">
        <f t="shared" ca="1" si="157"/>
        <v>318.50197557660772</v>
      </c>
      <c r="I382" s="304">
        <f t="shared" ca="1" si="158"/>
        <v>338.54783601041294</v>
      </c>
      <c r="J382" s="306">
        <f t="shared" ca="1" si="159"/>
        <v>199.29492580593416</v>
      </c>
      <c r="K382" s="307">
        <f t="shared" ca="1" si="160"/>
        <v>584.53227821050723</v>
      </c>
      <c r="L382" s="304">
        <f t="shared" ca="1" si="145"/>
        <v>617.57303351260293</v>
      </c>
      <c r="M382" s="306">
        <f t="shared" ca="1" si="161"/>
        <v>1.224949411737202</v>
      </c>
      <c r="N382" s="304">
        <f t="shared" ca="1" si="162"/>
        <v>70.184431409574614</v>
      </c>
      <c r="P382" s="310">
        <f t="shared" ca="1" si="163"/>
        <v>13</v>
      </c>
      <c r="Q382" s="304">
        <f t="shared" ca="1" si="164"/>
        <v>2273.6221270718202</v>
      </c>
      <c r="R382" s="306">
        <f t="shared" ca="1" si="165"/>
        <v>1.3672975439472839</v>
      </c>
      <c r="S382" s="307">
        <f t="shared" ca="1" si="166"/>
        <v>15.448490071337673</v>
      </c>
      <c r="T382" s="304">
        <f t="shared" ca="1" si="146"/>
        <v>151.54968759982259</v>
      </c>
      <c r="U382" s="311">
        <f t="shared" ca="1" si="147"/>
        <v>0</v>
      </c>
      <c r="V382" s="306">
        <f t="shared" ca="1" si="148"/>
        <v>1.155428145645472</v>
      </c>
      <c r="W382" s="304">
        <f t="shared" ca="1" si="149"/>
        <v>749.73839464406126</v>
      </c>
      <c r="Y382" s="314" t="str">
        <f t="shared" ca="1" si="167"/>
        <v/>
      </c>
      <c r="Z382" s="315" t="str">
        <f t="shared" ca="1" si="168"/>
        <v/>
      </c>
      <c r="AA382" s="316" t="str">
        <f t="shared" ca="1" si="169"/>
        <v/>
      </c>
      <c r="AC382" s="310" t="e">
        <f t="shared" ca="1" si="170"/>
        <v>#N/A</v>
      </c>
      <c r="AD382" s="323" t="e">
        <f t="shared" ca="1" si="171"/>
        <v>#N/A</v>
      </c>
      <c r="AE382" s="324">
        <f t="shared" ca="1" si="150"/>
        <v>584.53227821050723</v>
      </c>
      <c r="AG382" s="306">
        <f t="shared" ca="1" si="172"/>
        <v>89.654760884442595</v>
      </c>
      <c r="AH382" s="304">
        <f t="shared" ca="1" si="173"/>
        <v>98.884224476095739</v>
      </c>
    </row>
    <row r="383" spans="1:34" x14ac:dyDescent="0.2">
      <c r="A383" s="347">
        <f t="shared" ca="1" si="151"/>
        <v>0.01</v>
      </c>
      <c r="B383" s="304">
        <f t="shared" ca="1" si="152"/>
        <v>3.7899999999999632</v>
      </c>
      <c r="D383" s="306">
        <f t="shared" ca="1" si="153"/>
        <v>33.487413900479119</v>
      </c>
      <c r="E383" s="307">
        <f t="shared" ca="1" si="154"/>
        <v>83.125628814299901</v>
      </c>
      <c r="F383" s="304">
        <f t="shared" ca="1" si="155"/>
        <v>89.617392594935325</v>
      </c>
      <c r="G383" s="306">
        <f t="shared" ca="1" si="156"/>
        <v>115.10041261258768</v>
      </c>
      <c r="H383" s="307">
        <f t="shared" ca="1" si="157"/>
        <v>319.3332318647507</v>
      </c>
      <c r="I383" s="304">
        <f t="shared" ca="1" si="158"/>
        <v>339.44339433368646</v>
      </c>
      <c r="J383" s="306">
        <f t="shared" ca="1" si="159"/>
        <v>200.444255561365</v>
      </c>
      <c r="K383" s="307">
        <f t="shared" ca="1" si="160"/>
        <v>587.72145424771406</v>
      </c>
      <c r="L383" s="304">
        <f t="shared" ca="1" si="145"/>
        <v>620.96248467246198</v>
      </c>
      <c r="M383" s="306">
        <f t="shared" ca="1" si="161"/>
        <v>1.2248514417383307</v>
      </c>
      <c r="N383" s="304">
        <f t="shared" ca="1" si="162"/>
        <v>70.178818142120392</v>
      </c>
      <c r="P383" s="310">
        <f t="shared" ca="1" si="163"/>
        <v>13</v>
      </c>
      <c r="Q383" s="304">
        <f t="shared" ca="1" si="164"/>
        <v>2274.4633149171236</v>
      </c>
      <c r="R383" s="306">
        <f t="shared" ca="1" si="165"/>
        <v>1.3678034125615919</v>
      </c>
      <c r="S383" s="307">
        <f t="shared" ca="1" si="166"/>
        <v>15.434812037212057</v>
      </c>
      <c r="T383" s="304">
        <f t="shared" ca="1" si="146"/>
        <v>151.41550608505028</v>
      </c>
      <c r="U383" s="311">
        <f t="shared" ca="1" si="147"/>
        <v>0</v>
      </c>
      <c r="V383" s="306">
        <f t="shared" ca="1" si="148"/>
        <v>1.1550594013714999</v>
      </c>
      <c r="W383" s="304">
        <f t="shared" ca="1" si="149"/>
        <v>753.46965722181619</v>
      </c>
      <c r="Y383" s="314" t="str">
        <f t="shared" ca="1" si="167"/>
        <v/>
      </c>
      <c r="Z383" s="315" t="str">
        <f t="shared" ca="1" si="168"/>
        <v/>
      </c>
      <c r="AA383" s="316" t="str">
        <f t="shared" ca="1" si="169"/>
        <v/>
      </c>
      <c r="AC383" s="310" t="e">
        <f t="shared" ca="1" si="170"/>
        <v>#N/A</v>
      </c>
      <c r="AD383" s="323" t="e">
        <f t="shared" ca="1" si="171"/>
        <v>#N/A</v>
      </c>
      <c r="AE383" s="324">
        <f t="shared" ca="1" si="150"/>
        <v>587.72145424771406</v>
      </c>
      <c r="AG383" s="306">
        <f t="shared" ca="1" si="172"/>
        <v>89.555669426420437</v>
      </c>
      <c r="AH383" s="304">
        <f t="shared" ca="1" si="173"/>
        <v>98.784806487897384</v>
      </c>
    </row>
    <row r="384" spans="1:34" x14ac:dyDescent="0.2">
      <c r="A384" s="347">
        <f t="shared" ca="1" si="151"/>
        <v>0.01</v>
      </c>
      <c r="B384" s="304">
        <f t="shared" ca="1" si="152"/>
        <v>3.799999999999963</v>
      </c>
      <c r="D384" s="306">
        <f t="shared" ca="1" si="153"/>
        <v>33.462691863002568</v>
      </c>
      <c r="E384" s="307">
        <f t="shared" ca="1" si="154"/>
        <v>83.028498985000937</v>
      </c>
      <c r="F384" s="304">
        <f t="shared" ca="1" si="155"/>
        <v>89.518061811125918</v>
      </c>
      <c r="G384" s="306">
        <f t="shared" ca="1" si="156"/>
        <v>115.4350395312177</v>
      </c>
      <c r="H384" s="307">
        <f t="shared" ca="1" si="157"/>
        <v>320.16351685460069</v>
      </c>
      <c r="I384" s="304">
        <f t="shared" ca="1" si="158"/>
        <v>340.33795832419275</v>
      </c>
      <c r="J384" s="306">
        <f t="shared" ca="1" si="159"/>
        <v>201.59693282208403</v>
      </c>
      <c r="K384" s="307">
        <f t="shared" ca="1" si="160"/>
        <v>590.91893799131083</v>
      </c>
      <c r="L384" s="304">
        <f t="shared" ca="1" si="145"/>
        <v>624.36088490555721</v>
      </c>
      <c r="M384" s="306">
        <f t="shared" ca="1" si="161"/>
        <v>1.2247537026828659</v>
      </c>
      <c r="N384" s="304">
        <f t="shared" ca="1" si="162"/>
        <v>70.173218106748664</v>
      </c>
      <c r="P384" s="310">
        <f t="shared" ca="1" si="163"/>
        <v>13</v>
      </c>
      <c r="Q384" s="304">
        <f t="shared" ca="1" si="164"/>
        <v>2275.3045027624275</v>
      </c>
      <c r="R384" s="306">
        <f t="shared" ca="1" si="165"/>
        <v>1.3683092811759001</v>
      </c>
      <c r="S384" s="307">
        <f t="shared" ca="1" si="166"/>
        <v>15.421128944400298</v>
      </c>
      <c r="T384" s="304">
        <f t="shared" ca="1" si="146"/>
        <v>151.28127494456692</v>
      </c>
      <c r="U384" s="311">
        <f t="shared" ca="1" si="147"/>
        <v>0</v>
      </c>
      <c r="V384" s="306">
        <f t="shared" ca="1" si="148"/>
        <v>1.1546898112008233</v>
      </c>
      <c r="W384" s="304">
        <f t="shared" ca="1" si="149"/>
        <v>757.20389145949173</v>
      </c>
      <c r="Y384" s="314" t="str">
        <f t="shared" ca="1" si="167"/>
        <v/>
      </c>
      <c r="Z384" s="315" t="str">
        <f t="shared" ca="1" si="168"/>
        <v/>
      </c>
      <c r="AA384" s="316" t="str">
        <f t="shared" ca="1" si="169"/>
        <v/>
      </c>
      <c r="AC384" s="310" t="e">
        <f t="shared" ca="1" si="170"/>
        <v>#N/A</v>
      </c>
      <c r="AD384" s="323" t="e">
        <f t="shared" ca="1" si="171"/>
        <v>#N/A</v>
      </c>
      <c r="AE384" s="324">
        <f t="shared" ca="1" si="150"/>
        <v>590.91893799131083</v>
      </c>
      <c r="AG384" s="306">
        <f t="shared" ca="1" si="172"/>
        <v>89.456236489518076</v>
      </c>
      <c r="AH384" s="304">
        <f t="shared" ca="1" si="173"/>
        <v>98.685047704838638</v>
      </c>
    </row>
    <row r="385" spans="1:34" x14ac:dyDescent="0.2">
      <c r="A385" s="347">
        <f t="shared" ca="1" si="151"/>
        <v>0.01</v>
      </c>
      <c r="B385" s="304">
        <f t="shared" ca="1" si="152"/>
        <v>3.8099999999999627</v>
      </c>
      <c r="D385" s="306">
        <f t="shared" ca="1" si="153"/>
        <v>33.437815160142236</v>
      </c>
      <c r="E385" s="307">
        <f t="shared" ca="1" si="154"/>
        <v>82.931064940771776</v>
      </c>
      <c r="F385" s="304">
        <f t="shared" ca="1" si="155"/>
        <v>89.418393045806539</v>
      </c>
      <c r="G385" s="306">
        <f t="shared" ca="1" si="156"/>
        <v>115.76941768281912</v>
      </c>
      <c r="H385" s="307">
        <f t="shared" ca="1" si="157"/>
        <v>320.9928275040084</v>
      </c>
      <c r="I385" s="304">
        <f t="shared" ca="1" si="158"/>
        <v>341.23152459823683</v>
      </c>
      <c r="J385" s="306">
        <f t="shared" ca="1" si="159"/>
        <v>202.75295510815423</v>
      </c>
      <c r="K385" s="307">
        <f t="shared" ca="1" si="160"/>
        <v>594.1247197131039</v>
      </c>
      <c r="L385" s="304">
        <f t="shared" ca="1" si="145"/>
        <v>627.76822425100772</v>
      </c>
      <c r="M385" s="306">
        <f t="shared" ca="1" si="161"/>
        <v>1.2246561931382296</v>
      </c>
      <c r="N385" s="304">
        <f t="shared" ca="1" si="162"/>
        <v>70.16763122137877</v>
      </c>
      <c r="P385" s="310">
        <f t="shared" ca="1" si="163"/>
        <v>13</v>
      </c>
      <c r="Q385" s="304">
        <f t="shared" ca="1" si="164"/>
        <v>2276.1456906077315</v>
      </c>
      <c r="R385" s="306">
        <f t="shared" ca="1" si="165"/>
        <v>1.3688151497902084</v>
      </c>
      <c r="S385" s="307">
        <f t="shared" ca="1" si="166"/>
        <v>15.407440792902396</v>
      </c>
      <c r="T385" s="304">
        <f t="shared" ca="1" si="146"/>
        <v>151.14699417837249</v>
      </c>
      <c r="U385" s="311">
        <f t="shared" ca="1" si="147"/>
        <v>0</v>
      </c>
      <c r="V385" s="306">
        <f t="shared" ca="1" si="148"/>
        <v>1.1543193770986648</v>
      </c>
      <c r="W385" s="304">
        <f t="shared" ca="1" si="149"/>
        <v>760.94103412665618</v>
      </c>
      <c r="Y385" s="314" t="str">
        <f t="shared" ca="1" si="167"/>
        <v/>
      </c>
      <c r="Z385" s="315" t="str">
        <f t="shared" ca="1" si="168"/>
        <v/>
      </c>
      <c r="AA385" s="316" t="str">
        <f t="shared" ca="1" si="169"/>
        <v/>
      </c>
      <c r="AC385" s="310" t="e">
        <f t="shared" ca="1" si="170"/>
        <v>#N/A</v>
      </c>
      <c r="AD385" s="323" t="e">
        <f t="shared" ca="1" si="171"/>
        <v>#N/A</v>
      </c>
      <c r="AE385" s="324">
        <f t="shared" ca="1" si="150"/>
        <v>594.1247197131039</v>
      </c>
      <c r="AG385" s="306">
        <f t="shared" ca="1" si="172"/>
        <v>89.356465181044015</v>
      </c>
      <c r="AH385" s="304">
        <f t="shared" ca="1" si="173"/>
        <v>98.584951230054813</v>
      </c>
    </row>
    <row r="386" spans="1:34" x14ac:dyDescent="0.2">
      <c r="A386" s="347">
        <f t="shared" ca="1" si="151"/>
        <v>0.01</v>
      </c>
      <c r="B386" s="304">
        <f t="shared" ca="1" si="152"/>
        <v>3.8199999999999625</v>
      </c>
      <c r="D386" s="306">
        <f t="shared" ca="1" si="153"/>
        <v>33.412784954318816</v>
      </c>
      <c r="E386" s="307">
        <f t="shared" ca="1" si="154"/>
        <v>82.833329576511133</v>
      </c>
      <c r="F386" s="304">
        <f t="shared" ca="1" si="155"/>
        <v>89.318389411892483</v>
      </c>
      <c r="G386" s="306">
        <f t="shared" ca="1" si="156"/>
        <v>116.10354553236232</v>
      </c>
      <c r="H386" s="307">
        <f t="shared" ca="1" si="157"/>
        <v>321.82116079977351</v>
      </c>
      <c r="I386" s="304">
        <f t="shared" ca="1" si="158"/>
        <v>342.12408980324523</v>
      </c>
      <c r="J386" s="306">
        <f t="shared" ca="1" si="159"/>
        <v>203.91231992423013</v>
      </c>
      <c r="K386" s="307">
        <f t="shared" ca="1" si="160"/>
        <v>597.33878965462281</v>
      </c>
      <c r="L386" s="304">
        <f t="shared" ca="1" si="145"/>
        <v>631.18449271423901</v>
      </c>
      <c r="M386" s="306">
        <f t="shared" ca="1" si="161"/>
        <v>1.2245589116837299</v>
      </c>
      <c r="N386" s="304">
        <f t="shared" ca="1" si="162"/>
        <v>70.162057404611033</v>
      </c>
      <c r="P386" s="310">
        <f t="shared" ca="1" si="163"/>
        <v>13</v>
      </c>
      <c r="Q386" s="304">
        <f t="shared" ca="1" si="164"/>
        <v>2276.9868784530354</v>
      </c>
      <c r="R386" s="306">
        <f t="shared" ca="1" si="165"/>
        <v>1.3693210184045166</v>
      </c>
      <c r="S386" s="307">
        <f t="shared" ca="1" si="166"/>
        <v>15.393747582718351</v>
      </c>
      <c r="T386" s="304">
        <f t="shared" ca="1" si="146"/>
        <v>151.01266378646704</v>
      </c>
      <c r="U386" s="311">
        <f t="shared" ca="1" si="147"/>
        <v>0</v>
      </c>
      <c r="V386" s="306">
        <f t="shared" ca="1" si="148"/>
        <v>1.1539481010338635</v>
      </c>
      <c r="W386" s="304">
        <f t="shared" ca="1" si="149"/>
        <v>764.68102208009179</v>
      </c>
      <c r="Y386" s="314" t="str">
        <f t="shared" ca="1" si="167"/>
        <v/>
      </c>
      <c r="Z386" s="315" t="str">
        <f t="shared" ca="1" si="168"/>
        <v/>
      </c>
      <c r="AA386" s="316" t="str">
        <f t="shared" ca="1" si="169"/>
        <v/>
      </c>
      <c r="AC386" s="310" t="e">
        <f t="shared" ca="1" si="170"/>
        <v>#N/A</v>
      </c>
      <c r="AD386" s="323" t="e">
        <f t="shared" ca="1" si="171"/>
        <v>#N/A</v>
      </c>
      <c r="AE386" s="324">
        <f t="shared" ca="1" si="150"/>
        <v>597.33878965462281</v>
      </c>
      <c r="AG386" s="306">
        <f t="shared" ca="1" si="172"/>
        <v>89.25635861316853</v>
      </c>
      <c r="AH386" s="304">
        <f t="shared" ca="1" si="173"/>
        <v>98.484520171576293</v>
      </c>
    </row>
    <row r="387" spans="1:34" x14ac:dyDescent="0.2">
      <c r="A387" s="347">
        <f t="shared" ca="1" si="151"/>
        <v>0.01</v>
      </c>
      <c r="B387" s="304">
        <f t="shared" ca="1" si="152"/>
        <v>3.8299999999999623</v>
      </c>
      <c r="D387" s="306">
        <f t="shared" ca="1" si="153"/>
        <v>33.387602409469771</v>
      </c>
      <c r="E387" s="307">
        <f t="shared" ca="1" si="154"/>
        <v>82.735295791521708</v>
      </c>
      <c r="F387" s="304">
        <f t="shared" ca="1" si="155"/>
        <v>89.218054026992888</v>
      </c>
      <c r="G387" s="306">
        <f t="shared" ca="1" si="156"/>
        <v>116.43742155645701</v>
      </c>
      <c r="H387" s="307">
        <f t="shared" ca="1" si="157"/>
        <v>322.6485137576887</v>
      </c>
      <c r="I387" s="304">
        <f t="shared" ca="1" si="158"/>
        <v>343.01565061781298</v>
      </c>
      <c r="J387" s="306">
        <f t="shared" ca="1" si="159"/>
        <v>205.07502475967422</v>
      </c>
      <c r="K387" s="307">
        <f t="shared" ca="1" si="160"/>
        <v>600.56113802741015</v>
      </c>
      <c r="L387" s="304">
        <f t="shared" ca="1" si="145"/>
        <v>634.6096802672954</v>
      </c>
      <c r="M387" s="306">
        <f t="shared" ca="1" si="161"/>
        <v>1.2244618569104342</v>
      </c>
      <c r="N387" s="304">
        <f t="shared" ca="1" si="162"/>
        <v>70.156496575719601</v>
      </c>
      <c r="P387" s="310">
        <f t="shared" ca="1" si="163"/>
        <v>13</v>
      </c>
      <c r="Q387" s="304">
        <f t="shared" ca="1" si="164"/>
        <v>2277.8280662983393</v>
      </c>
      <c r="R387" s="306">
        <f t="shared" ca="1" si="165"/>
        <v>1.3698268870188248</v>
      </c>
      <c r="S387" s="307">
        <f t="shared" ca="1" si="166"/>
        <v>15.380049313848163</v>
      </c>
      <c r="T387" s="304">
        <f t="shared" ca="1" si="146"/>
        <v>150.87828376885048</v>
      </c>
      <c r="U387" s="311">
        <f t="shared" ca="1" si="147"/>
        <v>0</v>
      </c>
      <c r="V387" s="306">
        <f t="shared" ca="1" si="148"/>
        <v>1.1535759849788227</v>
      </c>
      <c r="W387" s="304">
        <f t="shared" ca="1" si="149"/>
        <v>768.4237922667229</v>
      </c>
      <c r="Y387" s="314" t="str">
        <f t="shared" ca="1" si="167"/>
        <v/>
      </c>
      <c r="Z387" s="315" t="str">
        <f t="shared" ca="1" si="168"/>
        <v/>
      </c>
      <c r="AA387" s="316" t="str">
        <f t="shared" ca="1" si="169"/>
        <v/>
      </c>
      <c r="AC387" s="310" t="e">
        <f t="shared" ca="1" si="170"/>
        <v>#N/A</v>
      </c>
      <c r="AD387" s="323" t="e">
        <f t="shared" ca="1" si="171"/>
        <v>#N/A</v>
      </c>
      <c r="AE387" s="324">
        <f t="shared" ca="1" si="150"/>
        <v>600.56113802741015</v>
      </c>
      <c r="AG387" s="306">
        <f t="shared" ca="1" si="172"/>
        <v>89.155919902764722</v>
      </c>
      <c r="AH387" s="304">
        <f t="shared" ca="1" si="173"/>
        <v>98.383757642169158</v>
      </c>
    </row>
    <row r="388" spans="1:34" x14ac:dyDescent="0.2">
      <c r="A388" s="347">
        <f t="shared" ca="1" si="151"/>
        <v>0.01</v>
      </c>
      <c r="B388" s="304">
        <f t="shared" ca="1" si="152"/>
        <v>3.8399999999999621</v>
      </c>
      <c r="D388" s="306">
        <f t="shared" ca="1" si="153"/>
        <v>33.362268691003777</v>
      </c>
      <c r="E388" s="307">
        <f t="shared" ca="1" si="154"/>
        <v>82.636966489358031</v>
      </c>
      <c r="F388" s="304">
        <f t="shared" ca="1" si="155"/>
        <v>89.117390013251693</v>
      </c>
      <c r="G388" s="306">
        <f t="shared" ca="1" si="156"/>
        <v>116.77104424336704</v>
      </c>
      <c r="H388" s="307">
        <f t="shared" ca="1" si="157"/>
        <v>323.47488342258231</v>
      </c>
      <c r="I388" s="304">
        <f t="shared" ca="1" si="158"/>
        <v>343.90620375174916</v>
      </c>
      <c r="J388" s="306">
        <f t="shared" ca="1" si="159"/>
        <v>206.24106708867333</v>
      </c>
      <c r="K388" s="307">
        <f t="shared" ca="1" si="160"/>
        <v>603.79175501331156</v>
      </c>
      <c r="L388" s="304">
        <f t="shared" ref="L388:L451" ca="1" si="174">SQRT(pos_x^2+pos_z^2)</f>
        <v>638.04377684915119</v>
      </c>
      <c r="M388" s="306">
        <f t="shared" ca="1" si="161"/>
        <v>1.224365027421044</v>
      </c>
      <c r="N388" s="304">
        <f t="shared" ca="1" si="162"/>
        <v>70.150948654645134</v>
      </c>
      <c r="P388" s="310">
        <f t="shared" ca="1" si="163"/>
        <v>13</v>
      </c>
      <c r="Q388" s="304">
        <f t="shared" ca="1" si="164"/>
        <v>2278.6692541436432</v>
      </c>
      <c r="R388" s="306">
        <f t="shared" ca="1" si="165"/>
        <v>1.3703327556331331</v>
      </c>
      <c r="S388" s="307">
        <f t="shared" ca="1" si="166"/>
        <v>15.366345986291831</v>
      </c>
      <c r="T388" s="304">
        <f t="shared" ref="T388:T451" ca="1" si="175">m*g</f>
        <v>150.74385412552286</v>
      </c>
      <c r="U388" s="311">
        <f t="shared" ref="U388:U451" ca="1" si="176">IF(pos_xz&lt;L_rampe,Poids*COS(Beta),0)</f>
        <v>0</v>
      </c>
      <c r="V388" s="306">
        <f t="shared" ref="V388:V451" ca="1" si="177">Rho_moyen*(20000-Alt_rampe-pos_z)/(20000+Alt_rampe+pos_z)</f>
        <v>1.1532030309094599</v>
      </c>
      <c r="W388" s="304">
        <f t="shared" ref="W388:W451" ca="1" si="178">1/2*Rho*Sref*Cx*vit_xz^2</f>
        <v>772.16928172652649</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603.79175501331156</v>
      </c>
      <c r="AG388" s="306">
        <f t="shared" ca="1" si="172"/>
        <v>89.055152171249517</v>
      </c>
      <c r="AH388" s="304">
        <f t="shared" ca="1" si="173"/>
        <v>98.282666759175896</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33.336784965755264</v>
      </c>
      <c r="E389" s="307">
        <f t="shared" ref="E389:E452" ca="1" si="183">IF(AND(L388&lt;L_rampe,Poussee&lt;Poids*SIN(M388)),0,(-W388+Poussee)/m*SIN(M388)+U388/m*COS(M388)-Poids/m)</f>
        <v>82.538344577674906</v>
      </c>
      <c r="F389" s="304">
        <f t="shared" ref="F389:F452" ca="1" si="184">SQRT(acc_x^2+acc_z^2)</f>
        <v>89.016400497189295</v>
      </c>
      <c r="G389" s="306">
        <f t="shared" ref="G389:G452" ca="1" si="185">G388+acc_x*pas</f>
        <v>117.10441209302459</v>
      </c>
      <c r="H389" s="307">
        <f t="shared" ref="H389:H452" ca="1" si="186">H388+acc_z*pas</f>
        <v>324.30026686835907</v>
      </c>
      <c r="I389" s="304">
        <f t="shared" ref="I389:I452" ca="1" si="187">SQRT(vit_x^2+vit_z^2)</f>
        <v>344.79574594612075</v>
      </c>
      <c r="J389" s="306">
        <f t="shared" ref="J389:J452" ca="1" si="188">J388+0.5*(vit_x+G388)*pas*(K388&gt;=0)</f>
        <v>207.41044437035529</v>
      </c>
      <c r="K389" s="307">
        <f t="shared" ref="K389:K452" ca="1" si="189">K388+0.5*(vit_z+H388)*pas</f>
        <v>607.03063076476622</v>
      </c>
      <c r="L389" s="304">
        <f t="shared" ca="1" si="174"/>
        <v>641.48677236602327</v>
      </c>
      <c r="M389" s="306">
        <f t="shared" ref="M389:M452" ca="1" si="190">IF(AND(L388&gt;L_rampe,G389&gt;0),ATAN2(G389,H389),$M$4)</f>
        <v>1.2242684218297686</v>
      </c>
      <c r="N389" s="304">
        <f t="shared" ref="N389:N452" ca="1" si="191">DEGREES(Beta)</f>
        <v>70.145413561987681</v>
      </c>
      <c r="P389" s="310">
        <f t="shared" ref="P389:P452" ca="1" si="192">MATCH(t-pas/2-T_ini,CdP_t)</f>
        <v>13</v>
      </c>
      <c r="Q389" s="304">
        <f t="shared" ref="Q389:Q452" ca="1" si="193">(INDEX(CdP,2,i_P+1)-INDEX(CdP,2,i_P+0))/(INDEX(CdP,1,i_P+1)-INDEX(CdP,1,i_P+0))*(t-pas/2-T_ini-INDEX(CdP,1,i_P+0))+INDEX(CdP,2,i_P+0)</f>
        <v>2279.5104419889467</v>
      </c>
      <c r="R389" s="306">
        <f t="shared" ref="R389:R452" ca="1" si="194">Poussee/(g*ISP)</f>
        <v>1.3708386242474411</v>
      </c>
      <c r="S389" s="307">
        <f t="shared" ref="S389:S452" ca="1" si="195">S388-Débit*pas</f>
        <v>15.352637600049357</v>
      </c>
      <c r="T389" s="304">
        <f t="shared" ca="1" si="175"/>
        <v>150.60937485648421</v>
      </c>
      <c r="U389" s="311">
        <f t="shared" ca="1" si="176"/>
        <v>0</v>
      </c>
      <c r="V389" s="306">
        <f t="shared" ca="1" si="177"/>
        <v>1.1528292408051573</v>
      </c>
      <c r="W389" s="304">
        <f t="shared" ca="1" si="178"/>
        <v>775.91742759543035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607.03063076476622</v>
      </c>
      <c r="AG389" s="306">
        <f t="shared" ref="AG389:AG452" ca="1" si="201">IF(AND(L388&lt;L_rampe,Poussee&lt;Poids*SIN(M388)),0,(-W388+Poussee)/m-Poids*SIN(M388)/m)</f>
        <v>88.954058544425266</v>
      </c>
      <c r="AH389" s="304">
        <f t="shared" ref="AH389:AH452" ca="1" si="202">IF(AND(L388&lt;L_rampe,Poussee&lt;Poids*SIN(M388)), g*SIN(M388), (-W388+Poussee)/m)</f>
        <v>98.181250644356652</v>
      </c>
    </row>
    <row r="390" spans="1:34" x14ac:dyDescent="0.2">
      <c r="A390" s="347">
        <f t="shared" ca="1" si="180"/>
        <v>0.01</v>
      </c>
      <c r="B390" s="304">
        <f t="shared" ca="1" si="181"/>
        <v>3.8599999999999617</v>
      </c>
      <c r="D390" s="306">
        <f t="shared" ca="1" si="182"/>
        <v>33.311152401938877</v>
      </c>
      <c r="E390" s="307">
        <f t="shared" ca="1" si="183"/>
        <v>82.439432968075479</v>
      </c>
      <c r="F390" s="304">
        <f t="shared" ca="1" si="184"/>
        <v>88.915088609543702</v>
      </c>
      <c r="G390" s="306">
        <f t="shared" ca="1" si="185"/>
        <v>117.43752361704398</v>
      </c>
      <c r="H390" s="307">
        <f t="shared" ca="1" si="186"/>
        <v>325.1246611980398</v>
      </c>
      <c r="I390" s="304">
        <f t="shared" ca="1" si="187"/>
        <v>345.68427397329481</v>
      </c>
      <c r="J390" s="306">
        <f t="shared" ca="1" si="188"/>
        <v>208.58315404890564</v>
      </c>
      <c r="K390" s="307">
        <f t="shared" ca="1" si="189"/>
        <v>610.27775540509822</v>
      </c>
      <c r="L390" s="304">
        <f t="shared" ca="1" si="174"/>
        <v>644.9386566916844</v>
      </c>
      <c r="M390" s="306">
        <f t="shared" ca="1" si="190"/>
        <v>1.2241720387622044</v>
      </c>
      <c r="N390" s="304">
        <f t="shared" ca="1" si="191"/>
        <v>70.139891218999722</v>
      </c>
      <c r="P390" s="310">
        <f t="shared" ca="1" si="192"/>
        <v>13</v>
      </c>
      <c r="Q390" s="304">
        <f t="shared" ca="1" si="193"/>
        <v>2280.3516298342506</v>
      </c>
      <c r="R390" s="306">
        <f t="shared" ca="1" si="194"/>
        <v>1.3713444928617493</v>
      </c>
      <c r="S390" s="307">
        <f t="shared" ca="1" si="195"/>
        <v>15.33892415512074</v>
      </c>
      <c r="T390" s="304">
        <f t="shared" ca="1" si="175"/>
        <v>150.47484596173447</v>
      </c>
      <c r="U390" s="311">
        <f t="shared" ca="1" si="176"/>
        <v>0</v>
      </c>
      <c r="V390" s="306">
        <f t="shared" ca="1" si="177"/>
        <v>1.1524546166487069</v>
      </c>
      <c r="W390" s="304">
        <f t="shared" ca="1" si="178"/>
        <v>779.66816710818853</v>
      </c>
      <c r="Y390" s="314" t="str">
        <f t="shared" ca="1" si="196"/>
        <v/>
      </c>
      <c r="Z390" s="315" t="str">
        <f t="shared" ca="1" si="197"/>
        <v/>
      </c>
      <c r="AA390" s="316" t="str">
        <f t="shared" ca="1" si="198"/>
        <v/>
      </c>
      <c r="AC390" s="310" t="e">
        <f t="shared" ca="1" si="199"/>
        <v>#N/A</v>
      </c>
      <c r="AD390" s="323" t="e">
        <f t="shared" ca="1" si="200"/>
        <v>#N/A</v>
      </c>
      <c r="AE390" s="324">
        <f t="shared" ca="1" si="179"/>
        <v>610.27775540509822</v>
      </c>
      <c r="AG390" s="306">
        <f t="shared" ca="1" si="201"/>
        <v>88.852642152321067</v>
      </c>
      <c r="AH390" s="304">
        <f t="shared" ca="1" si="202"/>
        <v>98.079512423730222</v>
      </c>
    </row>
    <row r="391" spans="1:34" x14ac:dyDescent="0.2">
      <c r="A391" s="347">
        <f t="shared" ca="1" si="180"/>
        <v>0.01</v>
      </c>
      <c r="B391" s="304">
        <f t="shared" ca="1" si="181"/>
        <v>3.8699999999999615</v>
      </c>
      <c r="D391" s="306">
        <f t="shared" ca="1" si="182"/>
        <v>33.28537216910366</v>
      </c>
      <c r="E391" s="307">
        <f t="shared" ca="1" si="183"/>
        <v>82.340234575960352</v>
      </c>
      <c r="F391" s="304">
        <f t="shared" ca="1" si="184"/>
        <v>88.813457485112679</v>
      </c>
      <c r="G391" s="306">
        <f t="shared" ca="1" si="185"/>
        <v>117.77037733873502</v>
      </c>
      <c r="H391" s="307">
        <f t="shared" ca="1" si="186"/>
        <v>325.94806354379938</v>
      </c>
      <c r="I391" s="304">
        <f t="shared" ca="1" si="187"/>
        <v>346.5717846369792</v>
      </c>
      <c r="J391" s="306">
        <f t="shared" ca="1" si="188"/>
        <v>209.75919355368453</v>
      </c>
      <c r="K391" s="307">
        <f t="shared" ca="1" si="189"/>
        <v>613.53311902880739</v>
      </c>
      <c r="L391" s="304">
        <f t="shared" ca="1" si="174"/>
        <v>648.3994196677761</v>
      </c>
      <c r="M391" s="306">
        <f t="shared" ca="1" si="190"/>
        <v>1.2240758768552138</v>
      </c>
      <c r="N391" s="304">
        <f t="shared" ca="1" si="191"/>
        <v>70.134381547579238</v>
      </c>
      <c r="P391" s="310">
        <f t="shared" ca="1" si="192"/>
        <v>13</v>
      </c>
      <c r="Q391" s="304">
        <f t="shared" ca="1" si="193"/>
        <v>2281.1928176795545</v>
      </c>
      <c r="R391" s="306">
        <f t="shared" ca="1" si="194"/>
        <v>1.3718503614760575</v>
      </c>
      <c r="S391" s="307">
        <f t="shared" ca="1" si="195"/>
        <v>15.325205651505978</v>
      </c>
      <c r="T391" s="304">
        <f t="shared" ca="1" si="175"/>
        <v>150.34026744127365</v>
      </c>
      <c r="U391" s="311">
        <f t="shared" ca="1" si="176"/>
        <v>0</v>
      </c>
      <c r="V391" s="306">
        <f t="shared" ca="1" si="177"/>
        <v>1.1520791604262646</v>
      </c>
      <c r="W391" s="304">
        <f t="shared" ca="1" si="178"/>
        <v>783.42143760124657</v>
      </c>
      <c r="Y391" s="314" t="str">
        <f t="shared" ca="1" si="196"/>
        <v/>
      </c>
      <c r="Z391" s="315" t="str">
        <f t="shared" ca="1" si="197"/>
        <v/>
      </c>
      <c r="AA391" s="316" t="str">
        <f t="shared" ca="1" si="198"/>
        <v/>
      </c>
      <c r="AC391" s="310" t="e">
        <f t="shared" ca="1" si="199"/>
        <v>#N/A</v>
      </c>
      <c r="AD391" s="323" t="e">
        <f t="shared" ca="1" si="200"/>
        <v>#N/A</v>
      </c>
      <c r="AE391" s="324">
        <f t="shared" ca="1" si="179"/>
        <v>613.53311902880739</v>
      </c>
      <c r="AG391" s="306">
        <f t="shared" ca="1" si="201"/>
        <v>88.750906129034831</v>
      </c>
      <c r="AH391" s="304">
        <f t="shared" ca="1" si="202"/>
        <v>97.97745522741576</v>
      </c>
    </row>
    <row r="392" spans="1:34" x14ac:dyDescent="0.2">
      <c r="A392" s="347">
        <f t="shared" ca="1" si="180"/>
        <v>0.01</v>
      </c>
      <c r="B392" s="304">
        <f t="shared" ca="1" si="181"/>
        <v>3.8799999999999613</v>
      </c>
      <c r="D392" s="306">
        <f t="shared" ca="1" si="182"/>
        <v>33.25944543808717</v>
      </c>
      <c r="E392" s="307">
        <f t="shared" ca="1" si="183"/>
        <v>82.240752320376359</v>
      </c>
      <c r="F392" s="304">
        <f t="shared" ca="1" si="184"/>
        <v>88.71151026259551</v>
      </c>
      <c r="G392" s="306">
        <f t="shared" ca="1" si="185"/>
        <v>118.10297179311588</v>
      </c>
      <c r="H392" s="307">
        <f t="shared" ca="1" si="186"/>
        <v>326.77047106700314</v>
      </c>
      <c r="I392" s="304">
        <f t="shared" ca="1" si="187"/>
        <v>347.45827477226192</v>
      </c>
      <c r="J392" s="306">
        <f t="shared" ca="1" si="188"/>
        <v>210.93856029934378</v>
      </c>
      <c r="K392" s="307">
        <f t="shared" ca="1" si="189"/>
        <v>616.79671170186145</v>
      </c>
      <c r="L392" s="304">
        <f t="shared" ca="1" si="174"/>
        <v>651.86905110412249</v>
      </c>
      <c r="M392" s="306">
        <f t="shared" ca="1" si="190"/>
        <v>1.2239799347568054</v>
      </c>
      <c r="N392" s="304">
        <f t="shared" ca="1" si="191"/>
        <v>70.128884470262818</v>
      </c>
      <c r="P392" s="310">
        <f t="shared" ca="1" si="192"/>
        <v>13</v>
      </c>
      <c r="Q392" s="304">
        <f t="shared" ca="1" si="193"/>
        <v>2282.0340055248585</v>
      </c>
      <c r="R392" s="306">
        <f t="shared" ca="1" si="194"/>
        <v>1.3723562300903658</v>
      </c>
      <c r="S392" s="307">
        <f t="shared" ca="1" si="195"/>
        <v>15.311482089205075</v>
      </c>
      <c r="T392" s="304">
        <f t="shared" ca="1" si="175"/>
        <v>150.2056392951018</v>
      </c>
      <c r="U392" s="311">
        <f t="shared" ca="1" si="176"/>
        <v>0</v>
      </c>
      <c r="V392" s="306">
        <f t="shared" ca="1" si="177"/>
        <v>1.1517028741272963</v>
      </c>
      <c r="W392" s="304">
        <f t="shared" ca="1" si="178"/>
        <v>787.17717651558758</v>
      </c>
      <c r="Y392" s="314" t="str">
        <f t="shared" ca="1" si="196"/>
        <v/>
      </c>
      <c r="Z392" s="315" t="str">
        <f t="shared" ca="1" si="197"/>
        <v/>
      </c>
      <c r="AA392" s="316" t="str">
        <f t="shared" ca="1" si="198"/>
        <v/>
      </c>
      <c r="AC392" s="310" t="e">
        <f t="shared" ca="1" si="199"/>
        <v>#N/A</v>
      </c>
      <c r="AD392" s="323" t="e">
        <f t="shared" ca="1" si="200"/>
        <v>#N/A</v>
      </c>
      <c r="AE392" s="324">
        <f t="shared" ca="1" si="179"/>
        <v>616.79671170186145</v>
      </c>
      <c r="AG392" s="306">
        <f t="shared" ca="1" si="201"/>
        <v>88.648853612575152</v>
      </c>
      <c r="AH392" s="304">
        <f t="shared" ca="1" si="202"/>
        <v>97.875082189474412</v>
      </c>
    </row>
    <row r="393" spans="1:34" x14ac:dyDescent="0.2">
      <c r="A393" s="347">
        <f t="shared" ca="1" si="180"/>
        <v>0.01</v>
      </c>
      <c r="B393" s="304">
        <f t="shared" ca="1" si="181"/>
        <v>3.889999999999961</v>
      </c>
      <c r="D393" s="306">
        <f t="shared" ca="1" si="182"/>
        <v>33.233373380969596</v>
      </c>
      <c r="E393" s="307">
        <f t="shared" ca="1" si="183"/>
        <v>82.140989123865893</v>
      </c>
      <c r="F393" s="304">
        <f t="shared" ca="1" si="184"/>
        <v>88.609250084435274</v>
      </c>
      <c r="G393" s="306">
        <f t="shared" ca="1" si="185"/>
        <v>118.43530552692557</v>
      </c>
      <c r="H393" s="307">
        <f t="shared" ca="1" si="186"/>
        <v>327.5918809582418</v>
      </c>
      <c r="I393" s="304">
        <f t="shared" ca="1" si="187"/>
        <v>348.34374124564812</v>
      </c>
      <c r="J393" s="306">
        <f t="shared" ca="1" si="188"/>
        <v>212.12125168594397</v>
      </c>
      <c r="K393" s="307">
        <f t="shared" ca="1" si="189"/>
        <v>620.06852346198764</v>
      </c>
      <c r="L393" s="304">
        <f t="shared" ca="1" si="174"/>
        <v>655.34754077904427</v>
      </c>
      <c r="M393" s="306">
        <f t="shared" ca="1" si="190"/>
        <v>1.2238842111260164</v>
      </c>
      <c r="N393" s="304">
        <f t="shared" ca="1" si="191"/>
        <v>70.123399910218936</v>
      </c>
      <c r="P393" s="310">
        <f t="shared" ca="1" si="192"/>
        <v>13</v>
      </c>
      <c r="Q393" s="304">
        <f t="shared" ca="1" si="193"/>
        <v>2282.8751933701624</v>
      </c>
      <c r="R393" s="306">
        <f t="shared" ca="1" si="194"/>
        <v>1.372862098704674</v>
      </c>
      <c r="S393" s="307">
        <f t="shared" ca="1" si="195"/>
        <v>15.297753468218028</v>
      </c>
      <c r="T393" s="304">
        <f t="shared" ca="1" si="175"/>
        <v>150.07096152321887</v>
      </c>
      <c r="U393" s="311">
        <f t="shared" ca="1" si="176"/>
        <v>0</v>
      </c>
      <c r="V393" s="306">
        <f t="shared" ca="1" si="177"/>
        <v>1.1513257597445263</v>
      </c>
      <c r="W393" s="304">
        <f t="shared" ca="1" si="178"/>
        <v>790.93532139955676</v>
      </c>
      <c r="Y393" s="314" t="str">
        <f t="shared" ca="1" si="196"/>
        <v/>
      </c>
      <c r="Z393" s="315" t="str">
        <f t="shared" ca="1" si="197"/>
        <v/>
      </c>
      <c r="AA393" s="316" t="str">
        <f t="shared" ca="1" si="198"/>
        <v/>
      </c>
      <c r="AC393" s="310" t="e">
        <f t="shared" ca="1" si="199"/>
        <v>#N/A</v>
      </c>
      <c r="AD393" s="323" t="e">
        <f t="shared" ca="1" si="200"/>
        <v>#N/A</v>
      </c>
      <c r="AE393" s="324">
        <f t="shared" ca="1" si="179"/>
        <v>620.06852346198764</v>
      </c>
      <c r="AG393" s="306">
        <f t="shared" ca="1" si="201"/>
        <v>88.546487744703683</v>
      </c>
      <c r="AH393" s="304">
        <f t="shared" ca="1" si="202"/>
        <v>97.772396447751248</v>
      </c>
    </row>
    <row r="394" spans="1:34" x14ac:dyDescent="0.2">
      <c r="A394" s="347">
        <f t="shared" ca="1" si="180"/>
        <v>0.01</v>
      </c>
      <c r="B394" s="304">
        <f t="shared" ca="1" si="181"/>
        <v>3.8999999999999608</v>
      </c>
      <c r="D394" s="306">
        <f t="shared" ca="1" si="182"/>
        <v>33.207157171027831</v>
      </c>
      <c r="E394" s="307">
        <f t="shared" ca="1" si="183"/>
        <v>82.040947912316909</v>
      </c>
      <c r="F394" s="304">
        <f t="shared" ca="1" si="184"/>
        <v>88.506680096661867</v>
      </c>
      <c r="G394" s="306">
        <f t="shared" ca="1" si="185"/>
        <v>118.76737709863585</v>
      </c>
      <c r="H394" s="307">
        <f t="shared" ca="1" si="186"/>
        <v>328.41229043736496</v>
      </c>
      <c r="I394" s="304">
        <f t="shared" ca="1" si="187"/>
        <v>349.22818095509666</v>
      </c>
      <c r="J394" s="306">
        <f t="shared" ca="1" si="188"/>
        <v>213.30726509907177</v>
      </c>
      <c r="K394" s="307">
        <f t="shared" ca="1" si="189"/>
        <v>623.34854431896565</v>
      </c>
      <c r="L394" s="304">
        <f t="shared" ca="1" si="174"/>
        <v>658.83487843967339</v>
      </c>
      <c r="M394" s="306">
        <f t="shared" ca="1" si="190"/>
        <v>1.2237887046327967</v>
      </c>
      <c r="N394" s="304">
        <f t="shared" ca="1" si="191"/>
        <v>70.117927791241343</v>
      </c>
      <c r="P394" s="310">
        <f t="shared" ca="1" si="192"/>
        <v>13</v>
      </c>
      <c r="Q394" s="304">
        <f t="shared" ca="1" si="193"/>
        <v>2283.7163812154663</v>
      </c>
      <c r="R394" s="306">
        <f t="shared" ca="1" si="194"/>
        <v>1.3733679673189823</v>
      </c>
      <c r="S394" s="307">
        <f t="shared" ca="1" si="195"/>
        <v>15.284019788544839</v>
      </c>
      <c r="T394" s="304">
        <f t="shared" ca="1" si="175"/>
        <v>149.93623412562488</v>
      </c>
      <c r="U394" s="311">
        <f t="shared" ca="1" si="176"/>
        <v>0</v>
      </c>
      <c r="V394" s="306">
        <f t="shared" ca="1" si="177"/>
        <v>1.1509478192738904</v>
      </c>
      <c r="W394" s="304">
        <f t="shared" ca="1" si="178"/>
        <v>794.69580991167948</v>
      </c>
      <c r="Y394" s="314" t="str">
        <f t="shared" ca="1" si="196"/>
        <v/>
      </c>
      <c r="Z394" s="315" t="str">
        <f t="shared" ca="1" si="197"/>
        <v/>
      </c>
      <c r="AA394" s="316" t="str">
        <f t="shared" ca="1" si="198"/>
        <v/>
      </c>
      <c r="AC394" s="310" t="e">
        <f t="shared" ca="1" si="199"/>
        <v>#N/A</v>
      </c>
      <c r="AD394" s="323" t="e">
        <f t="shared" ca="1" si="200"/>
        <v>#N/A</v>
      </c>
      <c r="AE394" s="324">
        <f t="shared" ca="1" si="179"/>
        <v>623.34854431896565</v>
      </c>
      <c r="AG394" s="306">
        <f t="shared" ca="1" si="201"/>
        <v>88.443811670778075</v>
      </c>
      <c r="AH394" s="304">
        <f t="shared" ca="1" si="202"/>
        <v>97.669401143717977</v>
      </c>
    </row>
    <row r="395" spans="1:34" x14ac:dyDescent="0.2">
      <c r="A395" s="347">
        <f t="shared" ca="1" si="180"/>
        <v>0.01</v>
      </c>
      <c r="B395" s="304">
        <f t="shared" ca="1" si="181"/>
        <v>3.9099999999999606</v>
      </c>
      <c r="D395" s="306">
        <f t="shared" ca="1" si="182"/>
        <v>33.180797982689164</v>
      </c>
      <c r="E395" s="307">
        <f t="shared" ca="1" si="183"/>
        <v>81.940631614812389</v>
      </c>
      <c r="F395" s="304">
        <f t="shared" ca="1" si="184"/>
        <v>88.403803448734152</v>
      </c>
      <c r="G395" s="306">
        <f t="shared" ca="1" si="185"/>
        <v>119.09918507846274</v>
      </c>
      <c r="H395" s="307">
        <f t="shared" ca="1" si="186"/>
        <v>329.23169675351306</v>
      </c>
      <c r="I395" s="304">
        <f t="shared" ca="1" si="187"/>
        <v>350.11159083005396</v>
      </c>
      <c r="J395" s="306">
        <f t="shared" ca="1" si="188"/>
        <v>214.49659790995727</v>
      </c>
      <c r="K395" s="307">
        <f t="shared" ca="1" si="189"/>
        <v>626.63676425492008</v>
      </c>
      <c r="L395" s="304">
        <f t="shared" ca="1" si="174"/>
        <v>662.33105380226755</v>
      </c>
      <c r="M395" s="306">
        <f t="shared" ca="1" si="190"/>
        <v>1.223693413957895</v>
      </c>
      <c r="N395" s="304">
        <f t="shared" ca="1" si="191"/>
        <v>70.112468037742531</v>
      </c>
      <c r="P395" s="310">
        <f t="shared" ca="1" si="192"/>
        <v>13</v>
      </c>
      <c r="Q395" s="304">
        <f t="shared" ca="1" si="193"/>
        <v>2284.5575690607702</v>
      </c>
      <c r="R395" s="306">
        <f t="shared" ca="1" si="194"/>
        <v>1.3738738359332905</v>
      </c>
      <c r="S395" s="307">
        <f t="shared" ca="1" si="195"/>
        <v>15.270281050185506</v>
      </c>
      <c r="T395" s="304">
        <f t="shared" ca="1" si="175"/>
        <v>149.80145710231983</v>
      </c>
      <c r="U395" s="311">
        <f t="shared" ca="1" si="176"/>
        <v>0</v>
      </c>
      <c r="V395" s="306">
        <f t="shared" ca="1" si="177"/>
        <v>1.15056905471448</v>
      </c>
      <c r="W395" s="304">
        <f t="shared" ca="1" si="178"/>
        <v>798.4585798234483</v>
      </c>
      <c r="Y395" s="314" t="str">
        <f t="shared" ca="1" si="196"/>
        <v/>
      </c>
      <c r="Z395" s="315" t="str">
        <f t="shared" ca="1" si="197"/>
        <v/>
      </c>
      <c r="AA395" s="316" t="str">
        <f t="shared" ca="1" si="198"/>
        <v/>
      </c>
      <c r="AC395" s="310" t="e">
        <f t="shared" ca="1" si="199"/>
        <v>#N/A</v>
      </c>
      <c r="AD395" s="323" t="e">
        <f t="shared" ca="1" si="200"/>
        <v>#N/A</v>
      </c>
      <c r="AE395" s="324">
        <f t="shared" ca="1" si="179"/>
        <v>626.63676425492008</v>
      </c>
      <c r="AG395" s="306">
        <f t="shared" ca="1" si="201"/>
        <v>88.34082853959427</v>
      </c>
      <c r="AH395" s="304">
        <f t="shared" ca="1" si="202"/>
        <v>97.56609942231492</v>
      </c>
    </row>
    <row r="396" spans="1:34" x14ac:dyDescent="0.2">
      <c r="A396" s="347">
        <f t="shared" ca="1" si="180"/>
        <v>0.01</v>
      </c>
      <c r="B396" s="304">
        <f t="shared" ca="1" si="181"/>
        <v>3.9199999999999604</v>
      </c>
      <c r="D396" s="306">
        <f t="shared" ca="1" si="182"/>
        <v>33.154296991485147</v>
      </c>
      <c r="E396" s="307">
        <f t="shared" ca="1" si="183"/>
        <v>81.840043163481212</v>
      </c>
      <c r="F396" s="304">
        <f t="shared" ca="1" si="184"/>
        <v>88.300623293383779</v>
      </c>
      <c r="G396" s="306">
        <f t="shared" ca="1" si="185"/>
        <v>119.43072804837759</v>
      </c>
      <c r="H396" s="307">
        <f t="shared" ca="1" si="186"/>
        <v>330.05009718514788</v>
      </c>
      <c r="I396" s="304">
        <f t="shared" ca="1" si="187"/>
        <v>350.99396783148723</v>
      </c>
      <c r="J396" s="306">
        <f t="shared" ca="1" si="188"/>
        <v>215.68924747559149</v>
      </c>
      <c r="K396" s="307">
        <f t="shared" ca="1" si="189"/>
        <v>629.93317322461337</v>
      </c>
      <c r="L396" s="304">
        <f t="shared" ca="1" si="174"/>
        <v>665.83605655252529</v>
      </c>
      <c r="M396" s="306">
        <f t="shared" ca="1" si="190"/>
        <v>1.2235983377927449</v>
      </c>
      <c r="N396" s="304">
        <f t="shared" ca="1" si="191"/>
        <v>70.107020574747139</v>
      </c>
      <c r="P396" s="310">
        <f t="shared" ca="1" si="192"/>
        <v>13</v>
      </c>
      <c r="Q396" s="304">
        <f t="shared" ca="1" si="193"/>
        <v>2285.3987569060737</v>
      </c>
      <c r="R396" s="306">
        <f t="shared" ca="1" si="194"/>
        <v>1.3743797045475983</v>
      </c>
      <c r="S396" s="307">
        <f t="shared" ca="1" si="195"/>
        <v>15.25653725314003</v>
      </c>
      <c r="T396" s="304">
        <f t="shared" ca="1" si="175"/>
        <v>149.6666304533037</v>
      </c>
      <c r="U396" s="311">
        <f t="shared" ca="1" si="176"/>
        <v>0</v>
      </c>
      <c r="V396" s="306">
        <f t="shared" ca="1" si="177"/>
        <v>1.1501894680684965</v>
      </c>
      <c r="W396" s="304">
        <f t="shared" ca="1" si="178"/>
        <v>802.22356902210674</v>
      </c>
      <c r="Y396" s="314" t="str">
        <f t="shared" ca="1" si="196"/>
        <v/>
      </c>
      <c r="Z396" s="315" t="str">
        <f t="shared" ca="1" si="197"/>
        <v/>
      </c>
      <c r="AA396" s="316" t="str">
        <f t="shared" ca="1" si="198"/>
        <v/>
      </c>
      <c r="AC396" s="310" t="e">
        <f t="shared" ca="1" si="199"/>
        <v>#N/A</v>
      </c>
      <c r="AD396" s="323" t="e">
        <f t="shared" ca="1" si="200"/>
        <v>#N/A</v>
      </c>
      <c r="AE396" s="324">
        <f t="shared" ca="1" si="179"/>
        <v>629.93317322461337</v>
      </c>
      <c r="AG396" s="306">
        <f t="shared" ca="1" si="201"/>
        <v>88.237541503230318</v>
      </c>
      <c r="AH396" s="304">
        <f t="shared" ca="1" si="202"/>
        <v>97.462494431794482</v>
      </c>
    </row>
    <row r="397" spans="1:34" x14ac:dyDescent="0.2">
      <c r="A397" s="347">
        <f t="shared" ca="1" si="180"/>
        <v>0.01</v>
      </c>
      <c r="B397" s="304">
        <f t="shared" ca="1" si="181"/>
        <v>3.9299999999999602</v>
      </c>
      <c r="D397" s="306">
        <f t="shared" ca="1" si="182"/>
        <v>33.127655374005379</v>
      </c>
      <c r="E397" s="307">
        <f t="shared" ca="1" si="183"/>
        <v>81.739185493348373</v>
      </c>
      <c r="F397" s="304">
        <f t="shared" ca="1" si="184"/>
        <v>88.197142786458116</v>
      </c>
      <c r="G397" s="306">
        <f t="shared" ca="1" si="185"/>
        <v>119.76200460211764</v>
      </c>
      <c r="H397" s="307">
        <f t="shared" ca="1" si="186"/>
        <v>330.86748904008135</v>
      </c>
      <c r="I397" s="304">
        <f t="shared" ca="1" si="187"/>
        <v>351.87530895191554</v>
      </c>
      <c r="J397" s="306">
        <f t="shared" ca="1" si="188"/>
        <v>216.88521113884397</v>
      </c>
      <c r="K397" s="307">
        <f t="shared" ca="1" si="189"/>
        <v>633.23776115573946</v>
      </c>
      <c r="L397" s="304">
        <f t="shared" ca="1" si="174"/>
        <v>669.34987634590198</v>
      </c>
      <c r="M397" s="306">
        <f t="shared" ca="1" si="190"/>
        <v>1.2235034748393532</v>
      </c>
      <c r="N397" s="304">
        <f t="shared" ca="1" si="191"/>
        <v>70.101585327885644</v>
      </c>
      <c r="P397" s="310">
        <f t="shared" ca="1" si="192"/>
        <v>13</v>
      </c>
      <c r="Q397" s="304">
        <f t="shared" ca="1" si="193"/>
        <v>2286.2399447513776</v>
      </c>
      <c r="R397" s="306">
        <f t="shared" ca="1" si="194"/>
        <v>1.3748855731619065</v>
      </c>
      <c r="S397" s="307">
        <f t="shared" ca="1" si="195"/>
        <v>15.242788397408411</v>
      </c>
      <c r="T397" s="304">
        <f t="shared" ca="1" si="175"/>
        <v>149.53175417857653</v>
      </c>
      <c r="U397" s="311">
        <f t="shared" ca="1" si="176"/>
        <v>0</v>
      </c>
      <c r="V397" s="306">
        <f t="shared" ca="1" si="177"/>
        <v>1.1498090613411971</v>
      </c>
      <c r="W397" s="304">
        <f t="shared" ca="1" si="178"/>
        <v>805.99071551340319</v>
      </c>
      <c r="Y397" s="314" t="str">
        <f t="shared" ca="1" si="196"/>
        <v/>
      </c>
      <c r="Z397" s="315" t="str">
        <f t="shared" ca="1" si="197"/>
        <v/>
      </c>
      <c r="AA397" s="316" t="str">
        <f t="shared" ca="1" si="198"/>
        <v/>
      </c>
      <c r="AC397" s="310" t="e">
        <f t="shared" ca="1" si="199"/>
        <v>#N/A</v>
      </c>
      <c r="AD397" s="323" t="e">
        <f t="shared" ca="1" si="200"/>
        <v>#N/A</v>
      </c>
      <c r="AE397" s="324">
        <f t="shared" ca="1" si="179"/>
        <v>633.23776115573946</v>
      </c>
      <c r="AG397" s="306">
        <f t="shared" ca="1" si="201"/>
        <v>88.133953716889437</v>
      </c>
      <c r="AH397" s="304">
        <f t="shared" ca="1" si="202"/>
        <v>97.358589323563933</v>
      </c>
    </row>
    <row r="398" spans="1:34" x14ac:dyDescent="0.2">
      <c r="A398" s="347">
        <f t="shared" ca="1" si="180"/>
        <v>0.01</v>
      </c>
      <c r="B398" s="304">
        <f t="shared" ca="1" si="181"/>
        <v>3.93999999999996</v>
      </c>
      <c r="D398" s="306">
        <f t="shared" ca="1" si="182"/>
        <v>33.100874307851157</v>
      </c>
      <c r="E398" s="307">
        <f t="shared" ca="1" si="183"/>
        <v>81.638061542186293</v>
      </c>
      <c r="F398" s="304">
        <f t="shared" ca="1" si="184"/>
        <v>88.093365086764379</v>
      </c>
      <c r="G398" s="306">
        <f t="shared" ca="1" si="185"/>
        <v>120.09301334519616</v>
      </c>
      <c r="H398" s="307">
        <f t="shared" ca="1" si="186"/>
        <v>331.6838696555032</v>
      </c>
      <c r="I398" s="304">
        <f t="shared" ca="1" si="187"/>
        <v>352.7556112154395</v>
      </c>
      <c r="J398" s="306">
        <f t="shared" ca="1" si="188"/>
        <v>218.08448622858054</v>
      </c>
      <c r="K398" s="307">
        <f t="shared" ca="1" si="189"/>
        <v>636.55051794921735</v>
      </c>
      <c r="L398" s="304">
        <f t="shared" ca="1" si="174"/>
        <v>672.87250280792489</v>
      </c>
      <c r="M398" s="306">
        <f t="shared" ca="1" si="190"/>
        <v>1.2234088238101914</v>
      </c>
      <c r="N398" s="304">
        <f t="shared" ca="1" si="191"/>
        <v>70.096162223388106</v>
      </c>
      <c r="P398" s="310">
        <f t="shared" ca="1" si="192"/>
        <v>13</v>
      </c>
      <c r="Q398" s="304">
        <f t="shared" ca="1" si="193"/>
        <v>2287.0811325966815</v>
      </c>
      <c r="R398" s="306">
        <f t="shared" ca="1" si="194"/>
        <v>1.3753914417762148</v>
      </c>
      <c r="S398" s="307">
        <f t="shared" ca="1" si="195"/>
        <v>15.229034482990649</v>
      </c>
      <c r="T398" s="304">
        <f t="shared" ca="1" si="175"/>
        <v>149.39682827813826</v>
      </c>
      <c r="U398" s="311">
        <f t="shared" ca="1" si="176"/>
        <v>0</v>
      </c>
      <c r="V398" s="306">
        <f t="shared" ca="1" si="177"/>
        <v>1.1494278365408443</v>
      </c>
      <c r="W398" s="304">
        <f t="shared" ca="1" si="178"/>
        <v>809.75995742433315</v>
      </c>
      <c r="Y398" s="314" t="str">
        <f t="shared" ca="1" si="196"/>
        <v/>
      </c>
      <c r="Z398" s="315" t="str">
        <f t="shared" ca="1" si="197"/>
        <v/>
      </c>
      <c r="AA398" s="316" t="str">
        <f t="shared" ca="1" si="198"/>
        <v/>
      </c>
      <c r="AC398" s="310" t="e">
        <f t="shared" ca="1" si="199"/>
        <v>#N/A</v>
      </c>
      <c r="AD398" s="323" t="e">
        <f t="shared" ca="1" si="200"/>
        <v>#N/A</v>
      </c>
      <c r="AE398" s="324">
        <f t="shared" ca="1" si="179"/>
        <v>636.55051794921735</v>
      </c>
      <c r="AG398" s="306">
        <f t="shared" ca="1" si="201"/>
        <v>88.030068338744044</v>
      </c>
      <c r="AH398" s="304">
        <f t="shared" ca="1" si="202"/>
        <v>97.254387252029161</v>
      </c>
    </row>
    <row r="399" spans="1:34" x14ac:dyDescent="0.2">
      <c r="A399" s="347">
        <f t="shared" ca="1" si="180"/>
        <v>0.01</v>
      </c>
      <c r="B399" s="304">
        <f t="shared" ca="1" si="181"/>
        <v>3.9499999999999598</v>
      </c>
      <c r="D399" s="306">
        <f t="shared" ca="1" si="182"/>
        <v>33.073954971589025</v>
      </c>
      <c r="E399" s="307">
        <f t="shared" ca="1" si="183"/>
        <v>81.536674250366175</v>
      </c>
      <c r="F399" s="304">
        <f t="shared" ca="1" si="184"/>
        <v>87.989293355913617</v>
      </c>
      <c r="G399" s="306">
        <f t="shared" ca="1" si="185"/>
        <v>120.42375289491204</v>
      </c>
      <c r="H399" s="307">
        <f t="shared" ca="1" si="186"/>
        <v>332.49923639800687</v>
      </c>
      <c r="I399" s="304">
        <f t="shared" ca="1" si="187"/>
        <v>353.63487167776947</v>
      </c>
      <c r="J399" s="306">
        <f t="shared" ca="1" si="188"/>
        <v>219.28707005978109</v>
      </c>
      <c r="K399" s="307">
        <f t="shared" ca="1" si="189"/>
        <v>639.87143347948495</v>
      </c>
      <c r="L399" s="304">
        <f t="shared" ca="1" si="174"/>
        <v>676.40392553450954</v>
      </c>
      <c r="M399" s="306">
        <f t="shared" ca="1" si="190"/>
        <v>1.2233143834280862</v>
      </c>
      <c r="N399" s="304">
        <f t="shared" ca="1" si="191"/>
        <v>70.090751188077874</v>
      </c>
      <c r="P399" s="310">
        <f t="shared" ca="1" si="192"/>
        <v>13</v>
      </c>
      <c r="Q399" s="304">
        <f t="shared" ca="1" si="193"/>
        <v>2287.9223204419854</v>
      </c>
      <c r="R399" s="306">
        <f t="shared" ca="1" si="194"/>
        <v>1.375897310390523</v>
      </c>
      <c r="S399" s="307">
        <f t="shared" ca="1" si="195"/>
        <v>15.215275509886743</v>
      </c>
      <c r="T399" s="304">
        <f t="shared" ca="1" si="175"/>
        <v>149.26185275198895</v>
      </c>
      <c r="U399" s="311">
        <f t="shared" ca="1" si="176"/>
        <v>0</v>
      </c>
      <c r="V399" s="306">
        <f t="shared" ca="1" si="177"/>
        <v>1.1490457956786575</v>
      </c>
      <c r="W399" s="304">
        <f t="shared" ca="1" si="178"/>
        <v>813.53123300586356</v>
      </c>
      <c r="Y399" s="314" t="str">
        <f t="shared" ca="1" si="196"/>
        <v/>
      </c>
      <c r="Z399" s="315" t="str">
        <f t="shared" ca="1" si="197"/>
        <v/>
      </c>
      <c r="AA399" s="316" t="str">
        <f t="shared" ca="1" si="198"/>
        <v/>
      </c>
      <c r="AC399" s="310" t="e">
        <f t="shared" ca="1" si="199"/>
        <v>#N/A</v>
      </c>
      <c r="AD399" s="323" t="e">
        <f t="shared" ca="1" si="200"/>
        <v>#N/A</v>
      </c>
      <c r="AE399" s="324">
        <f t="shared" ca="1" si="179"/>
        <v>639.87143347948495</v>
      </c>
      <c r="AG399" s="306">
        <f t="shared" ca="1" si="201"/>
        <v>87.925888529779982</v>
      </c>
      <c r="AH399" s="304">
        <f t="shared" ca="1" si="202"/>
        <v>97.149891374438553</v>
      </c>
    </row>
    <row r="400" spans="1:34" x14ac:dyDescent="0.2">
      <c r="A400" s="347">
        <f t="shared" ca="1" si="180"/>
        <v>0.01</v>
      </c>
      <c r="B400" s="304">
        <f t="shared" ca="1" si="181"/>
        <v>3.9599999999999596</v>
      </c>
      <c r="D400" s="306">
        <f t="shared" ca="1" si="182"/>
        <v>33.046898544704348</v>
      </c>
      <c r="E400" s="307">
        <f t="shared" ca="1" si="183"/>
        <v>81.435026560709815</v>
      </c>
      <c r="F400" s="304">
        <f t="shared" ca="1" si="184"/>
        <v>87.884930758165211</v>
      </c>
      <c r="G400" s="306">
        <f t="shared" ca="1" si="185"/>
        <v>120.75422188035908</v>
      </c>
      <c r="H400" s="307">
        <f t="shared" ca="1" si="186"/>
        <v>333.31358666361399</v>
      </c>
      <c r="I400" s="304">
        <f t="shared" ca="1" si="187"/>
        <v>354.51308742625213</v>
      </c>
      <c r="J400" s="306">
        <f t="shared" ca="1" si="188"/>
        <v>220.49295993365743</v>
      </c>
      <c r="K400" s="307">
        <f t="shared" ca="1" si="189"/>
        <v>643.20049759479309</v>
      </c>
      <c r="L400" s="304">
        <f t="shared" ca="1" si="174"/>
        <v>679.94413409227593</v>
      </c>
      <c r="M400" s="306">
        <f t="shared" ca="1" si="190"/>
        <v>1.223220152426111</v>
      </c>
      <c r="N400" s="304">
        <f t="shared" ca="1" si="191"/>
        <v>70.085352149365406</v>
      </c>
      <c r="P400" s="310">
        <f t="shared" ca="1" si="192"/>
        <v>13</v>
      </c>
      <c r="Q400" s="304">
        <f t="shared" ca="1" si="193"/>
        <v>2288.7635082872894</v>
      </c>
      <c r="R400" s="306">
        <f t="shared" ca="1" si="194"/>
        <v>1.3764031790048312</v>
      </c>
      <c r="S400" s="307">
        <f t="shared" ca="1" si="195"/>
        <v>15.201511478096695</v>
      </c>
      <c r="T400" s="304">
        <f t="shared" ca="1" si="175"/>
        <v>149.12682760012859</v>
      </c>
      <c r="U400" s="311">
        <f t="shared" ca="1" si="176"/>
        <v>0</v>
      </c>
      <c r="V400" s="306">
        <f t="shared" ca="1" si="177"/>
        <v>1.1486629407687607</v>
      </c>
      <c r="W400" s="304">
        <f t="shared" ca="1" si="178"/>
        <v>817.30448063563676</v>
      </c>
      <c r="Y400" s="314" t="str">
        <f t="shared" ca="1" si="196"/>
        <v/>
      </c>
      <c r="Z400" s="315" t="str">
        <f t="shared" ca="1" si="197"/>
        <v/>
      </c>
      <c r="AA400" s="316" t="str">
        <f t="shared" ca="1" si="198"/>
        <v/>
      </c>
      <c r="AC400" s="310" t="e">
        <f t="shared" ca="1" si="199"/>
        <v>#N/A</v>
      </c>
      <c r="AD400" s="323" t="e">
        <f t="shared" ca="1" si="200"/>
        <v>#N/A</v>
      </c>
      <c r="AE400" s="324">
        <f t="shared" ca="1" si="179"/>
        <v>643.20049759479309</v>
      </c>
      <c r="AG400" s="306">
        <f t="shared" ca="1" si="201"/>
        <v>87.821417453640905</v>
      </c>
      <c r="AH400" s="304">
        <f t="shared" ca="1" si="202"/>
        <v>97.045104850727128</v>
      </c>
    </row>
    <row r="401" spans="1:34" x14ac:dyDescent="0.2">
      <c r="A401" s="347">
        <f t="shared" ca="1" si="180"/>
        <v>0.01</v>
      </c>
      <c r="B401" s="304">
        <f t="shared" ca="1" si="181"/>
        <v>3.9699999999999593</v>
      </c>
      <c r="D401" s="306">
        <f t="shared" ca="1" si="182"/>
        <v>33.019706207554968</v>
      </c>
      <c r="E401" s="307">
        <f t="shared" ca="1" si="183"/>
        <v>81.333121418341747</v>
      </c>
      <c r="F401" s="304">
        <f t="shared" ca="1" si="184"/>
        <v>87.78028046027174</v>
      </c>
      <c r="G401" s="306">
        <f t="shared" ca="1" si="185"/>
        <v>121.08441894243464</v>
      </c>
      <c r="H401" s="307">
        <f t="shared" ca="1" si="186"/>
        <v>334.12691787779738</v>
      </c>
      <c r="I401" s="304">
        <f t="shared" ca="1" si="187"/>
        <v>355.39025557989538</v>
      </c>
      <c r="J401" s="306">
        <f t="shared" ca="1" si="188"/>
        <v>221.7021531377714</v>
      </c>
      <c r="K401" s="307">
        <f t="shared" ca="1" si="189"/>
        <v>646.53770011750009</v>
      </c>
      <c r="L401" s="304">
        <f t="shared" ca="1" si="174"/>
        <v>683.49311801886518</v>
      </c>
      <c r="M401" s="306">
        <f t="shared" ca="1" si="190"/>
        <v>1.2231261295474829</v>
      </c>
      <c r="N401" s="304">
        <f t="shared" ca="1" si="191"/>
        <v>70.079965035242353</v>
      </c>
      <c r="P401" s="310">
        <f t="shared" ca="1" si="192"/>
        <v>13</v>
      </c>
      <c r="Q401" s="304">
        <f t="shared" ca="1" si="193"/>
        <v>2289.6046961325933</v>
      </c>
      <c r="R401" s="306">
        <f t="shared" ca="1" si="194"/>
        <v>1.3769090476191395</v>
      </c>
      <c r="S401" s="307">
        <f t="shared" ca="1" si="195"/>
        <v>15.187742387620503</v>
      </c>
      <c r="T401" s="304">
        <f t="shared" ca="1" si="175"/>
        <v>148.99175282255715</v>
      </c>
      <c r="U401" s="311">
        <f t="shared" ca="1" si="176"/>
        <v>0</v>
      </c>
      <c r="V401" s="306">
        <f t="shared" ca="1" si="177"/>
        <v>1.1482792738281316</v>
      </c>
      <c r="W401" s="304">
        <f t="shared" ca="1" si="178"/>
        <v>821.07963882065496</v>
      </c>
      <c r="Y401" s="314" t="str">
        <f t="shared" ca="1" si="196"/>
        <v/>
      </c>
      <c r="Z401" s="315" t="str">
        <f t="shared" ca="1" si="197"/>
        <v/>
      </c>
      <c r="AA401" s="316" t="str">
        <f t="shared" ca="1" si="198"/>
        <v/>
      </c>
      <c r="AC401" s="310" t="e">
        <f t="shared" ca="1" si="199"/>
        <v>#N/A</v>
      </c>
      <c r="AD401" s="323" t="e">
        <f t="shared" ca="1" si="200"/>
        <v>#N/A</v>
      </c>
      <c r="AE401" s="324">
        <f t="shared" ca="1" si="179"/>
        <v>646.53770011750009</v>
      </c>
      <c r="AG401" s="306">
        <f t="shared" ca="1" si="201"/>
        <v>87.716658276473268</v>
      </c>
      <c r="AH401" s="304">
        <f t="shared" ca="1" si="202"/>
        <v>96.940030843361242</v>
      </c>
    </row>
    <row r="402" spans="1:34" x14ac:dyDescent="0.2">
      <c r="A402" s="347">
        <f t="shared" ca="1" si="180"/>
        <v>0.01</v>
      </c>
      <c r="B402" s="304">
        <f t="shared" ca="1" si="181"/>
        <v>3.9799999999999591</v>
      </c>
      <c r="D402" s="306">
        <f t="shared" ca="1" si="182"/>
        <v>32.992379141324484</v>
      </c>
      <c r="E402" s="307">
        <f t="shared" ca="1" si="183"/>
        <v>81.230961770541967</v>
      </c>
      <c r="F402" s="304">
        <f t="shared" ca="1" si="184"/>
        <v>87.675345631324163</v>
      </c>
      <c r="G402" s="306">
        <f t="shared" ca="1" si="185"/>
        <v>121.41434273384789</v>
      </c>
      <c r="H402" s="307">
        <f t="shared" ca="1" si="186"/>
        <v>334.93922749550279</v>
      </c>
      <c r="I402" s="304">
        <f t="shared" ca="1" si="187"/>
        <v>356.26637328939211</v>
      </c>
      <c r="J402" s="306">
        <f t="shared" ca="1" si="188"/>
        <v>222.91464694615283</v>
      </c>
      <c r="K402" s="307">
        <f t="shared" ca="1" si="189"/>
        <v>649.88303084436654</v>
      </c>
      <c r="L402" s="304">
        <f t="shared" ca="1" si="174"/>
        <v>687.05086682325634</v>
      </c>
      <c r="M402" s="306">
        <f t="shared" ca="1" si="190"/>
        <v>1.2230323135454564</v>
      </c>
      <c r="N402" s="304">
        <f t="shared" ca="1" si="191"/>
        <v>70.074589774275438</v>
      </c>
      <c r="P402" s="310">
        <f t="shared" ca="1" si="192"/>
        <v>13</v>
      </c>
      <c r="Q402" s="304">
        <f t="shared" ca="1" si="193"/>
        <v>2290.4458839778968</v>
      </c>
      <c r="R402" s="306">
        <f t="shared" ca="1" si="194"/>
        <v>1.3774149162334475</v>
      </c>
      <c r="S402" s="307">
        <f t="shared" ca="1" si="195"/>
        <v>15.173968238458169</v>
      </c>
      <c r="T402" s="304">
        <f t="shared" ca="1" si="175"/>
        <v>148.85662841927464</v>
      </c>
      <c r="U402" s="311">
        <f t="shared" ca="1" si="176"/>
        <v>0</v>
      </c>
      <c r="V402" s="306">
        <f t="shared" ca="1" si="177"/>
        <v>1.1478947968765523</v>
      </c>
      <c r="W402" s="304">
        <f t="shared" ca="1" si="178"/>
        <v>824.85664619995168</v>
      </c>
      <c r="Y402" s="314" t="str">
        <f t="shared" ca="1" si="196"/>
        <v/>
      </c>
      <c r="Z402" s="315" t="str">
        <f t="shared" ca="1" si="197"/>
        <v/>
      </c>
      <c r="AA402" s="316" t="str">
        <f t="shared" ca="1" si="198"/>
        <v/>
      </c>
      <c r="AC402" s="310" t="e">
        <f t="shared" ca="1" si="199"/>
        <v>#N/A</v>
      </c>
      <c r="AD402" s="323" t="e">
        <f t="shared" ca="1" si="200"/>
        <v>#N/A</v>
      </c>
      <c r="AE402" s="324">
        <f t="shared" ca="1" si="179"/>
        <v>649.88303084436654</v>
      </c>
      <c r="AG402" s="306">
        <f t="shared" ca="1" si="201"/>
        <v>87.611614166771631</v>
      </c>
      <c r="AH402" s="304">
        <f t="shared" ca="1" si="202"/>
        <v>96.834672517183577</v>
      </c>
    </row>
    <row r="403" spans="1:34" x14ac:dyDescent="0.2">
      <c r="A403" s="347">
        <f t="shared" ca="1" si="180"/>
        <v>0.01</v>
      </c>
      <c r="B403" s="304">
        <f t="shared" ca="1" si="181"/>
        <v>3.9899999999999589</v>
      </c>
      <c r="D403" s="306">
        <f t="shared" ca="1" si="182"/>
        <v>32.964918527975819</v>
      </c>
      <c r="E403" s="307">
        <f t="shared" ca="1" si="183"/>
        <v>81.12855056659896</v>
      </c>
      <c r="F403" s="304">
        <f t="shared" ca="1" si="184"/>
        <v>87.570129442597533</v>
      </c>
      <c r="G403" s="306">
        <f t="shared" ca="1" si="185"/>
        <v>121.74399191912765</v>
      </c>
      <c r="H403" s="307">
        <f t="shared" ca="1" si="186"/>
        <v>335.75051300116877</v>
      </c>
      <c r="I403" s="304">
        <f t="shared" ca="1" si="187"/>
        <v>357.14143773714164</v>
      </c>
      <c r="J403" s="306">
        <f t="shared" ca="1" si="188"/>
        <v>224.1304386194177</v>
      </c>
      <c r="K403" s="307">
        <f t="shared" ca="1" si="189"/>
        <v>653.23647954684986</v>
      </c>
      <c r="L403" s="304">
        <f t="shared" ca="1" si="174"/>
        <v>690.61736998608319</v>
      </c>
      <c r="M403" s="306">
        <f t="shared" ca="1" si="190"/>
        <v>1.2229387031832213</v>
      </c>
      <c r="N403" s="304">
        <f t="shared" ca="1" si="191"/>
        <v>70.069226295600672</v>
      </c>
      <c r="P403" s="310">
        <f t="shared" ca="1" si="192"/>
        <v>13</v>
      </c>
      <c r="Q403" s="304">
        <f t="shared" ca="1" si="193"/>
        <v>2291.2870718232007</v>
      </c>
      <c r="R403" s="306">
        <f t="shared" ca="1" si="194"/>
        <v>1.3779207848477557</v>
      </c>
      <c r="S403" s="307">
        <f t="shared" ca="1" si="195"/>
        <v>15.160189030609692</v>
      </c>
      <c r="T403" s="304">
        <f t="shared" ca="1" si="175"/>
        <v>148.72145439028108</v>
      </c>
      <c r="U403" s="311">
        <f t="shared" ca="1" si="176"/>
        <v>0</v>
      </c>
      <c r="V403" s="306">
        <f t="shared" ca="1" si="177"/>
        <v>1.1475095119365575</v>
      </c>
      <c r="W403" s="304">
        <f t="shared" ca="1" si="178"/>
        <v>828.63544154723559</v>
      </c>
      <c r="Y403" s="314" t="str">
        <f t="shared" ca="1" si="196"/>
        <v/>
      </c>
      <c r="Z403" s="315" t="str">
        <f t="shared" ca="1" si="197"/>
        <v/>
      </c>
      <c r="AA403" s="316" t="str">
        <f t="shared" ca="1" si="198"/>
        <v/>
      </c>
      <c r="AC403" s="310" t="e">
        <f t="shared" ca="1" si="199"/>
        <v>#N/A</v>
      </c>
      <c r="AD403" s="323" t="e">
        <f t="shared" ca="1" si="200"/>
        <v>#N/A</v>
      </c>
      <c r="AE403" s="324">
        <f t="shared" ca="1" si="179"/>
        <v>653.23647954684986</v>
      </c>
      <c r="AG403" s="306">
        <f t="shared" ca="1" si="201"/>
        <v>87.506288295224252</v>
      </c>
      <c r="AH403" s="304">
        <f t="shared" ca="1" si="202"/>
        <v>96.729033039258496</v>
      </c>
    </row>
    <row r="404" spans="1:34" x14ac:dyDescent="0.2">
      <c r="A404" s="347">
        <f t="shared" ca="1" si="180"/>
        <v>0.01</v>
      </c>
      <c r="B404" s="304">
        <f t="shared" ca="1" si="181"/>
        <v>3.9999999999999587</v>
      </c>
      <c r="D404" s="306">
        <f t="shared" ca="1" si="182"/>
        <v>32.937325550204612</v>
      </c>
      <c r="E404" s="307">
        <f t="shared" ca="1" si="183"/>
        <v>81.025890757663163</v>
      </c>
      <c r="F404" s="304">
        <f t="shared" ca="1" si="184"/>
        <v>87.464635067396955</v>
      </c>
      <c r="G404" s="306">
        <f t="shared" ca="1" si="185"/>
        <v>122.0733651746297</v>
      </c>
      <c r="H404" s="307">
        <f t="shared" ca="1" si="186"/>
        <v>336.56077190874538</v>
      </c>
      <c r="I404" s="304">
        <f t="shared" ca="1" si="187"/>
        <v>358.01544613727077</v>
      </c>
      <c r="J404" s="306">
        <f t="shared" ca="1" si="188"/>
        <v>225.34952540488649</v>
      </c>
      <c r="K404" s="307">
        <f t="shared" ca="1" si="189"/>
        <v>656.59803597139944</v>
      </c>
      <c r="L404" s="304">
        <f t="shared" ca="1" si="174"/>
        <v>694.19261695995215</v>
      </c>
      <c r="M404" s="306">
        <f t="shared" ca="1" si="190"/>
        <v>1.2228452972338002</v>
      </c>
      <c r="N404" s="304">
        <f t="shared" ca="1" si="191"/>
        <v>70.063874528917438</v>
      </c>
      <c r="P404" s="310">
        <f t="shared" ca="1" si="192"/>
        <v>13</v>
      </c>
      <c r="Q404" s="304">
        <f t="shared" ca="1" si="193"/>
        <v>2292.1282596685046</v>
      </c>
      <c r="R404" s="306">
        <f t="shared" ca="1" si="194"/>
        <v>1.3784266534620639</v>
      </c>
      <c r="S404" s="307">
        <f t="shared" ca="1" si="195"/>
        <v>15.14640476407507</v>
      </c>
      <c r="T404" s="304">
        <f t="shared" ca="1" si="175"/>
        <v>148.58623073557644</v>
      </c>
      <c r="U404" s="311">
        <f t="shared" ca="1" si="176"/>
        <v>0</v>
      </c>
      <c r="V404" s="306">
        <f t="shared" ca="1" si="177"/>
        <v>1.1471234210333858</v>
      </c>
      <c r="W404" s="304">
        <f t="shared" ca="1" si="178"/>
        <v>832.41596377352607</v>
      </c>
      <c r="Y404" s="314" t="str">
        <f t="shared" ca="1" si="196"/>
        <v/>
      </c>
      <c r="Z404" s="315" t="str">
        <f t="shared" ca="1" si="197"/>
        <v/>
      </c>
      <c r="AA404" s="316" t="str">
        <f t="shared" ca="1" si="198"/>
        <v/>
      </c>
      <c r="AC404" s="310">
        <f t="shared" ca="1" si="199"/>
        <v>3.9999999999999587</v>
      </c>
      <c r="AD404" s="323">
        <f t="shared" ca="1" si="200"/>
        <v>225.34952540488649</v>
      </c>
      <c r="AE404" s="324">
        <f t="shared" ca="1" si="179"/>
        <v>656.59803597139944</v>
      </c>
      <c r="AG404" s="306">
        <f t="shared" ca="1" si="201"/>
        <v>87.400683834559274</v>
      </c>
      <c r="AH404" s="304">
        <f t="shared" ca="1" si="202"/>
        <v>96.623115578717901</v>
      </c>
    </row>
    <row r="405" spans="1:34" x14ac:dyDescent="0.2">
      <c r="A405" s="347">
        <f t="shared" ca="1" si="180"/>
        <v>0.01</v>
      </c>
      <c r="B405" s="304">
        <f t="shared" ca="1" si="181"/>
        <v>4.0099999999999589</v>
      </c>
      <c r="D405" s="306">
        <f t="shared" ca="1" si="182"/>
        <v>32.909601391392684</v>
      </c>
      <c r="E405" s="307">
        <f t="shared" ca="1" si="183"/>
        <v>80.922985296600686</v>
      </c>
      <c r="F405" s="304">
        <f t="shared" ca="1" si="184"/>
        <v>87.358865680903889</v>
      </c>
      <c r="G405" s="306">
        <f t="shared" ca="1" si="185"/>
        <v>122.40246118854363</v>
      </c>
      <c r="H405" s="307">
        <f t="shared" ca="1" si="186"/>
        <v>337.37000176171136</v>
      </c>
      <c r="I405" s="304">
        <f t="shared" ca="1" si="187"/>
        <v>358.88839573565218</v>
      </c>
      <c r="J405" s="306">
        <f t="shared" ca="1" si="188"/>
        <v>226.57190453670236</v>
      </c>
      <c r="K405" s="307">
        <f t="shared" ca="1" si="189"/>
        <v>659.96768983975176</v>
      </c>
      <c r="L405" s="304">
        <f t="shared" ca="1" si="174"/>
        <v>697.77659716975847</v>
      </c>
      <c r="M405" s="306">
        <f t="shared" ca="1" si="190"/>
        <v>1.2227520944799493</v>
      </c>
      <c r="N405" s="304">
        <f t="shared" ca="1" si="191"/>
        <v>70.058534404482771</v>
      </c>
      <c r="P405" s="310">
        <f t="shared" ca="1" si="192"/>
        <v>13</v>
      </c>
      <c r="Q405" s="304">
        <f t="shared" ca="1" si="193"/>
        <v>2292.9694475138085</v>
      </c>
      <c r="R405" s="306">
        <f t="shared" ca="1" si="194"/>
        <v>1.3789325220763722</v>
      </c>
      <c r="S405" s="307">
        <f t="shared" ca="1" si="195"/>
        <v>15.132615438854307</v>
      </c>
      <c r="T405" s="304">
        <f t="shared" ca="1" si="175"/>
        <v>148.45095745516076</v>
      </c>
      <c r="U405" s="311">
        <f t="shared" ca="1" si="176"/>
        <v>0</v>
      </c>
      <c r="V405" s="306">
        <f t="shared" ca="1" si="177"/>
        <v>1.1467365261949287</v>
      </c>
      <c r="W405" s="304">
        <f t="shared" ca="1" si="178"/>
        <v>836.19815192976057</v>
      </c>
      <c r="Y405" s="314" t="str">
        <f t="shared" ca="1" si="196"/>
        <v/>
      </c>
      <c r="Z405" s="315" t="str">
        <f t="shared" ca="1" si="197"/>
        <v/>
      </c>
      <c r="AA405" s="316" t="str">
        <f t="shared" ca="1" si="198"/>
        <v/>
      </c>
      <c r="AC405" s="310" t="e">
        <f t="shared" ca="1" si="199"/>
        <v>#N/A</v>
      </c>
      <c r="AD405" s="323" t="e">
        <f t="shared" ca="1" si="200"/>
        <v>#N/A</v>
      </c>
      <c r="AE405" s="324">
        <f t="shared" ca="1" si="179"/>
        <v>659.96768983975176</v>
      </c>
      <c r="AG405" s="306">
        <f t="shared" ca="1" si="201"/>
        <v>87.294803959391004</v>
      </c>
      <c r="AH405" s="304">
        <f t="shared" ca="1" si="202"/>
        <v>96.516923306607282</v>
      </c>
    </row>
    <row r="406" spans="1:34" x14ac:dyDescent="0.2">
      <c r="A406" s="347">
        <f t="shared" ca="1" si="180"/>
        <v>0.01</v>
      </c>
      <c r="B406" s="304">
        <f t="shared" ca="1" si="181"/>
        <v>4.0199999999999587</v>
      </c>
      <c r="D406" s="306">
        <f t="shared" ca="1" si="182"/>
        <v>32.881747235561306</v>
      </c>
      <c r="E406" s="307">
        <f t="shared" ca="1" si="183"/>
        <v>80.819837137847941</v>
      </c>
      <c r="F406" s="304">
        <f t="shared" ca="1" si="184"/>
        <v>87.25282446002312</v>
      </c>
      <c r="G406" s="306">
        <f t="shared" ca="1" si="185"/>
        <v>122.73127866089924</v>
      </c>
      <c r="H406" s="307">
        <f t="shared" ca="1" si="186"/>
        <v>338.17820013308983</v>
      </c>
      <c r="I406" s="304">
        <f t="shared" ca="1" si="187"/>
        <v>359.76028380992176</v>
      </c>
      <c r="J406" s="306">
        <f t="shared" ca="1" si="188"/>
        <v>227.79757323594959</v>
      </c>
      <c r="K406" s="307">
        <f t="shared" ca="1" si="189"/>
        <v>663.34543084922575</v>
      </c>
      <c r="L406" s="304">
        <f t="shared" ca="1" si="174"/>
        <v>701.36930001300505</v>
      </c>
      <c r="M406" s="306">
        <f t="shared" ca="1" si="190"/>
        <v>1.2226590937140587</v>
      </c>
      <c r="N406" s="304">
        <f t="shared" ca="1" si="191"/>
        <v>70.053205853105766</v>
      </c>
      <c r="P406" s="310">
        <f t="shared" ca="1" si="192"/>
        <v>13</v>
      </c>
      <c r="Q406" s="304">
        <f t="shared" ca="1" si="193"/>
        <v>2293.8106353591124</v>
      </c>
      <c r="R406" s="306">
        <f t="shared" ca="1" si="194"/>
        <v>1.3794383906906804</v>
      </c>
      <c r="S406" s="307">
        <f t="shared" ca="1" si="195"/>
        <v>15.1188210549474</v>
      </c>
      <c r="T406" s="304">
        <f t="shared" ca="1" si="175"/>
        <v>148.315634549034</v>
      </c>
      <c r="U406" s="311">
        <f t="shared" ca="1" si="176"/>
        <v>0</v>
      </c>
      <c r="V406" s="306">
        <f t="shared" ca="1" si="177"/>
        <v>1.1463488294516786</v>
      </c>
      <c r="W406" s="304">
        <f t="shared" ca="1" si="178"/>
        <v>839.98194520938534</v>
      </c>
      <c r="Y406" s="314" t="str">
        <f t="shared" ca="1" si="196"/>
        <v/>
      </c>
      <c r="Z406" s="315" t="str">
        <f t="shared" ca="1" si="197"/>
        <v/>
      </c>
      <c r="AA406" s="316" t="str">
        <f t="shared" ca="1" si="198"/>
        <v/>
      </c>
      <c r="AC406" s="310" t="e">
        <f t="shared" ca="1" si="199"/>
        <v>#N/A</v>
      </c>
      <c r="AD406" s="323" t="e">
        <f t="shared" ca="1" si="200"/>
        <v>#N/A</v>
      </c>
      <c r="AE406" s="324">
        <f t="shared" ca="1" si="179"/>
        <v>663.34543084922575</v>
      </c>
      <c r="AG406" s="306">
        <f t="shared" ca="1" si="201"/>
        <v>87.188651846066961</v>
      </c>
      <c r="AH406" s="304">
        <f t="shared" ca="1" si="202"/>
        <v>96.410459395732502</v>
      </c>
    </row>
    <row r="407" spans="1:34" x14ac:dyDescent="0.2">
      <c r="A407" s="347">
        <f t="shared" ca="1" si="180"/>
        <v>0.01</v>
      </c>
      <c r="B407" s="304">
        <f t="shared" ca="1" si="181"/>
        <v>4.0299999999999585</v>
      </c>
      <c r="D407" s="306">
        <f t="shared" ca="1" si="182"/>
        <v>32.853764267324713</v>
      </c>
      <c r="E407" s="307">
        <f t="shared" ca="1" si="183"/>
        <v>80.716449237266445</v>
      </c>
      <c r="F407" s="304">
        <f t="shared" ca="1" si="184"/>
        <v>87.1465145832302</v>
      </c>
      <c r="G407" s="306">
        <f t="shared" ca="1" si="185"/>
        <v>123.05981630357249</v>
      </c>
      <c r="H407" s="307">
        <f t="shared" ca="1" si="186"/>
        <v>338.98536462546252</v>
      </c>
      <c r="I407" s="304">
        <f t="shared" ca="1" si="187"/>
        <v>360.63110766949484</v>
      </c>
      <c r="J407" s="306">
        <f t="shared" ca="1" si="188"/>
        <v>229.02652871077194</v>
      </c>
      <c r="K407" s="307">
        <f t="shared" ca="1" si="189"/>
        <v>666.73124867301851</v>
      </c>
      <c r="L407" s="304">
        <f t="shared" ca="1" si="174"/>
        <v>704.97071486011998</v>
      </c>
      <c r="M407" s="306">
        <f t="shared" ca="1" si="190"/>
        <v>1.2225662937380544</v>
      </c>
      <c r="N407" s="304">
        <f t="shared" ca="1" si="191"/>
        <v>70.047888806141799</v>
      </c>
      <c r="P407" s="310">
        <f t="shared" ca="1" si="192"/>
        <v>13</v>
      </c>
      <c r="Q407" s="304">
        <f t="shared" ca="1" si="193"/>
        <v>2294.6518232044164</v>
      </c>
      <c r="R407" s="306">
        <f t="shared" ca="1" si="194"/>
        <v>1.3799442593049887</v>
      </c>
      <c r="S407" s="307">
        <f t="shared" ca="1" si="195"/>
        <v>15.105021612354349</v>
      </c>
      <c r="T407" s="304">
        <f t="shared" ca="1" si="175"/>
        <v>148.18026201719618</v>
      </c>
      <c r="U407" s="311">
        <f t="shared" ca="1" si="176"/>
        <v>0</v>
      </c>
      <c r="V407" s="306">
        <f t="shared" ca="1" si="177"/>
        <v>1.1459603328366803</v>
      </c>
      <c r="W407" s="304">
        <f t="shared" ca="1" si="178"/>
        <v>843.76728295093153</v>
      </c>
      <c r="Y407" s="314" t="str">
        <f t="shared" ca="1" si="196"/>
        <v/>
      </c>
      <c r="Z407" s="315" t="str">
        <f t="shared" ca="1" si="197"/>
        <v/>
      </c>
      <c r="AA407" s="316" t="str">
        <f t="shared" ca="1" si="198"/>
        <v/>
      </c>
      <c r="AC407" s="310" t="e">
        <f t="shared" ca="1" si="199"/>
        <v>#N/A</v>
      </c>
      <c r="AD407" s="323" t="e">
        <f t="shared" ca="1" si="200"/>
        <v>#N/A</v>
      </c>
      <c r="AE407" s="324">
        <f t="shared" ca="1" si="179"/>
        <v>666.73124867301851</v>
      </c>
      <c r="AG407" s="306">
        <f t="shared" ca="1" si="201"/>
        <v>87.082230672515365</v>
      </c>
      <c r="AH407" s="304">
        <f t="shared" ca="1" si="202"/>
        <v>96.303727020506955</v>
      </c>
    </row>
    <row r="408" spans="1:34" x14ac:dyDescent="0.2">
      <c r="A408" s="347">
        <f t="shared" ca="1" si="180"/>
        <v>0.01</v>
      </c>
      <c r="B408" s="304">
        <f t="shared" ca="1" si="181"/>
        <v>4.0399999999999583</v>
      </c>
      <c r="D408" s="306">
        <f t="shared" ca="1" si="182"/>
        <v>32.825653671843504</v>
      </c>
      <c r="E408" s="307">
        <f t="shared" ca="1" si="183"/>
        <v>80.612824551997889</v>
      </c>
      <c r="F408" s="304">
        <f t="shared" ca="1" si="184"/>
        <v>87.039939230418852</v>
      </c>
      <c r="G408" s="306">
        <f t="shared" ca="1" si="185"/>
        <v>123.38807284029093</v>
      </c>
      <c r="H408" s="307">
        <f t="shared" ca="1" si="186"/>
        <v>339.79149287098249</v>
      </c>
      <c r="I408" s="304">
        <f t="shared" ca="1" si="187"/>
        <v>361.5008646555799</v>
      </c>
      <c r="J408" s="306">
        <f t="shared" ca="1" si="188"/>
        <v>230.25876815649127</v>
      </c>
      <c r="K408" s="307">
        <f t="shared" ca="1" si="189"/>
        <v>670.12513296050076</v>
      </c>
      <c r="L408" s="304">
        <f t="shared" ca="1" si="174"/>
        <v>708.58083105477363</v>
      </c>
      <c r="M408" s="306">
        <f t="shared" ca="1" si="190"/>
        <v>1.2224736933633025</v>
      </c>
      <c r="N408" s="304">
        <f t="shared" ca="1" si="191"/>
        <v>70.042583195487182</v>
      </c>
      <c r="P408" s="310">
        <f t="shared" ca="1" si="192"/>
        <v>13</v>
      </c>
      <c r="Q408" s="304">
        <f t="shared" ca="1" si="193"/>
        <v>2295.4930110497203</v>
      </c>
      <c r="R408" s="306">
        <f t="shared" ca="1" si="194"/>
        <v>1.3804501279192969</v>
      </c>
      <c r="S408" s="307">
        <f t="shared" ca="1" si="195"/>
        <v>15.091217111075157</v>
      </c>
      <c r="T408" s="304">
        <f t="shared" ca="1" si="175"/>
        <v>148.04483985964728</v>
      </c>
      <c r="U408" s="311">
        <f t="shared" ca="1" si="176"/>
        <v>0</v>
      </c>
      <c r="V408" s="306">
        <f t="shared" ca="1" si="177"/>
        <v>1.1455710383854809</v>
      </c>
      <c r="W408" s="304">
        <f t="shared" ca="1" si="178"/>
        <v>847.55410464056422</v>
      </c>
      <c r="Y408" s="314" t="str">
        <f t="shared" ca="1" si="196"/>
        <v/>
      </c>
      <c r="Z408" s="315" t="str">
        <f t="shared" ca="1" si="197"/>
        <v/>
      </c>
      <c r="AA408" s="316" t="str">
        <f t="shared" ca="1" si="198"/>
        <v/>
      </c>
      <c r="AC408" s="310" t="e">
        <f t="shared" ca="1" si="199"/>
        <v>#N/A</v>
      </c>
      <c r="AD408" s="323" t="e">
        <f t="shared" ca="1" si="200"/>
        <v>#N/A</v>
      </c>
      <c r="AE408" s="324">
        <f t="shared" ca="1" si="179"/>
        <v>670.12513296050076</v>
      </c>
      <c r="AG408" s="306">
        <f t="shared" ca="1" si="201"/>
        <v>86.975543618092587</v>
      </c>
      <c r="AH408" s="304">
        <f t="shared" ca="1" si="202"/>
        <v>96.196729356798855</v>
      </c>
    </row>
    <row r="409" spans="1:34" x14ac:dyDescent="0.2">
      <c r="A409" s="347">
        <f t="shared" ca="1" si="180"/>
        <v>0.01</v>
      </c>
      <c r="B409" s="304">
        <f t="shared" ca="1" si="181"/>
        <v>4.0499999999999581</v>
      </c>
      <c r="D409" s="306">
        <f t="shared" ca="1" si="182"/>
        <v>32.797416634777946</v>
      </c>
      <c r="E409" s="307">
        <f t="shared" ca="1" si="183"/>
        <v>80.508966040320232</v>
      </c>
      <c r="F409" s="304">
        <f t="shared" ca="1" si="184"/>
        <v>86.933101582749501</v>
      </c>
      <c r="G409" s="306">
        <f t="shared" ca="1" si="185"/>
        <v>123.71604700663872</v>
      </c>
      <c r="H409" s="307">
        <f t="shared" ca="1" si="186"/>
        <v>340.59658253138571</v>
      </c>
      <c r="I409" s="304">
        <f t="shared" ca="1" si="187"/>
        <v>362.36955214119172</v>
      </c>
      <c r="J409" s="306">
        <f t="shared" ca="1" si="188"/>
        <v>231.49428875572593</v>
      </c>
      <c r="K409" s="307">
        <f t="shared" ca="1" si="189"/>
        <v>673.52707333751266</v>
      </c>
      <c r="L409" s="304">
        <f t="shared" ca="1" si="174"/>
        <v>712.19963791419787</v>
      </c>
      <c r="M409" s="306">
        <f t="shared" ca="1" si="190"/>
        <v>1.2223812914105137</v>
      </c>
      <c r="N409" s="304">
        <f t="shared" ca="1" si="191"/>
        <v>70.037288953573622</v>
      </c>
      <c r="P409" s="310">
        <f t="shared" ca="1" si="192"/>
        <v>13</v>
      </c>
      <c r="Q409" s="304">
        <f t="shared" ca="1" si="193"/>
        <v>2296.3341988950237</v>
      </c>
      <c r="R409" s="306">
        <f t="shared" ca="1" si="194"/>
        <v>1.3809559965336049</v>
      </c>
      <c r="S409" s="307">
        <f t="shared" ca="1" si="195"/>
        <v>15.07740755110982</v>
      </c>
      <c r="T409" s="304">
        <f t="shared" ca="1" si="175"/>
        <v>147.90936807638735</v>
      </c>
      <c r="U409" s="311">
        <f t="shared" ca="1" si="176"/>
        <v>0</v>
      </c>
      <c r="V409" s="306">
        <f t="shared" ca="1" si="177"/>
        <v>1.1451809481360791</v>
      </c>
      <c r="W409" s="304">
        <f t="shared" ca="1" si="178"/>
        <v>851.34234991461756</v>
      </c>
      <c r="Y409" s="314" t="str">
        <f t="shared" ca="1" si="196"/>
        <v/>
      </c>
      <c r="Z409" s="315" t="str">
        <f t="shared" ca="1" si="197"/>
        <v/>
      </c>
      <c r="AA409" s="316" t="str">
        <f t="shared" ca="1" si="198"/>
        <v/>
      </c>
      <c r="AC409" s="310" t="e">
        <f t="shared" ca="1" si="199"/>
        <v>#N/A</v>
      </c>
      <c r="AD409" s="323" t="e">
        <f t="shared" ca="1" si="200"/>
        <v>#N/A</v>
      </c>
      <c r="AE409" s="324">
        <f t="shared" ca="1" si="179"/>
        <v>673.52707333751266</v>
      </c>
      <c r="AG409" s="306">
        <f t="shared" ca="1" si="201"/>
        <v>86.868593863431784</v>
      </c>
      <c r="AH409" s="304">
        <f t="shared" ca="1" si="202"/>
        <v>96.089469581779497</v>
      </c>
    </row>
    <row r="410" spans="1:34" x14ac:dyDescent="0.2">
      <c r="A410" s="347">
        <f t="shared" ca="1" si="180"/>
        <v>0.01</v>
      </c>
      <c r="B410" s="304">
        <f t="shared" ca="1" si="181"/>
        <v>4.0599999999999579</v>
      </c>
      <c r="D410" s="306">
        <f t="shared" ca="1" si="182"/>
        <v>32.769054342241482</v>
      </c>
      <c r="E410" s="307">
        <f t="shared" ca="1" si="183"/>
        <v>80.404876661503764</v>
      </c>
      <c r="F410" s="304">
        <f t="shared" ca="1" si="184"/>
        <v>86.826004822497779</v>
      </c>
      <c r="G410" s="306">
        <f t="shared" ca="1" si="185"/>
        <v>124.04373755006114</v>
      </c>
      <c r="H410" s="307">
        <f t="shared" ca="1" si="186"/>
        <v>341.40063129800075</v>
      </c>
      <c r="I410" s="304">
        <f t="shared" ca="1" si="187"/>
        <v>363.23716753116264</v>
      </c>
      <c r="J410" s="306">
        <f t="shared" ca="1" si="188"/>
        <v>232.73308767850943</v>
      </c>
      <c r="K410" s="307">
        <f t="shared" ca="1" si="189"/>
        <v>676.93705940665961</v>
      </c>
      <c r="L410" s="304">
        <f t="shared" ca="1" si="174"/>
        <v>715.82712472950345</v>
      </c>
      <c r="M410" s="306">
        <f t="shared" ca="1" si="190"/>
        <v>1.222289086709649</v>
      </c>
      <c r="N410" s="304">
        <f t="shared" ca="1" si="191"/>
        <v>70.032006013362803</v>
      </c>
      <c r="P410" s="310">
        <f t="shared" ca="1" si="192"/>
        <v>13</v>
      </c>
      <c r="Q410" s="304">
        <f t="shared" ca="1" si="193"/>
        <v>2297.1753867403277</v>
      </c>
      <c r="R410" s="306">
        <f t="shared" ca="1" si="194"/>
        <v>1.3814618651479131</v>
      </c>
      <c r="S410" s="307">
        <f t="shared" ca="1" si="195"/>
        <v>15.063592932458342</v>
      </c>
      <c r="T410" s="304">
        <f t="shared" ca="1" si="175"/>
        <v>147.77384666741634</v>
      </c>
      <c r="U410" s="311">
        <f t="shared" ca="1" si="176"/>
        <v>0</v>
      </c>
      <c r="V410" s="306">
        <f t="shared" ca="1" si="177"/>
        <v>1.144790064128874</v>
      </c>
      <c r="W410" s="304">
        <f t="shared" ca="1" si="178"/>
        <v>855.13195856210689</v>
      </c>
      <c r="Y410" s="314" t="str">
        <f t="shared" ca="1" si="196"/>
        <v/>
      </c>
      <c r="Z410" s="315" t="str">
        <f t="shared" ca="1" si="197"/>
        <v/>
      </c>
      <c r="AA410" s="316" t="str">
        <f t="shared" ca="1" si="198"/>
        <v/>
      </c>
      <c r="AC410" s="310" t="e">
        <f t="shared" ca="1" si="199"/>
        <v>#N/A</v>
      </c>
      <c r="AD410" s="323" t="e">
        <f t="shared" ca="1" si="200"/>
        <v>#N/A</v>
      </c>
      <c r="AE410" s="324">
        <f t="shared" ca="1" si="179"/>
        <v>676.93705940665961</v>
      </c>
      <c r="AG410" s="306">
        <f t="shared" ca="1" si="201"/>
        <v>86.761384590291442</v>
      </c>
      <c r="AH410" s="304">
        <f t="shared" ca="1" si="202"/>
        <v>95.981950873771638</v>
      </c>
    </row>
    <row r="411" spans="1:34" x14ac:dyDescent="0.2">
      <c r="A411" s="347">
        <f t="shared" ca="1" si="180"/>
        <v>0.01</v>
      </c>
      <c r="B411" s="304">
        <f t="shared" ca="1" si="181"/>
        <v>4.0699999999999577</v>
      </c>
      <c r="D411" s="306">
        <f t="shared" ca="1" si="182"/>
        <v>32.740567980754115</v>
      </c>
      <c r="E411" s="307">
        <f t="shared" ca="1" si="183"/>
        <v>80.300559375668016</v>
      </c>
      <c r="F411" s="304">
        <f t="shared" ca="1" si="184"/>
        <v>86.718652132903713</v>
      </c>
      <c r="G411" s="306">
        <f t="shared" ca="1" si="185"/>
        <v>124.37114322986868</v>
      </c>
      <c r="H411" s="307">
        <f t="shared" ca="1" si="186"/>
        <v>342.20363689175741</v>
      </c>
      <c r="I411" s="304">
        <f t="shared" ca="1" si="187"/>
        <v>364.10370826215194</v>
      </c>
      <c r="J411" s="306">
        <f t="shared" ca="1" si="188"/>
        <v>233.97516208240907</v>
      </c>
      <c r="K411" s="307">
        <f t="shared" ca="1" si="189"/>
        <v>680.35508074760844</v>
      </c>
      <c r="L411" s="304">
        <f t="shared" ca="1" si="174"/>
        <v>719.46328076599877</v>
      </c>
      <c r="M411" s="306">
        <f t="shared" ca="1" si="190"/>
        <v>1.2221970780998272</v>
      </c>
      <c r="N411" s="304">
        <f t="shared" ca="1" si="191"/>
        <v>70.026734308341162</v>
      </c>
      <c r="P411" s="310">
        <f t="shared" ca="1" si="192"/>
        <v>13</v>
      </c>
      <c r="Q411" s="304">
        <f t="shared" ca="1" si="193"/>
        <v>2298.0165745856316</v>
      </c>
      <c r="R411" s="306">
        <f t="shared" ca="1" si="194"/>
        <v>1.3819677337622214</v>
      </c>
      <c r="S411" s="307">
        <f t="shared" ca="1" si="195"/>
        <v>15.049773255120719</v>
      </c>
      <c r="T411" s="304">
        <f t="shared" ca="1" si="175"/>
        <v>147.63827563273426</v>
      </c>
      <c r="U411" s="311">
        <f t="shared" ca="1" si="176"/>
        <v>0</v>
      </c>
      <c r="V411" s="306">
        <f t="shared" ca="1" si="177"/>
        <v>1.144398388406618</v>
      </c>
      <c r="W411" s="304">
        <f t="shared" ca="1" si="178"/>
        <v>858.9228705272219</v>
      </c>
      <c r="Y411" s="314" t="str">
        <f t="shared" ca="1" si="196"/>
        <v/>
      </c>
      <c r="Z411" s="315" t="str">
        <f t="shared" ca="1" si="197"/>
        <v/>
      </c>
      <c r="AA411" s="316" t="str">
        <f t="shared" ca="1" si="198"/>
        <v/>
      </c>
      <c r="AC411" s="310" t="e">
        <f t="shared" ca="1" si="199"/>
        <v>#N/A</v>
      </c>
      <c r="AD411" s="323" t="e">
        <f t="shared" ca="1" si="200"/>
        <v>#N/A</v>
      </c>
      <c r="AE411" s="324">
        <f t="shared" ca="1" si="179"/>
        <v>680.35508074760844</v>
      </c>
      <c r="AG411" s="306">
        <f t="shared" ca="1" si="201"/>
        <v>86.653918981404587</v>
      </c>
      <c r="AH411" s="304">
        <f t="shared" ca="1" si="202"/>
        <v>95.874176412098436</v>
      </c>
    </row>
    <row r="412" spans="1:34" x14ac:dyDescent="0.2">
      <c r="A412" s="347">
        <f t="shared" ca="1" si="180"/>
        <v>0.01</v>
      </c>
      <c r="B412" s="304">
        <f t="shared" ca="1" si="181"/>
        <v>4.0799999999999574</v>
      </c>
      <c r="D412" s="306">
        <f t="shared" ca="1" si="182"/>
        <v>32.711958737195928</v>
      </c>
      <c r="E412" s="307">
        <f t="shared" ca="1" si="183"/>
        <v>80.196017143638997</v>
      </c>
      <c r="F412" s="304">
        <f t="shared" ca="1" si="184"/>
        <v>86.611046698021426</v>
      </c>
      <c r="G412" s="306">
        <f t="shared" ca="1" si="185"/>
        <v>124.69826281724063</v>
      </c>
      <c r="H412" s="307">
        <f t="shared" ca="1" si="186"/>
        <v>343.00559706319382</v>
      </c>
      <c r="I412" s="304">
        <f t="shared" ca="1" si="187"/>
        <v>364.96917180265473</v>
      </c>
      <c r="J412" s="306">
        <f t="shared" ca="1" si="188"/>
        <v>235.22050911264461</v>
      </c>
      <c r="K412" s="307">
        <f t="shared" ca="1" si="189"/>
        <v>683.78112691738318</v>
      </c>
      <c r="L412" s="304">
        <f t="shared" ca="1" si="174"/>
        <v>723.10809526350772</v>
      </c>
      <c r="M412" s="306">
        <f t="shared" ca="1" si="190"/>
        <v>1.2221052644292336</v>
      </c>
      <c r="N412" s="304">
        <f t="shared" ca="1" si="191"/>
        <v>70.02147377251454</v>
      </c>
      <c r="P412" s="310">
        <f t="shared" ca="1" si="192"/>
        <v>13</v>
      </c>
      <c r="Q412" s="304">
        <f t="shared" ca="1" si="193"/>
        <v>2298.8577624309355</v>
      </c>
      <c r="R412" s="306">
        <f t="shared" ca="1" si="194"/>
        <v>1.3824736023765296</v>
      </c>
      <c r="S412" s="307">
        <f t="shared" ca="1" si="195"/>
        <v>15.035948519096953</v>
      </c>
      <c r="T412" s="304">
        <f t="shared" ca="1" si="175"/>
        <v>147.50265497234111</v>
      </c>
      <c r="U412" s="311">
        <f t="shared" ca="1" si="176"/>
        <v>0</v>
      </c>
      <c r="V412" s="306">
        <f t="shared" ca="1" si="177"/>
        <v>1.1440059230143642</v>
      </c>
      <c r="W412" s="304">
        <f t="shared" ca="1" si="178"/>
        <v>862.7150259118016</v>
      </c>
      <c r="Y412" s="314" t="str">
        <f t="shared" ca="1" si="196"/>
        <v/>
      </c>
      <c r="Z412" s="315" t="str">
        <f t="shared" ca="1" si="197"/>
        <v/>
      </c>
      <c r="AA412" s="316" t="str">
        <f t="shared" ca="1" si="198"/>
        <v/>
      </c>
      <c r="AC412" s="310" t="e">
        <f t="shared" ca="1" si="199"/>
        <v>#N/A</v>
      </c>
      <c r="AD412" s="323" t="e">
        <f t="shared" ca="1" si="200"/>
        <v>#N/A</v>
      </c>
      <c r="AE412" s="324">
        <f t="shared" ca="1" si="179"/>
        <v>683.78112691738318</v>
      </c>
      <c r="AG412" s="306">
        <f t="shared" ca="1" si="201"/>
        <v>86.546200220328672</v>
      </c>
      <c r="AH412" s="304">
        <f t="shared" ca="1" si="202"/>
        <v>95.766149376933015</v>
      </c>
    </row>
    <row r="413" spans="1:34" x14ac:dyDescent="0.2">
      <c r="A413" s="347">
        <f t="shared" ca="1" si="180"/>
        <v>0.01</v>
      </c>
      <c r="B413" s="304">
        <f t="shared" ca="1" si="181"/>
        <v>4.0899999999999572</v>
      </c>
      <c r="D413" s="306">
        <f t="shared" ca="1" si="182"/>
        <v>32.65535627398669</v>
      </c>
      <c r="E413" s="307">
        <f t="shared" ca="1" si="183"/>
        <v>80.014587151517915</v>
      </c>
      <c r="F413" s="304">
        <f t="shared" ca="1" si="184"/>
        <v>86.42167812770623</v>
      </c>
      <c r="G413" s="306">
        <f t="shared" ca="1" si="185"/>
        <v>125.02481637998049</v>
      </c>
      <c r="H413" s="307">
        <f t="shared" ca="1" si="186"/>
        <v>343.80574293470897</v>
      </c>
      <c r="I413" s="304">
        <f t="shared" ca="1" si="187"/>
        <v>365.83273990409197</v>
      </c>
      <c r="J413" s="306">
        <f t="shared" ca="1" si="188"/>
        <v>236.4691245086307</v>
      </c>
      <c r="K413" s="307">
        <f t="shared" ca="1" si="189"/>
        <v>687.21518361737265</v>
      </c>
      <c r="L413" s="304">
        <f t="shared" ca="1" si="174"/>
        <v>726.76155335855344</v>
      </c>
      <c r="M413" s="306">
        <f t="shared" ca="1" si="190"/>
        <v>1.2220136443507301</v>
      </c>
      <c r="N413" s="304">
        <f t="shared" ca="1" si="191"/>
        <v>70.016224328697632</v>
      </c>
      <c r="P413" s="310">
        <f t="shared" ca="1" si="192"/>
        <v>14</v>
      </c>
      <c r="Q413" s="304">
        <f t="shared" ca="1" si="193"/>
        <v>2298.4742265005689</v>
      </c>
      <c r="R413" s="306">
        <f t="shared" ca="1" si="194"/>
        <v>1.3822429537874954</v>
      </c>
      <c r="S413" s="307">
        <f t="shared" ca="1" si="195"/>
        <v>15.022126089559078</v>
      </c>
      <c r="T413" s="304">
        <f t="shared" ca="1" si="175"/>
        <v>147.36705693857456</v>
      </c>
      <c r="U413" s="311">
        <f t="shared" ca="1" si="176"/>
        <v>0</v>
      </c>
      <c r="V413" s="306">
        <f t="shared" ca="1" si="177"/>
        <v>1.1436126704383149</v>
      </c>
      <c r="W413" s="304">
        <f t="shared" ca="1" si="178"/>
        <v>866.50450097115174</v>
      </c>
      <c r="Y413" s="314" t="str">
        <f t="shared" ca="1" si="196"/>
        <v/>
      </c>
      <c r="Z413" s="315" t="str">
        <f t="shared" ca="1" si="197"/>
        <v/>
      </c>
      <c r="AA413" s="316" t="str">
        <f t="shared" ca="1" si="198"/>
        <v/>
      </c>
      <c r="AC413" s="310" t="e">
        <f t="shared" ca="1" si="199"/>
        <v>#N/A</v>
      </c>
      <c r="AD413" s="323" t="e">
        <f t="shared" ca="1" si="200"/>
        <v>#N/A</v>
      </c>
      <c r="AE413" s="324">
        <f t="shared" ca="1" si="179"/>
        <v>687.21518361737265</v>
      </c>
      <c r="AG413" s="306">
        <f t="shared" ca="1" si="201"/>
        <v>86.356656599362481</v>
      </c>
      <c r="AH413" s="304">
        <f t="shared" ca="1" si="202"/>
        <v>95.576298057215212</v>
      </c>
    </row>
    <row r="414" spans="1:34" x14ac:dyDescent="0.2">
      <c r="A414" s="347">
        <f t="shared" ca="1" si="180"/>
        <v>0.01</v>
      </c>
      <c r="B414" s="304">
        <f t="shared" ca="1" si="181"/>
        <v>4.099999999999957</v>
      </c>
      <c r="D414" s="306">
        <f t="shared" ca="1" si="182"/>
        <v>32.591663886849155</v>
      </c>
      <c r="E414" s="307">
        <f t="shared" ca="1" si="183"/>
        <v>79.813816619263761</v>
      </c>
      <c r="F414" s="304">
        <f t="shared" ca="1" si="184"/>
        <v>86.211727034358915</v>
      </c>
      <c r="G414" s="306">
        <f t="shared" ca="1" si="185"/>
        <v>125.35073301884898</v>
      </c>
      <c r="H414" s="307">
        <f t="shared" ca="1" si="186"/>
        <v>344.60388110090162</v>
      </c>
      <c r="I414" s="304">
        <f t="shared" ca="1" si="187"/>
        <v>366.69420657840652</v>
      </c>
      <c r="J414" s="306">
        <f t="shared" ca="1" si="188"/>
        <v>237.72100225562485</v>
      </c>
      <c r="K414" s="307">
        <f t="shared" ca="1" si="189"/>
        <v>690.65723173755066</v>
      </c>
      <c r="L414" s="304">
        <f t="shared" ca="1" si="174"/>
        <v>730.42363506720915</v>
      </c>
      <c r="M414" s="306">
        <f t="shared" ca="1" si="190"/>
        <v>1.2219222164779973</v>
      </c>
      <c r="N414" s="304">
        <f t="shared" ca="1" si="191"/>
        <v>70.010985897460174</v>
      </c>
      <c r="P414" s="310">
        <f t="shared" ca="1" si="192"/>
        <v>14</v>
      </c>
      <c r="Q414" s="304">
        <f t="shared" ca="1" si="193"/>
        <v>2297.7845096262768</v>
      </c>
      <c r="R414" s="306">
        <f t="shared" ca="1" si="194"/>
        <v>1.381828175897621</v>
      </c>
      <c r="S414" s="307">
        <f t="shared" ca="1" si="195"/>
        <v>15.008307807800103</v>
      </c>
      <c r="T414" s="304">
        <f t="shared" ca="1" si="175"/>
        <v>147.23149959451902</v>
      </c>
      <c r="U414" s="311">
        <f t="shared" ca="1" si="176"/>
        <v>0</v>
      </c>
      <c r="V414" s="306">
        <f t="shared" ca="1" si="177"/>
        <v>1.1432186337144741</v>
      </c>
      <c r="W414" s="304">
        <f t="shared" ca="1" si="178"/>
        <v>870.29024751169607</v>
      </c>
      <c r="Y414" s="314" t="str">
        <f t="shared" ca="1" si="196"/>
        <v/>
      </c>
      <c r="Z414" s="315" t="str">
        <f t="shared" ca="1" si="197"/>
        <v/>
      </c>
      <c r="AA414" s="316" t="str">
        <f t="shared" ca="1" si="198"/>
        <v/>
      </c>
      <c r="AC414" s="310" t="e">
        <f t="shared" ca="1" si="199"/>
        <v>#N/A</v>
      </c>
      <c r="AD414" s="323" t="e">
        <f t="shared" ca="1" si="200"/>
        <v>#N/A</v>
      </c>
      <c r="AE414" s="324">
        <f t="shared" ca="1" si="179"/>
        <v>690.65723173755066</v>
      </c>
      <c r="AG414" s="306">
        <f t="shared" ca="1" si="201"/>
        <v>86.146514170585434</v>
      </c>
      <c r="AH414" s="304">
        <f t="shared" ca="1" si="202"/>
        <v>95.365848501005672</v>
      </c>
    </row>
    <row r="415" spans="1:34" x14ac:dyDescent="0.2">
      <c r="A415" s="347">
        <f t="shared" ca="1" si="180"/>
        <v>0.01</v>
      </c>
      <c r="B415" s="304">
        <f t="shared" ca="1" si="181"/>
        <v>4.1099999999999568</v>
      </c>
      <c r="D415" s="306">
        <f t="shared" ca="1" si="182"/>
        <v>32.527861207596558</v>
      </c>
      <c r="E415" s="307">
        <f t="shared" ca="1" si="183"/>
        <v>79.612909193229072</v>
      </c>
      <c r="F415" s="304">
        <f t="shared" ca="1" si="184"/>
        <v>86.001610827646729</v>
      </c>
      <c r="G415" s="306">
        <f t="shared" ca="1" si="185"/>
        <v>125.67601163092495</v>
      </c>
      <c r="H415" s="307">
        <f t="shared" ca="1" si="186"/>
        <v>345.40001019283392</v>
      </c>
      <c r="I415" s="304">
        <f t="shared" ca="1" si="187"/>
        <v>367.55357016449472</v>
      </c>
      <c r="J415" s="306">
        <f t="shared" ca="1" si="188"/>
        <v>238.97613597887371</v>
      </c>
      <c r="K415" s="307">
        <f t="shared" ca="1" si="189"/>
        <v>694.10725119401934</v>
      </c>
      <c r="L415" s="304">
        <f t="shared" ca="1" si="174"/>
        <v>734.09431936741657</v>
      </c>
      <c r="M415" s="306">
        <f t="shared" ca="1" si="190"/>
        <v>1.2218309794369941</v>
      </c>
      <c r="N415" s="304">
        <f t="shared" ca="1" si="191"/>
        <v>70.005758400075436</v>
      </c>
      <c r="P415" s="310">
        <f t="shared" ca="1" si="192"/>
        <v>14</v>
      </c>
      <c r="Q415" s="304">
        <f t="shared" ca="1" si="193"/>
        <v>2297.0947927519846</v>
      </c>
      <c r="R415" s="306">
        <f t="shared" ca="1" si="194"/>
        <v>1.3814133980077465</v>
      </c>
      <c r="S415" s="307">
        <f t="shared" ca="1" si="195"/>
        <v>14.994493673820026</v>
      </c>
      <c r="T415" s="304">
        <f t="shared" ca="1" si="175"/>
        <v>147.09598294017445</v>
      </c>
      <c r="U415" s="311">
        <f t="shared" ca="1" si="176"/>
        <v>0</v>
      </c>
      <c r="V415" s="306">
        <f t="shared" ca="1" si="177"/>
        <v>1.1428238159886206</v>
      </c>
      <c r="W415" s="304">
        <f t="shared" ca="1" si="178"/>
        <v>874.07218169043699</v>
      </c>
      <c r="Y415" s="314" t="str">
        <f t="shared" ca="1" si="196"/>
        <v/>
      </c>
      <c r="Z415" s="315" t="str">
        <f t="shared" ca="1" si="197"/>
        <v/>
      </c>
      <c r="AA415" s="316" t="str">
        <f t="shared" ca="1" si="198"/>
        <v/>
      </c>
      <c r="AC415" s="310" t="e">
        <f t="shared" ca="1" si="199"/>
        <v>#N/A</v>
      </c>
      <c r="AD415" s="323" t="e">
        <f t="shared" ca="1" si="200"/>
        <v>#N/A</v>
      </c>
      <c r="AE415" s="324">
        <f t="shared" ca="1" si="179"/>
        <v>694.10725119401934</v>
      </c>
      <c r="AG415" s="306">
        <f t="shared" ca="1" si="201"/>
        <v>85.936205629390116</v>
      </c>
      <c r="AH415" s="304">
        <f t="shared" ca="1" si="202"/>
        <v>95.155233399541189</v>
      </c>
    </row>
    <row r="416" spans="1:34" x14ac:dyDescent="0.2">
      <c r="A416" s="347">
        <f t="shared" ca="1" si="180"/>
        <v>0.01</v>
      </c>
      <c r="B416" s="304">
        <f t="shared" ca="1" si="181"/>
        <v>4.1199999999999566</v>
      </c>
      <c r="D416" s="306">
        <f t="shared" ca="1" si="182"/>
        <v>32.463950250632678</v>
      </c>
      <c r="E416" s="307">
        <f t="shared" ca="1" si="183"/>
        <v>79.411869805971762</v>
      </c>
      <c r="F416" s="304">
        <f t="shared" ca="1" si="184"/>
        <v>85.791334830250563</v>
      </c>
      <c r="G416" s="306">
        <f t="shared" ca="1" si="185"/>
        <v>126.00065113343128</v>
      </c>
      <c r="H416" s="307">
        <f t="shared" ca="1" si="186"/>
        <v>346.19412889089364</v>
      </c>
      <c r="I416" s="304">
        <f t="shared" ca="1" si="187"/>
        <v>368.41082905443119</v>
      </c>
      <c r="J416" s="306">
        <f t="shared" ca="1" si="188"/>
        <v>240.2345192926955</v>
      </c>
      <c r="K416" s="307">
        <f t="shared" ca="1" si="189"/>
        <v>697.56522188943802</v>
      </c>
      <c r="L416" s="304">
        <f t="shared" ca="1" si="174"/>
        <v>737.77358522073246</v>
      </c>
      <c r="M416" s="306">
        <f t="shared" ca="1" si="190"/>
        <v>1.2217399318658184</v>
      </c>
      <c r="N416" s="304">
        <f t="shared" ca="1" si="191"/>
        <v>70.000541758512156</v>
      </c>
      <c r="P416" s="310">
        <f t="shared" ca="1" si="192"/>
        <v>14</v>
      </c>
      <c r="Q416" s="304">
        <f t="shared" ca="1" si="193"/>
        <v>2296.4050758776925</v>
      </c>
      <c r="R416" s="306">
        <f t="shared" ca="1" si="194"/>
        <v>1.3809986201178721</v>
      </c>
      <c r="S416" s="307">
        <f t="shared" ca="1" si="195"/>
        <v>14.980683687618846</v>
      </c>
      <c r="T416" s="304">
        <f t="shared" ca="1" si="175"/>
        <v>146.96050697554088</v>
      </c>
      <c r="U416" s="311">
        <f t="shared" ca="1" si="176"/>
        <v>0</v>
      </c>
      <c r="V416" s="306">
        <f t="shared" ca="1" si="177"/>
        <v>1.1424282204062499</v>
      </c>
      <c r="W416" s="304">
        <f t="shared" ca="1" si="178"/>
        <v>877.85022016979156</v>
      </c>
      <c r="Y416" s="314" t="str">
        <f t="shared" ca="1" si="196"/>
        <v/>
      </c>
      <c r="Z416" s="315" t="str">
        <f t="shared" ca="1" si="197"/>
        <v/>
      </c>
      <c r="AA416" s="316" t="str">
        <f t="shared" ca="1" si="198"/>
        <v/>
      </c>
      <c r="AC416" s="310" t="e">
        <f t="shared" ca="1" si="199"/>
        <v>#N/A</v>
      </c>
      <c r="AD416" s="323" t="e">
        <f t="shared" ca="1" si="200"/>
        <v>#N/A</v>
      </c>
      <c r="AE416" s="324">
        <f t="shared" ca="1" si="179"/>
        <v>697.56522188943802</v>
      </c>
      <c r="AG416" s="306">
        <f t="shared" ca="1" si="201"/>
        <v>85.725736293617004</v>
      </c>
      <c r="AH416" s="304">
        <f t="shared" ca="1" si="202"/>
        <v>94.944458066541884</v>
      </c>
    </row>
    <row r="417" spans="1:34" x14ac:dyDescent="0.2">
      <c r="A417" s="347">
        <f t="shared" ca="1" si="180"/>
        <v>0.01</v>
      </c>
      <c r="B417" s="304">
        <f t="shared" ca="1" si="181"/>
        <v>4.1299999999999564</v>
      </c>
      <c r="D417" s="306">
        <f t="shared" ca="1" si="182"/>
        <v>32.399933025408728</v>
      </c>
      <c r="E417" s="307">
        <f t="shared" ca="1" si="183"/>
        <v>79.210703376973242</v>
      </c>
      <c r="F417" s="304">
        <f t="shared" ca="1" si="184"/>
        <v>85.580904350946255</v>
      </c>
      <c r="G417" s="306">
        <f t="shared" ca="1" si="185"/>
        <v>126.32465046368536</v>
      </c>
      <c r="H417" s="307">
        <f t="shared" ca="1" si="186"/>
        <v>346.98623592466339</v>
      </c>
      <c r="I417" s="304">
        <f t="shared" ca="1" si="187"/>
        <v>369.26598169332965</v>
      </c>
      <c r="J417" s="306">
        <f t="shared" ca="1" si="188"/>
        <v>241.49614580068109</v>
      </c>
      <c r="K417" s="307">
        <f t="shared" ca="1" si="189"/>
        <v>701.03112371351585</v>
      </c>
      <c r="L417" s="304">
        <f t="shared" ca="1" si="174"/>
        <v>741.46141157286036</v>
      </c>
      <c r="M417" s="306">
        <f t="shared" ca="1" si="190"/>
        <v>1.2216490724145646</v>
      </c>
      <c r="N417" s="304">
        <f t="shared" ca="1" si="191"/>
        <v>69.995335895426436</v>
      </c>
      <c r="P417" s="310">
        <f t="shared" ca="1" si="192"/>
        <v>14</v>
      </c>
      <c r="Q417" s="304">
        <f t="shared" ca="1" si="193"/>
        <v>2295.7153590034004</v>
      </c>
      <c r="R417" s="306">
        <f t="shared" ca="1" si="194"/>
        <v>1.3805838422279979</v>
      </c>
      <c r="S417" s="307">
        <f t="shared" ca="1" si="195"/>
        <v>14.966877849196566</v>
      </c>
      <c r="T417" s="304">
        <f t="shared" ca="1" si="175"/>
        <v>146.82507170061831</v>
      </c>
      <c r="U417" s="311">
        <f t="shared" ca="1" si="176"/>
        <v>0</v>
      </c>
      <c r="V417" s="306">
        <f t="shared" ca="1" si="177"/>
        <v>1.1420318501124975</v>
      </c>
      <c r="W417" s="304">
        <f t="shared" ca="1" si="178"/>
        <v>881.62428012016676</v>
      </c>
      <c r="Y417" s="314" t="str">
        <f t="shared" ca="1" si="196"/>
        <v/>
      </c>
      <c r="Z417" s="315" t="str">
        <f t="shared" ca="1" si="197"/>
        <v/>
      </c>
      <c r="AA417" s="316" t="str">
        <f t="shared" ca="1" si="198"/>
        <v/>
      </c>
      <c r="AC417" s="310" t="e">
        <f t="shared" ca="1" si="199"/>
        <v>#N/A</v>
      </c>
      <c r="AD417" s="323" t="e">
        <f t="shared" ca="1" si="200"/>
        <v>#N/A</v>
      </c>
      <c r="AE417" s="324">
        <f t="shared" ca="1" si="179"/>
        <v>701.03112371351585</v>
      </c>
      <c r="AG417" s="306">
        <f t="shared" ca="1" si="201"/>
        <v>85.5151114671838</v>
      </c>
      <c r="AH417" s="304">
        <f t="shared" ca="1" si="202"/>
        <v>94.733527801840182</v>
      </c>
    </row>
    <row r="418" spans="1:34" x14ac:dyDescent="0.2">
      <c r="A418" s="347">
        <f t="shared" ca="1" si="180"/>
        <v>0.01</v>
      </c>
      <c r="B418" s="304">
        <f t="shared" ca="1" si="181"/>
        <v>4.1399999999999562</v>
      </c>
      <c r="D418" s="306">
        <f t="shared" ca="1" si="182"/>
        <v>32.335811536344949</v>
      </c>
      <c r="E418" s="307">
        <f t="shared" ca="1" si="183"/>
        <v>79.009414812401033</v>
      </c>
      <c r="F418" s="304">
        <f t="shared" ca="1" si="184"/>
        <v>85.370324684354316</v>
      </c>
      <c r="G418" s="306">
        <f t="shared" ca="1" si="185"/>
        <v>126.64800857904881</v>
      </c>
      <c r="H418" s="307">
        <f t="shared" ca="1" si="186"/>
        <v>347.7763300727874</v>
      </c>
      <c r="I418" s="304">
        <f t="shared" ca="1" si="187"/>
        <v>370.11902657920086</v>
      </c>
      <c r="J418" s="306">
        <f t="shared" ca="1" si="188"/>
        <v>242.76100909589476</v>
      </c>
      <c r="K418" s="307">
        <f t="shared" ca="1" si="189"/>
        <v>704.50493654350316</v>
      </c>
      <c r="L418" s="304">
        <f t="shared" ca="1" si="174"/>
        <v>745.15777735418055</v>
      </c>
      <c r="M418" s="306">
        <f t="shared" ca="1" si="190"/>
        <v>1.2215583997451875</v>
      </c>
      <c r="N418" s="304">
        <f t="shared" ca="1" si="191"/>
        <v>69.99014073415394</v>
      </c>
      <c r="P418" s="310">
        <f t="shared" ca="1" si="192"/>
        <v>14</v>
      </c>
      <c r="Q418" s="304">
        <f t="shared" ca="1" si="193"/>
        <v>2295.0256421291083</v>
      </c>
      <c r="R418" s="306">
        <f t="shared" ca="1" si="194"/>
        <v>1.3801690643381235</v>
      </c>
      <c r="S418" s="307">
        <f t="shared" ca="1" si="195"/>
        <v>14.953076158553184</v>
      </c>
      <c r="T418" s="304">
        <f t="shared" ca="1" si="175"/>
        <v>146.68967711540674</v>
      </c>
      <c r="U418" s="311">
        <f t="shared" ca="1" si="176"/>
        <v>0</v>
      </c>
      <c r="V418" s="306">
        <f t="shared" ca="1" si="177"/>
        <v>1.1416347082520615</v>
      </c>
      <c r="W418" s="304">
        <f t="shared" ca="1" si="178"/>
        <v>885.39427922247546</v>
      </c>
      <c r="Y418" s="314" t="str">
        <f t="shared" ca="1" si="196"/>
        <v/>
      </c>
      <c r="Z418" s="315" t="str">
        <f t="shared" ca="1" si="197"/>
        <v/>
      </c>
      <c r="AA418" s="316" t="str">
        <f t="shared" ca="1" si="198"/>
        <v/>
      </c>
      <c r="AC418" s="310" t="e">
        <f t="shared" ca="1" si="199"/>
        <v>#N/A</v>
      </c>
      <c r="AD418" s="323" t="e">
        <f t="shared" ca="1" si="200"/>
        <v>#N/A</v>
      </c>
      <c r="AE418" s="324">
        <f t="shared" ca="1" si="179"/>
        <v>704.50493654350316</v>
      </c>
      <c r="AG418" s="306">
        <f t="shared" ca="1" si="201"/>
        <v>85.304336439835055</v>
      </c>
      <c r="AH418" s="304">
        <f t="shared" ca="1" si="202"/>
        <v>94.522447891129985</v>
      </c>
    </row>
    <row r="419" spans="1:34" x14ac:dyDescent="0.2">
      <c r="A419" s="347">
        <f t="shared" ca="1" si="180"/>
        <v>0.01</v>
      </c>
      <c r="B419" s="304">
        <f t="shared" ca="1" si="181"/>
        <v>4.1499999999999559</v>
      </c>
      <c r="D419" s="306">
        <f t="shared" ca="1" si="182"/>
        <v>32.271587782752491</v>
      </c>
      <c r="E419" s="307">
        <f t="shared" ca="1" si="183"/>
        <v>78.808009004873654</v>
      </c>
      <c r="F419" s="304">
        <f t="shared" ca="1" si="184"/>
        <v>85.159601110691838</v>
      </c>
      <c r="G419" s="306">
        <f t="shared" ca="1" si="185"/>
        <v>126.97072445687633</v>
      </c>
      <c r="H419" s="307">
        <f t="shared" ca="1" si="186"/>
        <v>348.56441016283611</v>
      </c>
      <c r="I419" s="304">
        <f t="shared" ca="1" si="187"/>
        <v>370.96996226280885</v>
      </c>
      <c r="J419" s="306">
        <f t="shared" ca="1" si="188"/>
        <v>244.0291027610744</v>
      </c>
      <c r="K419" s="307">
        <f t="shared" ca="1" si="189"/>
        <v>707.98664024468133</v>
      </c>
      <c r="L419" s="304">
        <f t="shared" ca="1" si="174"/>
        <v>748.86266148027892</v>
      </c>
      <c r="M419" s="306">
        <f t="shared" ca="1" si="190"/>
        <v>1.2214679125313659</v>
      </c>
      <c r="N419" s="304">
        <f t="shared" ca="1" si="191"/>
        <v>69.984956198702065</v>
      </c>
      <c r="P419" s="310">
        <f t="shared" ca="1" si="192"/>
        <v>14</v>
      </c>
      <c r="Q419" s="304">
        <f t="shared" ca="1" si="193"/>
        <v>2294.3359252548162</v>
      </c>
      <c r="R419" s="306">
        <f t="shared" ca="1" si="194"/>
        <v>1.379754286448249</v>
      </c>
      <c r="S419" s="307">
        <f t="shared" ca="1" si="195"/>
        <v>14.939278615688702</v>
      </c>
      <c r="T419" s="304">
        <f t="shared" ca="1" si="175"/>
        <v>146.55432321990617</v>
      </c>
      <c r="U419" s="311">
        <f t="shared" ca="1" si="176"/>
        <v>0</v>
      </c>
      <c r="V419" s="306">
        <f t="shared" ca="1" si="177"/>
        <v>1.1412367979691254</v>
      </c>
      <c r="W419" s="304">
        <f t="shared" ca="1" si="178"/>
        <v>889.16013567059622</v>
      </c>
      <c r="Y419" s="314" t="str">
        <f t="shared" ca="1" si="196"/>
        <v/>
      </c>
      <c r="Z419" s="315" t="str">
        <f t="shared" ca="1" si="197"/>
        <v/>
      </c>
      <c r="AA419" s="316" t="str">
        <f t="shared" ca="1" si="198"/>
        <v/>
      </c>
      <c r="AC419" s="310" t="e">
        <f t="shared" ca="1" si="199"/>
        <v>#N/A</v>
      </c>
      <c r="AD419" s="323" t="e">
        <f t="shared" ca="1" si="200"/>
        <v>#N/A</v>
      </c>
      <c r="AE419" s="324">
        <f t="shared" ca="1" si="179"/>
        <v>707.98664024468133</v>
      </c>
      <c r="AG419" s="306">
        <f t="shared" ca="1" si="201"/>
        <v>85.093416486893943</v>
      </c>
      <c r="AH419" s="304">
        <f t="shared" ca="1" si="202"/>
        <v>94.311223605718155</v>
      </c>
    </row>
    <row r="420" spans="1:34" x14ac:dyDescent="0.2">
      <c r="A420" s="347">
        <f t="shared" ca="1" si="180"/>
        <v>0.01</v>
      </c>
      <c r="B420" s="304">
        <f t="shared" ca="1" si="181"/>
        <v>4.1599999999999557</v>
      </c>
      <c r="D420" s="306">
        <f t="shared" ca="1" si="182"/>
        <v>32.207263758756099</v>
      </c>
      <c r="E420" s="307">
        <f t="shared" ca="1" si="183"/>
        <v>78.606490833227895</v>
      </c>
      <c r="F420" s="304">
        <f t="shared" ca="1" si="184"/>
        <v>84.948738895527015</v>
      </c>
      <c r="G420" s="306">
        <f t="shared" ca="1" si="185"/>
        <v>127.29279709446389</v>
      </c>
      <c r="H420" s="307">
        <f t="shared" ca="1" si="186"/>
        <v>349.35047507116838</v>
      </c>
      <c r="I420" s="304">
        <f t="shared" ca="1" si="187"/>
        <v>371.81878734752416</v>
      </c>
      <c r="J420" s="306">
        <f t="shared" ca="1" si="188"/>
        <v>245.30042036883111</v>
      </c>
      <c r="K420" s="307">
        <f t="shared" ca="1" si="189"/>
        <v>711.47621467085139</v>
      </c>
      <c r="L420" s="304">
        <f t="shared" ca="1" si="174"/>
        <v>752.57604285247396</v>
      </c>
      <c r="M420" s="306">
        <f t="shared" ca="1" si="190"/>
        <v>1.2213776094583675</v>
      </c>
      <c r="N420" s="304">
        <f t="shared" ca="1" si="191"/>
        <v>69.979782213742197</v>
      </c>
      <c r="P420" s="310">
        <f t="shared" ca="1" si="192"/>
        <v>14</v>
      </c>
      <c r="Q420" s="304">
        <f t="shared" ca="1" si="193"/>
        <v>2293.6462083805236</v>
      </c>
      <c r="R420" s="306">
        <f t="shared" ca="1" si="194"/>
        <v>1.3793395085583744</v>
      </c>
      <c r="S420" s="307">
        <f t="shared" ca="1" si="195"/>
        <v>14.925485220603118</v>
      </c>
      <c r="T420" s="304">
        <f t="shared" ca="1" si="175"/>
        <v>146.41901001411659</v>
      </c>
      <c r="U420" s="311">
        <f t="shared" ca="1" si="176"/>
        <v>0</v>
      </c>
      <c r="V420" s="306">
        <f t="shared" ca="1" si="177"/>
        <v>1.1408381224072837</v>
      </c>
      <c r="W420" s="304">
        <f t="shared" ca="1" si="178"/>
        <v>892.92176817377867</v>
      </c>
      <c r="Y420" s="314" t="str">
        <f t="shared" ca="1" si="196"/>
        <v/>
      </c>
      <c r="Z420" s="315" t="str">
        <f t="shared" ca="1" si="197"/>
        <v/>
      </c>
      <c r="AA420" s="316" t="str">
        <f t="shared" ca="1" si="198"/>
        <v/>
      </c>
      <c r="AC420" s="310" t="e">
        <f t="shared" ca="1" si="199"/>
        <v>#N/A</v>
      </c>
      <c r="AD420" s="323" t="e">
        <f t="shared" ca="1" si="200"/>
        <v>#N/A</v>
      </c>
      <c r="AE420" s="324">
        <f t="shared" ca="1" si="179"/>
        <v>711.47621467085139</v>
      </c>
      <c r="AG420" s="306">
        <f t="shared" ca="1" si="201"/>
        <v>84.882356869016775</v>
      </c>
      <c r="AH420" s="304">
        <f t="shared" ca="1" si="202"/>
        <v>94.099860202278506</v>
      </c>
    </row>
    <row r="421" spans="1:34" x14ac:dyDescent="0.2">
      <c r="A421" s="347">
        <f t="shared" ca="1" si="180"/>
        <v>0.01</v>
      </c>
      <c r="B421" s="304">
        <f t="shared" ca="1" si="181"/>
        <v>4.1699999999999555</v>
      </c>
      <c r="D421" s="306">
        <f t="shared" ca="1" si="182"/>
        <v>32.142841453217258</v>
      </c>
      <c r="E421" s="307">
        <f t="shared" ca="1" si="183"/>
        <v>78.404865162288573</v>
      </c>
      <c r="F421" s="304">
        <f t="shared" ca="1" si="184"/>
        <v>84.73774328953607</v>
      </c>
      <c r="G421" s="306">
        <f t="shared" ca="1" si="185"/>
        <v>127.61422550899607</v>
      </c>
      <c r="H421" s="307">
        <f t="shared" ca="1" si="186"/>
        <v>350.13452372279124</v>
      </c>
      <c r="I421" s="304">
        <f t="shared" ca="1" si="187"/>
        <v>372.66550048917429</v>
      </c>
      <c r="J421" s="306">
        <f t="shared" ca="1" si="188"/>
        <v>246.57495548184841</v>
      </c>
      <c r="K421" s="307">
        <f t="shared" ca="1" si="189"/>
        <v>714.97363966482123</v>
      </c>
      <c r="L421" s="304">
        <f t="shared" ca="1" si="174"/>
        <v>756.29790035834242</v>
      </c>
      <c r="M421" s="306">
        <f t="shared" ca="1" si="190"/>
        <v>1.2212874892229189</v>
      </c>
      <c r="N421" s="304">
        <f t="shared" ca="1" si="191"/>
        <v>69.974618704602264</v>
      </c>
      <c r="P421" s="310">
        <f t="shared" ca="1" si="192"/>
        <v>14</v>
      </c>
      <c r="Q421" s="304">
        <f t="shared" ca="1" si="193"/>
        <v>2292.9564915062315</v>
      </c>
      <c r="R421" s="306">
        <f t="shared" ca="1" si="194"/>
        <v>1.3789247306685</v>
      </c>
      <c r="S421" s="307">
        <f t="shared" ca="1" si="195"/>
        <v>14.911695973296434</v>
      </c>
      <c r="T421" s="304">
        <f t="shared" ca="1" si="175"/>
        <v>146.28373749803802</v>
      </c>
      <c r="U421" s="311">
        <f t="shared" ca="1" si="176"/>
        <v>0</v>
      </c>
      <c r="V421" s="306">
        <f t="shared" ca="1" si="177"/>
        <v>1.1404386847094652</v>
      </c>
      <c r="W421" s="304">
        <f t="shared" ca="1" si="178"/>
        <v>896.67909595898425</v>
      </c>
      <c r="Y421" s="314" t="str">
        <f t="shared" ca="1" si="196"/>
        <v/>
      </c>
      <c r="Z421" s="315" t="str">
        <f t="shared" ca="1" si="197"/>
        <v/>
      </c>
      <c r="AA421" s="316" t="str">
        <f t="shared" ca="1" si="198"/>
        <v/>
      </c>
      <c r="AC421" s="310" t="e">
        <f t="shared" ca="1" si="199"/>
        <v>#N/A</v>
      </c>
      <c r="AD421" s="323" t="e">
        <f t="shared" ca="1" si="200"/>
        <v>#N/A</v>
      </c>
      <c r="AE421" s="324">
        <f t="shared" ca="1" si="179"/>
        <v>714.97363966482123</v>
      </c>
      <c r="AG421" s="306">
        <f t="shared" ca="1" si="201"/>
        <v>84.671162831949758</v>
      </c>
      <c r="AH421" s="304">
        <f t="shared" ca="1" si="202"/>
        <v>93.888362922608337</v>
      </c>
    </row>
    <row r="422" spans="1:34" x14ac:dyDescent="0.2">
      <c r="A422" s="347">
        <f t="shared" ca="1" si="180"/>
        <v>0.01</v>
      </c>
      <c r="B422" s="304">
        <f t="shared" ca="1" si="181"/>
        <v>4.1799999999999553</v>
      </c>
      <c r="D422" s="306">
        <f t="shared" ca="1" si="182"/>
        <v>32.078322849657923</v>
      </c>
      <c r="E422" s="307">
        <f t="shared" ca="1" si="183"/>
        <v>78.203136842640873</v>
      </c>
      <c r="F422" s="304">
        <f t="shared" ca="1" si="184"/>
        <v>84.526619528262813</v>
      </c>
      <c r="G422" s="306">
        <f t="shared" ca="1" si="185"/>
        <v>127.93500873749265</v>
      </c>
      <c r="H422" s="307">
        <f t="shared" ca="1" si="186"/>
        <v>350.91655509121767</v>
      </c>
      <c r="I422" s="304">
        <f t="shared" ca="1" si="187"/>
        <v>373.51010039589278</v>
      </c>
      <c r="J422" s="306">
        <f t="shared" ca="1" si="188"/>
        <v>247.85270165308086</v>
      </c>
      <c r="K422" s="307">
        <f t="shared" ca="1" si="189"/>
        <v>718.47889505889123</v>
      </c>
      <c r="L422" s="304">
        <f t="shared" ca="1" si="174"/>
        <v>760.02821287224356</v>
      </c>
      <c r="M422" s="306">
        <f t="shared" ca="1" si="190"/>
        <v>1.2211975505330739</v>
      </c>
      <c r="N422" s="304">
        <f t="shared" ca="1" si="191"/>
        <v>69.969465597259216</v>
      </c>
      <c r="P422" s="310">
        <f t="shared" ca="1" si="192"/>
        <v>14</v>
      </c>
      <c r="Q422" s="304">
        <f t="shared" ca="1" si="193"/>
        <v>2292.2667746319394</v>
      </c>
      <c r="R422" s="306">
        <f t="shared" ca="1" si="194"/>
        <v>1.3785099527786255</v>
      </c>
      <c r="S422" s="307">
        <f t="shared" ca="1" si="195"/>
        <v>14.897910873768648</v>
      </c>
      <c r="T422" s="304">
        <f t="shared" ca="1" si="175"/>
        <v>146.14850567167045</v>
      </c>
      <c r="U422" s="311">
        <f t="shared" ca="1" si="176"/>
        <v>0</v>
      </c>
      <c r="V422" s="306">
        <f t="shared" ca="1" si="177"/>
        <v>1.1400384880178589</v>
      </c>
      <c r="W422" s="304">
        <f t="shared" ca="1" si="178"/>
        <v>900.43203877317808</v>
      </c>
      <c r="Y422" s="314" t="str">
        <f t="shared" ca="1" si="196"/>
        <v/>
      </c>
      <c r="Z422" s="315" t="str">
        <f t="shared" ca="1" si="197"/>
        <v/>
      </c>
      <c r="AA422" s="316" t="str">
        <f t="shared" ca="1" si="198"/>
        <v/>
      </c>
      <c r="AC422" s="310" t="e">
        <f t="shared" ca="1" si="199"/>
        <v>#N/A</v>
      </c>
      <c r="AD422" s="323" t="e">
        <f t="shared" ca="1" si="200"/>
        <v>#N/A</v>
      </c>
      <c r="AE422" s="324">
        <f t="shared" ca="1" si="179"/>
        <v>718.47889505889123</v>
      </c>
      <c r="AG422" s="306">
        <f t="shared" ca="1" si="201"/>
        <v>84.459839606288682</v>
      </c>
      <c r="AH422" s="304">
        <f t="shared" ca="1" si="202"/>
        <v>93.676736993387607</v>
      </c>
    </row>
    <row r="423" spans="1:34" x14ac:dyDescent="0.2">
      <c r="A423" s="347">
        <f t="shared" ca="1" si="180"/>
        <v>0.01</v>
      </c>
      <c r="B423" s="304">
        <f t="shared" ca="1" si="181"/>
        <v>4.1899999999999551</v>
      </c>
      <c r="D423" s="306">
        <f t="shared" ca="1" si="182"/>
        <v>32.013709926185015</v>
      </c>
      <c r="E423" s="307">
        <f t="shared" ca="1" si="183"/>
        <v>78.001310710405136</v>
      </c>
      <c r="F423" s="304">
        <f t="shared" ca="1" si="184"/>
        <v>84.315372831880907</v>
      </c>
      <c r="G423" s="306">
        <f t="shared" ca="1" si="185"/>
        <v>128.25514583675451</v>
      </c>
      <c r="H423" s="307">
        <f t="shared" ca="1" si="186"/>
        <v>351.6965681983217</v>
      </c>
      <c r="I423" s="304">
        <f t="shared" ca="1" si="187"/>
        <v>374.35258582796502</v>
      </c>
      <c r="J423" s="306">
        <f t="shared" ca="1" si="188"/>
        <v>249.13365242595208</v>
      </c>
      <c r="K423" s="307">
        <f t="shared" ca="1" si="189"/>
        <v>721.99196067533887</v>
      </c>
      <c r="L423" s="304">
        <f t="shared" ca="1" si="174"/>
        <v>763.76695925584215</v>
      </c>
      <c r="M423" s="306">
        <f t="shared" ca="1" si="190"/>
        <v>1.2211077921080857</v>
      </c>
      <c r="N423" s="304">
        <f t="shared" ca="1" si="191"/>
        <v>69.964322818331652</v>
      </c>
      <c r="P423" s="310">
        <f t="shared" ca="1" si="192"/>
        <v>14</v>
      </c>
      <c r="Q423" s="304">
        <f t="shared" ca="1" si="193"/>
        <v>2291.5770577576473</v>
      </c>
      <c r="R423" s="306">
        <f t="shared" ca="1" si="194"/>
        <v>1.3780951748887511</v>
      </c>
      <c r="S423" s="307">
        <f t="shared" ca="1" si="195"/>
        <v>14.88412992201976</v>
      </c>
      <c r="T423" s="304">
        <f t="shared" ca="1" si="175"/>
        <v>146.01331453501385</v>
      </c>
      <c r="U423" s="311">
        <f t="shared" ca="1" si="176"/>
        <v>0</v>
      </c>
      <c r="V423" s="306">
        <f t="shared" ca="1" si="177"/>
        <v>1.1396375354738371</v>
      </c>
      <c r="W423" s="304">
        <f t="shared" ca="1" si="178"/>
        <v>904.18051688555795</v>
      </c>
      <c r="Y423" s="314" t="str">
        <f t="shared" ca="1" si="196"/>
        <v/>
      </c>
      <c r="Z423" s="315" t="str">
        <f t="shared" ca="1" si="197"/>
        <v/>
      </c>
      <c r="AA423" s="316" t="str">
        <f t="shared" ca="1" si="198"/>
        <v/>
      </c>
      <c r="AC423" s="310" t="e">
        <f t="shared" ca="1" si="199"/>
        <v>#N/A</v>
      </c>
      <c r="AD423" s="323" t="e">
        <f t="shared" ca="1" si="200"/>
        <v>#N/A</v>
      </c>
      <c r="AE423" s="324">
        <f t="shared" ca="1" si="179"/>
        <v>721.99196067533887</v>
      </c>
      <c r="AG423" s="306">
        <f t="shared" ca="1" si="201"/>
        <v>84.248392407240857</v>
      </c>
      <c r="AH423" s="304">
        <f t="shared" ca="1" si="202"/>
        <v>93.464987625940594</v>
      </c>
    </row>
    <row r="424" spans="1:34" x14ac:dyDescent="0.2">
      <c r="A424" s="347">
        <f t="shared" ca="1" si="180"/>
        <v>0.01</v>
      </c>
      <c r="B424" s="304">
        <f t="shared" ca="1" si="181"/>
        <v>4.1999999999999549</v>
      </c>
      <c r="D424" s="306">
        <f t="shared" ca="1" si="182"/>
        <v>31.94900465541545</v>
      </c>
      <c r="E424" s="307">
        <f t="shared" ca="1" si="183"/>
        <v>77.799391587014043</v>
      </c>
      <c r="F424" s="304">
        <f t="shared" ca="1" si="184"/>
        <v>84.104008404958378</v>
      </c>
      <c r="G424" s="306">
        <f t="shared" ca="1" si="185"/>
        <v>128.57463588330867</v>
      </c>
      <c r="H424" s="307">
        <f t="shared" ca="1" si="186"/>
        <v>352.47456211419183</v>
      </c>
      <c r="I424" s="304">
        <f t="shared" ca="1" si="187"/>
        <v>375.19295559767204</v>
      </c>
      <c r="J424" s="306">
        <f t="shared" ca="1" si="188"/>
        <v>250.41780133455239</v>
      </c>
      <c r="K424" s="307">
        <f t="shared" ca="1" si="189"/>
        <v>725.51281632690143</v>
      </c>
      <c r="L424" s="304">
        <f t="shared" ca="1" si="174"/>
        <v>767.51411835862905</v>
      </c>
      <c r="M424" s="306">
        <f t="shared" ca="1" si="190"/>
        <v>1.2210182126782805</v>
      </c>
      <c r="N424" s="304">
        <f t="shared" ca="1" si="191"/>
        <v>69.959190295072617</v>
      </c>
      <c r="P424" s="310">
        <f t="shared" ca="1" si="192"/>
        <v>14</v>
      </c>
      <c r="Q424" s="304">
        <f t="shared" ca="1" si="193"/>
        <v>2290.8873408833551</v>
      </c>
      <c r="R424" s="306">
        <f t="shared" ca="1" si="194"/>
        <v>1.3776803969988767</v>
      </c>
      <c r="S424" s="307">
        <f t="shared" ca="1" si="195"/>
        <v>14.870353118049771</v>
      </c>
      <c r="T424" s="304">
        <f t="shared" ca="1" si="175"/>
        <v>145.87816408806825</v>
      </c>
      <c r="U424" s="311">
        <f t="shared" ca="1" si="176"/>
        <v>0</v>
      </c>
      <c r="V424" s="306">
        <f t="shared" ca="1" si="177"/>
        <v>1.1392358302178829</v>
      </c>
      <c r="W424" s="304">
        <f t="shared" ca="1" si="178"/>
        <v>907.92445108973072</v>
      </c>
      <c r="Y424" s="314" t="str">
        <f t="shared" ca="1" si="196"/>
        <v/>
      </c>
      <c r="Z424" s="315" t="str">
        <f t="shared" ca="1" si="197"/>
        <v/>
      </c>
      <c r="AA424" s="316" t="str">
        <f t="shared" ca="1" si="198"/>
        <v/>
      </c>
      <c r="AC424" s="310" t="e">
        <f t="shared" ca="1" si="199"/>
        <v>#N/A</v>
      </c>
      <c r="AD424" s="323" t="e">
        <f t="shared" ca="1" si="200"/>
        <v>#N/A</v>
      </c>
      <c r="AE424" s="324">
        <f t="shared" ca="1" si="179"/>
        <v>725.51281632690143</v>
      </c>
      <c r="AG424" s="306">
        <f t="shared" ca="1" si="201"/>
        <v>84.036826434389724</v>
      </c>
      <c r="AH424" s="304">
        <f t="shared" ca="1" si="202"/>
        <v>93.253120016000139</v>
      </c>
    </row>
    <row r="425" spans="1:34" x14ac:dyDescent="0.2">
      <c r="A425" s="347">
        <f t="shared" ca="1" si="180"/>
        <v>0.01</v>
      </c>
      <c r="B425" s="304">
        <f t="shared" ca="1" si="181"/>
        <v>4.2099999999999547</v>
      </c>
      <c r="D425" s="306">
        <f t="shared" ca="1" si="182"/>
        <v>31.884209004401754</v>
      </c>
      <c r="E425" s="307">
        <f t="shared" ca="1" si="183"/>
        <v>77.597384278992365</v>
      </c>
      <c r="F425" s="304">
        <f t="shared" ca="1" si="184"/>
        <v>83.892531436224914</v>
      </c>
      <c r="G425" s="306">
        <f t="shared" ca="1" si="185"/>
        <v>128.8934779733527</v>
      </c>
      <c r="H425" s="307">
        <f t="shared" ca="1" si="186"/>
        <v>353.25053595698176</v>
      </c>
      <c r="I425" s="304">
        <f t="shared" ca="1" si="187"/>
        <v>376.03120856913199</v>
      </c>
      <c r="J425" s="306">
        <f t="shared" ca="1" si="188"/>
        <v>251.70514190383571</v>
      </c>
      <c r="K425" s="307">
        <f t="shared" ca="1" si="189"/>
        <v>729.04144181725735</v>
      </c>
      <c r="L425" s="304">
        <f t="shared" ca="1" si="174"/>
        <v>771.26966901844094</v>
      </c>
      <c r="M425" s="306">
        <f t="shared" ca="1" si="190"/>
        <v>1.220928810984933</v>
      </c>
      <c r="N425" s="304">
        <f t="shared" ca="1" si="191"/>
        <v>69.95406795536249</v>
      </c>
      <c r="P425" s="310">
        <f t="shared" ca="1" si="192"/>
        <v>14</v>
      </c>
      <c r="Q425" s="304">
        <f t="shared" ca="1" si="193"/>
        <v>2290.197624009063</v>
      </c>
      <c r="R425" s="306">
        <f t="shared" ca="1" si="194"/>
        <v>1.3772656191090022</v>
      </c>
      <c r="S425" s="307">
        <f t="shared" ca="1" si="195"/>
        <v>14.85658046185868</v>
      </c>
      <c r="T425" s="304">
        <f t="shared" ca="1" si="175"/>
        <v>145.74305433083367</v>
      </c>
      <c r="U425" s="311">
        <f t="shared" ca="1" si="176"/>
        <v>0</v>
      </c>
      <c r="V425" s="306">
        <f t="shared" ca="1" si="177"/>
        <v>1.1388333753895137</v>
      </c>
      <c r="W425" s="304">
        <f t="shared" ca="1" si="178"/>
        <v>911.663762705826</v>
      </c>
      <c r="Y425" s="314" t="str">
        <f t="shared" ca="1" si="196"/>
        <v/>
      </c>
      <c r="Z425" s="315" t="str">
        <f t="shared" ca="1" si="197"/>
        <v/>
      </c>
      <c r="AA425" s="316" t="str">
        <f t="shared" ca="1" si="198"/>
        <v/>
      </c>
      <c r="AC425" s="310" t="e">
        <f t="shared" ca="1" si="199"/>
        <v>#N/A</v>
      </c>
      <c r="AD425" s="323" t="e">
        <f t="shared" ca="1" si="200"/>
        <v>#N/A</v>
      </c>
      <c r="AE425" s="324">
        <f t="shared" ca="1" si="179"/>
        <v>729.04144181725735</v>
      </c>
      <c r="AG425" s="306">
        <f t="shared" ca="1" si="201"/>
        <v>83.825146871461996</v>
      </c>
      <c r="AH425" s="304">
        <f t="shared" ca="1" si="202"/>
        <v>93.041139343474384</v>
      </c>
    </row>
    <row r="426" spans="1:34" x14ac:dyDescent="0.2">
      <c r="A426" s="347">
        <f t="shared" ca="1" si="180"/>
        <v>0.01</v>
      </c>
      <c r="B426" s="304">
        <f t="shared" ca="1" si="181"/>
        <v>4.2199999999999545</v>
      </c>
      <c r="D426" s="306">
        <f t="shared" ca="1" si="182"/>
        <v>31.819324934558409</v>
      </c>
      <c r="E426" s="307">
        <f t="shared" ca="1" si="183"/>
        <v>77.395293577739437</v>
      </c>
      <c r="F426" s="304">
        <f t="shared" ca="1" si="184"/>
        <v>83.680947098341846</v>
      </c>
      <c r="G426" s="306">
        <f t="shared" ca="1" si="185"/>
        <v>129.2116712226983</v>
      </c>
      <c r="H426" s="307">
        <f t="shared" ca="1" si="186"/>
        <v>354.02448889275917</v>
      </c>
      <c r="I426" s="304">
        <f t="shared" ca="1" si="187"/>
        <v>376.86734365813925</v>
      </c>
      <c r="J426" s="306">
        <f t="shared" ca="1" si="188"/>
        <v>252.99566764981597</v>
      </c>
      <c r="K426" s="307">
        <f t="shared" ca="1" si="189"/>
        <v>732.57781694150606</v>
      </c>
      <c r="L426" s="304">
        <f t="shared" ca="1" si="174"/>
        <v>775.03359006197843</v>
      </c>
      <c r="M426" s="306">
        <f t="shared" ca="1" si="190"/>
        <v>1.2208395857801433</v>
      </c>
      <c r="N426" s="304">
        <f t="shared" ca="1" si="191"/>
        <v>69.948955727701843</v>
      </c>
      <c r="P426" s="310">
        <f t="shared" ca="1" si="192"/>
        <v>14</v>
      </c>
      <c r="Q426" s="304">
        <f t="shared" ca="1" si="193"/>
        <v>2289.5079071347709</v>
      </c>
      <c r="R426" s="306">
        <f t="shared" ca="1" si="194"/>
        <v>1.3768508412191278</v>
      </c>
      <c r="S426" s="307">
        <f t="shared" ca="1" si="195"/>
        <v>14.842811953446489</v>
      </c>
      <c r="T426" s="304">
        <f t="shared" ca="1" si="175"/>
        <v>145.60798526331007</v>
      </c>
      <c r="U426" s="311">
        <f t="shared" ca="1" si="176"/>
        <v>0</v>
      </c>
      <c r="V426" s="306">
        <f t="shared" ca="1" si="177"/>
        <v>1.1384301741272103</v>
      </c>
      <c r="W426" s="304">
        <f t="shared" ca="1" si="178"/>
        <v>915.39837358256148</v>
      </c>
      <c r="Y426" s="314" t="str">
        <f t="shared" ca="1" si="196"/>
        <v/>
      </c>
      <c r="Z426" s="315" t="str">
        <f t="shared" ca="1" si="197"/>
        <v/>
      </c>
      <c r="AA426" s="316" t="str">
        <f t="shared" ca="1" si="198"/>
        <v/>
      </c>
      <c r="AC426" s="310" t="e">
        <f t="shared" ca="1" si="199"/>
        <v>#N/A</v>
      </c>
      <c r="AD426" s="323" t="e">
        <f t="shared" ca="1" si="200"/>
        <v>#N/A</v>
      </c>
      <c r="AE426" s="324">
        <f t="shared" ca="1" si="179"/>
        <v>732.57781694150606</v>
      </c>
      <c r="AG426" s="306">
        <f t="shared" ca="1" si="201"/>
        <v>83.613358886097629</v>
      </c>
      <c r="AH426" s="304">
        <f t="shared" ca="1" si="202"/>
        <v>92.829050772216419</v>
      </c>
    </row>
    <row r="427" spans="1:34" x14ac:dyDescent="0.2">
      <c r="A427" s="347">
        <f t="shared" ca="1" si="180"/>
        <v>0.01</v>
      </c>
      <c r="B427" s="304">
        <f t="shared" ca="1" si="181"/>
        <v>4.2299999999999542</v>
      </c>
      <c r="D427" s="306">
        <f t="shared" ca="1" si="182"/>
        <v>31.75435440158881</v>
      </c>
      <c r="E427" s="307">
        <f t="shared" ca="1" si="183"/>
        <v>77.193124259313734</v>
      </c>
      <c r="F427" s="304">
        <f t="shared" ca="1" si="184"/>
        <v>83.469260547674395</v>
      </c>
      <c r="G427" s="306">
        <f t="shared" ca="1" si="185"/>
        <v>129.52921476671418</v>
      </c>
      <c r="H427" s="307">
        <f t="shared" ca="1" si="186"/>
        <v>354.79642013535232</v>
      </c>
      <c r="I427" s="304">
        <f t="shared" ca="1" si="187"/>
        <v>377.7013598320014</v>
      </c>
      <c r="J427" s="306">
        <f t="shared" ca="1" si="188"/>
        <v>254.28937207976304</v>
      </c>
      <c r="K427" s="307">
        <f t="shared" ca="1" si="189"/>
        <v>736.12192148664667</v>
      </c>
      <c r="L427" s="304">
        <f t="shared" ca="1" si="174"/>
        <v>778.8058603053222</v>
      </c>
      <c r="M427" s="306">
        <f t="shared" ca="1" si="190"/>
        <v>1.2207505358267166</v>
      </c>
      <c r="N427" s="304">
        <f t="shared" ca="1" si="191"/>
        <v>69.94385354120466</v>
      </c>
      <c r="P427" s="310">
        <f t="shared" ca="1" si="192"/>
        <v>14</v>
      </c>
      <c r="Q427" s="304">
        <f t="shared" ca="1" si="193"/>
        <v>2288.8181902604788</v>
      </c>
      <c r="R427" s="306">
        <f t="shared" ca="1" si="194"/>
        <v>1.3764360633292534</v>
      </c>
      <c r="S427" s="307">
        <f t="shared" ca="1" si="195"/>
        <v>14.829047592813197</v>
      </c>
      <c r="T427" s="304">
        <f t="shared" ca="1" si="175"/>
        <v>145.47295688549747</v>
      </c>
      <c r="U427" s="311">
        <f t="shared" ca="1" si="176"/>
        <v>0</v>
      </c>
      <c r="V427" s="306">
        <f t="shared" ca="1" si="177"/>
        <v>1.1380262295683403</v>
      </c>
      <c r="W427" s="304">
        <f t="shared" ca="1" si="178"/>
        <v>919.12820609924336</v>
      </c>
      <c r="Y427" s="314" t="str">
        <f t="shared" ca="1" si="196"/>
        <v/>
      </c>
      <c r="Z427" s="315" t="str">
        <f t="shared" ca="1" si="197"/>
        <v/>
      </c>
      <c r="AA427" s="316" t="str">
        <f t="shared" ca="1" si="198"/>
        <v/>
      </c>
      <c r="AC427" s="310" t="e">
        <f t="shared" ca="1" si="199"/>
        <v>#N/A</v>
      </c>
      <c r="AD427" s="323" t="e">
        <f t="shared" ca="1" si="200"/>
        <v>#N/A</v>
      </c>
      <c r="AE427" s="324">
        <f t="shared" ca="1" si="179"/>
        <v>736.12192148664667</v>
      </c>
      <c r="AG427" s="306">
        <f t="shared" ca="1" si="201"/>
        <v>83.401467629622005</v>
      </c>
      <c r="AH427" s="304">
        <f t="shared" ca="1" si="202"/>
        <v>92.616859449796124</v>
      </c>
    </row>
    <row r="428" spans="1:34" x14ac:dyDescent="0.2">
      <c r="A428" s="347">
        <f t="shared" ca="1" si="180"/>
        <v>0.01</v>
      </c>
      <c r="B428" s="304">
        <f t="shared" ca="1" si="181"/>
        <v>4.239999999999954</v>
      </c>
      <c r="D428" s="306">
        <f t="shared" ca="1" si="182"/>
        <v>31.689299355412832</v>
      </c>
      <c r="E428" s="307">
        <f t="shared" ca="1" si="183"/>
        <v>76.990881084220391</v>
      </c>
      <c r="F428" s="304">
        <f t="shared" ca="1" si="184"/>
        <v>83.257476924066907</v>
      </c>
      <c r="G428" s="306">
        <f t="shared" ca="1" si="185"/>
        <v>129.8461077602683</v>
      </c>
      <c r="H428" s="307">
        <f t="shared" ca="1" si="186"/>
        <v>355.56632894619452</v>
      </c>
      <c r="I428" s="304">
        <f t="shared" ca="1" si="187"/>
        <v>378.53325610937361</v>
      </c>
      <c r="J428" s="306">
        <f t="shared" ca="1" si="188"/>
        <v>255.58624869239796</v>
      </c>
      <c r="K428" s="307">
        <f t="shared" ca="1" si="189"/>
        <v>739.67373523205436</v>
      </c>
      <c r="L428" s="304">
        <f t="shared" ca="1" si="174"/>
        <v>782.58645855444729</v>
      </c>
      <c r="M428" s="306">
        <f t="shared" ca="1" si="190"/>
        <v>1.220661659898042</v>
      </c>
      <c r="N428" s="304">
        <f t="shared" ca="1" si="191"/>
        <v>69.938761325591301</v>
      </c>
      <c r="P428" s="310">
        <f t="shared" ca="1" si="192"/>
        <v>14</v>
      </c>
      <c r="Q428" s="304">
        <f t="shared" ca="1" si="193"/>
        <v>2288.1284733861867</v>
      </c>
      <c r="R428" s="306">
        <f t="shared" ca="1" si="194"/>
        <v>1.376021285439379</v>
      </c>
      <c r="S428" s="307">
        <f t="shared" ca="1" si="195"/>
        <v>14.815287379958804</v>
      </c>
      <c r="T428" s="304">
        <f t="shared" ca="1" si="175"/>
        <v>145.33796919739586</v>
      </c>
      <c r="U428" s="311">
        <f t="shared" ca="1" si="176"/>
        <v>0</v>
      </c>
      <c r="V428" s="306">
        <f t="shared" ca="1" si="177"/>
        <v>1.1376215448490874</v>
      </c>
      <c r="W428" s="304">
        <f t="shared" ca="1" si="178"/>
        <v>922.85318316771702</v>
      </c>
      <c r="Y428" s="314" t="str">
        <f t="shared" ca="1" si="196"/>
        <v/>
      </c>
      <c r="Z428" s="315" t="str">
        <f t="shared" ca="1" si="197"/>
        <v/>
      </c>
      <c r="AA428" s="316" t="str">
        <f t="shared" ca="1" si="198"/>
        <v/>
      </c>
      <c r="AC428" s="310" t="e">
        <f t="shared" ca="1" si="199"/>
        <v>#N/A</v>
      </c>
      <c r="AD428" s="323" t="e">
        <f t="shared" ca="1" si="200"/>
        <v>#N/A</v>
      </c>
      <c r="AE428" s="324">
        <f t="shared" ca="1" si="179"/>
        <v>739.67373523205436</v>
      </c>
      <c r="AG428" s="306">
        <f t="shared" ca="1" si="201"/>
        <v>83.189478236820989</v>
      </c>
      <c r="AH428" s="304">
        <f t="shared" ca="1" si="202"/>
        <v>92.404570507274897</v>
      </c>
    </row>
    <row r="429" spans="1:34" x14ac:dyDescent="0.2">
      <c r="A429" s="347">
        <f t="shared" ca="1" si="180"/>
        <v>0.01</v>
      </c>
      <c r="B429" s="304">
        <f t="shared" ca="1" si="181"/>
        <v>4.2499999999999538</v>
      </c>
      <c r="D429" s="306">
        <f t="shared" ca="1" si="182"/>
        <v>31.624161740095222</v>
      </c>
      <c r="E429" s="307">
        <f t="shared" ca="1" si="183"/>
        <v>76.788568797200895</v>
      </c>
      <c r="F429" s="304">
        <f t="shared" ca="1" si="184"/>
        <v>83.045601350620359</v>
      </c>
      <c r="G429" s="306">
        <f t="shared" ca="1" si="185"/>
        <v>130.16234937766924</v>
      </c>
      <c r="H429" s="307">
        <f t="shared" ca="1" si="186"/>
        <v>356.33421463416653</v>
      </c>
      <c r="I429" s="304">
        <f t="shared" ca="1" si="187"/>
        <v>379.36303156009114</v>
      </c>
      <c r="J429" s="306">
        <f t="shared" ca="1" si="188"/>
        <v>256.88629097808763</v>
      </c>
      <c r="K429" s="307">
        <f t="shared" ca="1" si="189"/>
        <v>743.23323794995611</v>
      </c>
      <c r="L429" s="304">
        <f t="shared" ca="1" si="174"/>
        <v>786.37536360573677</v>
      </c>
      <c r="M429" s="306">
        <f t="shared" ca="1" si="190"/>
        <v>1.2205729567779771</v>
      </c>
      <c r="N429" s="304">
        <f t="shared" ca="1" si="191"/>
        <v>69.933679011181937</v>
      </c>
      <c r="P429" s="310">
        <f t="shared" ca="1" si="192"/>
        <v>14</v>
      </c>
      <c r="Q429" s="304">
        <f t="shared" ca="1" si="193"/>
        <v>2287.4387565118941</v>
      </c>
      <c r="R429" s="306">
        <f t="shared" ca="1" si="194"/>
        <v>1.3756065075495043</v>
      </c>
      <c r="S429" s="307">
        <f t="shared" ca="1" si="195"/>
        <v>14.801531314883309</v>
      </c>
      <c r="T429" s="304">
        <f t="shared" ca="1" si="175"/>
        <v>145.20302219900526</v>
      </c>
      <c r="U429" s="311">
        <f t="shared" ca="1" si="176"/>
        <v>0</v>
      </c>
      <c r="V429" s="306">
        <f t="shared" ca="1" si="177"/>
        <v>1.1372161231043771</v>
      </c>
      <c r="W429" s="304">
        <f t="shared" ca="1" si="178"/>
        <v>926.57322823425591</v>
      </c>
      <c r="Y429" s="314" t="str">
        <f t="shared" ca="1" si="196"/>
        <v/>
      </c>
      <c r="Z429" s="315" t="str">
        <f t="shared" ca="1" si="197"/>
        <v/>
      </c>
      <c r="AA429" s="316" t="str">
        <f t="shared" ca="1" si="198"/>
        <v/>
      </c>
      <c r="AC429" s="310" t="e">
        <f t="shared" ca="1" si="199"/>
        <v>#N/A</v>
      </c>
      <c r="AD429" s="323" t="e">
        <f t="shared" ca="1" si="200"/>
        <v>#N/A</v>
      </c>
      <c r="AE429" s="324">
        <f t="shared" ca="1" si="179"/>
        <v>743.23323794995611</v>
      </c>
      <c r="AG429" s="306">
        <f t="shared" ca="1" si="201"/>
        <v>82.977395825718531</v>
      </c>
      <c r="AH429" s="304">
        <f t="shared" ca="1" si="202"/>
        <v>92.192189058982862</v>
      </c>
    </row>
    <row r="430" spans="1:34" x14ac:dyDescent="0.2">
      <c r="A430" s="347">
        <f t="shared" ca="1" si="180"/>
        <v>0.01</v>
      </c>
      <c r="B430" s="304">
        <f t="shared" ca="1" si="181"/>
        <v>4.2599999999999536</v>
      </c>
      <c r="D430" s="306">
        <f t="shared" ca="1" si="182"/>
        <v>31.55894349377445</v>
      </c>
      <c r="E430" s="307">
        <f t="shared" ca="1" si="183"/>
        <v>76.586192127025726</v>
      </c>
      <c r="F430" s="304">
        <f t="shared" ca="1" si="184"/>
        <v>82.833638933472827</v>
      </c>
      <c r="G430" s="306">
        <f t="shared" ca="1" si="185"/>
        <v>130.47793881260699</v>
      </c>
      <c r="H430" s="307">
        <f t="shared" ca="1" si="186"/>
        <v>357.10007655543677</v>
      </c>
      <c r="I430" s="304">
        <f t="shared" ca="1" si="187"/>
        <v>380.19068530499959</v>
      </c>
      <c r="J430" s="306">
        <f t="shared" ca="1" si="188"/>
        <v>258.18949241903903</v>
      </c>
      <c r="K430" s="307">
        <f t="shared" ca="1" si="189"/>
        <v>746.80040940590413</v>
      </c>
      <c r="L430" s="304">
        <f t="shared" ca="1" si="174"/>
        <v>790.17255424649306</v>
      </c>
      <c r="M430" s="306">
        <f t="shared" ca="1" si="190"/>
        <v>1.2204844252607299</v>
      </c>
      <c r="N430" s="304">
        <f t="shared" ca="1" si="191"/>
        <v>69.928606528889773</v>
      </c>
      <c r="P430" s="310">
        <f t="shared" ca="1" si="192"/>
        <v>14</v>
      </c>
      <c r="Q430" s="304">
        <f t="shared" ca="1" si="193"/>
        <v>2286.749039637602</v>
      </c>
      <c r="R430" s="306">
        <f t="shared" ca="1" si="194"/>
        <v>1.3751917296596299</v>
      </c>
      <c r="S430" s="307">
        <f t="shared" ca="1" si="195"/>
        <v>14.787779397586712</v>
      </c>
      <c r="T430" s="304">
        <f t="shared" ca="1" si="175"/>
        <v>145.06811589032566</v>
      </c>
      <c r="U430" s="311">
        <f t="shared" ca="1" si="176"/>
        <v>0</v>
      </c>
      <c r="V430" s="306">
        <f t="shared" ca="1" si="177"/>
        <v>1.1368099674678052</v>
      </c>
      <c r="W430" s="304">
        <f t="shared" ca="1" si="178"/>
        <v>930.28826528140053</v>
      </c>
      <c r="Y430" s="314" t="str">
        <f t="shared" ca="1" si="196"/>
        <v/>
      </c>
      <c r="Z430" s="315" t="str">
        <f t="shared" ca="1" si="197"/>
        <v/>
      </c>
      <c r="AA430" s="316" t="str">
        <f t="shared" ca="1" si="198"/>
        <v/>
      </c>
      <c r="AC430" s="310" t="e">
        <f t="shared" ca="1" si="199"/>
        <v>#N/A</v>
      </c>
      <c r="AD430" s="323" t="e">
        <f t="shared" ca="1" si="200"/>
        <v>#N/A</v>
      </c>
      <c r="AE430" s="324">
        <f t="shared" ca="1" si="179"/>
        <v>746.80040940590413</v>
      </c>
      <c r="AG430" s="306">
        <f t="shared" ca="1" si="201"/>
        <v>82.76522549735698</v>
      </c>
      <c r="AH430" s="304">
        <f t="shared" ca="1" si="202"/>
        <v>91.979720202298893</v>
      </c>
    </row>
    <row r="431" spans="1:34" x14ac:dyDescent="0.2">
      <c r="A431" s="347">
        <f t="shared" ca="1" si="180"/>
        <v>0.01</v>
      </c>
      <c r="B431" s="304">
        <f t="shared" ca="1" si="181"/>
        <v>4.2699999999999534</v>
      </c>
      <c r="D431" s="306">
        <f t="shared" ca="1" si="182"/>
        <v>31.493646548592412</v>
      </c>
      <c r="E431" s="307">
        <f t="shared" ca="1" si="183"/>
        <v>76.383755786289058</v>
      </c>
      <c r="F431" s="304">
        <f t="shared" ca="1" si="184"/>
        <v>82.621594761582244</v>
      </c>
      <c r="G431" s="306">
        <f t="shared" ca="1" si="185"/>
        <v>130.79287527809291</v>
      </c>
      <c r="H431" s="307">
        <f t="shared" ca="1" si="186"/>
        <v>357.86391411329964</v>
      </c>
      <c r="I431" s="304">
        <f t="shared" ca="1" si="187"/>
        <v>381.01621651578279</v>
      </c>
      <c r="J431" s="306">
        <f t="shared" ca="1" si="188"/>
        <v>259.49584648949252</v>
      </c>
      <c r="K431" s="307">
        <f t="shared" ca="1" si="189"/>
        <v>750.37522935924778</v>
      </c>
      <c r="L431" s="304">
        <f t="shared" ca="1" si="174"/>
        <v>793.97800925544652</v>
      </c>
      <c r="M431" s="306">
        <f t="shared" ca="1" si="190"/>
        <v>1.2203960641507461</v>
      </c>
      <c r="N431" s="304">
        <f t="shared" ca="1" si="191"/>
        <v>69.923543810214625</v>
      </c>
      <c r="P431" s="310">
        <f t="shared" ca="1" si="192"/>
        <v>14</v>
      </c>
      <c r="Q431" s="304">
        <f t="shared" ca="1" si="193"/>
        <v>2286.0593227633099</v>
      </c>
      <c r="R431" s="306">
        <f t="shared" ca="1" si="194"/>
        <v>1.3747769517697557</v>
      </c>
      <c r="S431" s="307">
        <f t="shared" ca="1" si="195"/>
        <v>14.774031628069014</v>
      </c>
      <c r="T431" s="304">
        <f t="shared" ca="1" si="175"/>
        <v>144.93325027135705</v>
      </c>
      <c r="U431" s="311">
        <f t="shared" ca="1" si="176"/>
        <v>0</v>
      </c>
      <c r="V431" s="306">
        <f t="shared" ca="1" si="177"/>
        <v>1.1364030810715646</v>
      </c>
      <c r="W431" s="304">
        <f t="shared" ca="1" si="178"/>
        <v>933.99821882973481</v>
      </c>
      <c r="Y431" s="314" t="str">
        <f t="shared" ca="1" si="196"/>
        <v/>
      </c>
      <c r="Z431" s="315" t="str">
        <f t="shared" ca="1" si="197"/>
        <v/>
      </c>
      <c r="AA431" s="316" t="str">
        <f t="shared" ca="1" si="198"/>
        <v/>
      </c>
      <c r="AC431" s="310" t="e">
        <f t="shared" ca="1" si="199"/>
        <v>#N/A</v>
      </c>
      <c r="AD431" s="323" t="e">
        <f t="shared" ca="1" si="200"/>
        <v>#N/A</v>
      </c>
      <c r="AE431" s="324">
        <f t="shared" ca="1" si="179"/>
        <v>750.37522935924778</v>
      </c>
      <c r="AG431" s="306">
        <f t="shared" ca="1" si="201"/>
        <v>82.55297233557971</v>
      </c>
      <c r="AH431" s="304">
        <f t="shared" ca="1" si="202"/>
        <v>91.767169017432948</v>
      </c>
    </row>
    <row r="432" spans="1:34" x14ac:dyDescent="0.2">
      <c r="A432" s="347">
        <f t="shared" ca="1" si="180"/>
        <v>0.01</v>
      </c>
      <c r="B432" s="304">
        <f t="shared" ca="1" si="181"/>
        <v>4.2799999999999532</v>
      </c>
      <c r="D432" s="306">
        <f t="shared" ca="1" si="182"/>
        <v>31.428272830624646</v>
      </c>
      <c r="E432" s="307">
        <f t="shared" ca="1" si="183"/>
        <v>76.181264471206433</v>
      </c>
      <c r="F432" s="304">
        <f t="shared" ca="1" si="184"/>
        <v>82.409473906511977</v>
      </c>
      <c r="G432" s="306">
        <f t="shared" ca="1" si="185"/>
        <v>131.10715800639915</v>
      </c>
      <c r="H432" s="307">
        <f t="shared" ca="1" si="186"/>
        <v>358.62572675801169</v>
      </c>
      <c r="I432" s="304">
        <f t="shared" ca="1" si="187"/>
        <v>381.83962441478883</v>
      </c>
      <c r="J432" s="306">
        <f t="shared" ca="1" si="188"/>
        <v>260.805346655915</v>
      </c>
      <c r="K432" s="307">
        <f t="shared" ca="1" si="189"/>
        <v>753.95767756360431</v>
      </c>
      <c r="L432" s="304">
        <f t="shared" ca="1" si="174"/>
        <v>797.79170740326447</v>
      </c>
      <c r="M432" s="306">
        <f t="shared" ca="1" si="190"/>
        <v>1.2203078722625951</v>
      </c>
      <c r="N432" s="304">
        <f t="shared" ca="1" si="191"/>
        <v>69.91849078723628</v>
      </c>
      <c r="P432" s="310">
        <f t="shared" ca="1" si="192"/>
        <v>14</v>
      </c>
      <c r="Q432" s="304">
        <f t="shared" ca="1" si="193"/>
        <v>2285.3696058890177</v>
      </c>
      <c r="R432" s="306">
        <f t="shared" ca="1" si="194"/>
        <v>1.3743621738798812</v>
      </c>
      <c r="S432" s="307">
        <f t="shared" ca="1" si="195"/>
        <v>14.760288006330216</v>
      </c>
      <c r="T432" s="304">
        <f t="shared" ca="1" si="175"/>
        <v>144.79842534209942</v>
      </c>
      <c r="U432" s="311">
        <f t="shared" ca="1" si="176"/>
        <v>0</v>
      </c>
      <c r="V432" s="306">
        <f t="shared" ca="1" si="177"/>
        <v>1.1359954670463759</v>
      </c>
      <c r="W432" s="304">
        <f t="shared" ca="1" si="178"/>
        <v>937.70301393961336</v>
      </c>
      <c r="Y432" s="314" t="str">
        <f t="shared" ca="1" si="196"/>
        <v/>
      </c>
      <c r="Z432" s="315" t="str">
        <f t="shared" ca="1" si="197"/>
        <v/>
      </c>
      <c r="AA432" s="316" t="str">
        <f t="shared" ca="1" si="198"/>
        <v/>
      </c>
      <c r="AC432" s="310" t="e">
        <f t="shared" ca="1" si="199"/>
        <v>#N/A</v>
      </c>
      <c r="AD432" s="323" t="e">
        <f t="shared" ca="1" si="200"/>
        <v>#N/A</v>
      </c>
      <c r="AE432" s="324">
        <f t="shared" ca="1" si="179"/>
        <v>753.95767756360431</v>
      </c>
      <c r="AG432" s="306">
        <f t="shared" ca="1" si="201"/>
        <v>82.340641406816815</v>
      </c>
      <c r="AH432" s="304">
        <f t="shared" ca="1" si="202"/>
        <v>91.554540567211347</v>
      </c>
    </row>
    <row r="433" spans="1:34" x14ac:dyDescent="0.2">
      <c r="A433" s="347">
        <f t="shared" ca="1" si="180"/>
        <v>0.01</v>
      </c>
      <c r="B433" s="304">
        <f t="shared" ca="1" si="181"/>
        <v>4.289999999999953</v>
      </c>
      <c r="D433" s="306">
        <f t="shared" ca="1" si="182"/>
        <v>31.362824259811472</v>
      </c>
      <c r="E433" s="307">
        <f t="shared" ca="1" si="183"/>
        <v>75.97872286141471</v>
      </c>
      <c r="F433" s="304">
        <f t="shared" ca="1" si="184"/>
        <v>82.197281422219078</v>
      </c>
      <c r="G433" s="306">
        <f t="shared" ca="1" si="185"/>
        <v>131.42078624899727</v>
      </c>
      <c r="H433" s="307">
        <f t="shared" ca="1" si="186"/>
        <v>359.38551398662582</v>
      </c>
      <c r="I433" s="304">
        <f t="shared" ca="1" si="187"/>
        <v>382.66090827485357</v>
      </c>
      <c r="J433" s="306">
        <f t="shared" ca="1" si="188"/>
        <v>262.11798637719198</v>
      </c>
      <c r="K433" s="307">
        <f t="shared" ca="1" si="189"/>
        <v>757.54773376732749</v>
      </c>
      <c r="L433" s="304">
        <f t="shared" ca="1" si="174"/>
        <v>801.61362745305644</v>
      </c>
      <c r="M433" s="306">
        <f t="shared" ca="1" si="190"/>
        <v>1.2202198484208593</v>
      </c>
      <c r="N433" s="304">
        <f t="shared" ca="1" si="191"/>
        <v>69.91344739260829</v>
      </c>
      <c r="P433" s="310">
        <f t="shared" ca="1" si="192"/>
        <v>14</v>
      </c>
      <c r="Q433" s="304">
        <f t="shared" ca="1" si="193"/>
        <v>2284.6798890147256</v>
      </c>
      <c r="R433" s="306">
        <f t="shared" ca="1" si="194"/>
        <v>1.3739473959900068</v>
      </c>
      <c r="S433" s="307">
        <f t="shared" ca="1" si="195"/>
        <v>14.746548532370316</v>
      </c>
      <c r="T433" s="304">
        <f t="shared" ca="1" si="175"/>
        <v>144.66364110255282</v>
      </c>
      <c r="U433" s="311">
        <f t="shared" ca="1" si="176"/>
        <v>0</v>
      </c>
      <c r="V433" s="306">
        <f t="shared" ca="1" si="177"/>
        <v>1.1355871285214139</v>
      </c>
      <c r="W433" s="304">
        <f t="shared" ca="1" si="178"/>
        <v>941.40257621282706</v>
      </c>
      <c r="Y433" s="314" t="str">
        <f t="shared" ca="1" si="196"/>
        <v/>
      </c>
      <c r="Z433" s="315" t="str">
        <f t="shared" ca="1" si="197"/>
        <v/>
      </c>
      <c r="AA433" s="316" t="str">
        <f t="shared" ca="1" si="198"/>
        <v/>
      </c>
      <c r="AC433" s="310" t="e">
        <f t="shared" ca="1" si="199"/>
        <v>#N/A</v>
      </c>
      <c r="AD433" s="323" t="e">
        <f t="shared" ca="1" si="200"/>
        <v>#N/A</v>
      </c>
      <c r="AE433" s="324">
        <f t="shared" ca="1" si="179"/>
        <v>757.54773376732749</v>
      </c>
      <c r="AG433" s="306">
        <f t="shared" ca="1" si="201"/>
        <v>82.128237759873144</v>
      </c>
      <c r="AH433" s="304">
        <f t="shared" ca="1" si="202"/>
        <v>91.341839896864556</v>
      </c>
    </row>
    <row r="434" spans="1:34" x14ac:dyDescent="0.2">
      <c r="A434" s="347">
        <f t="shared" ca="1" si="180"/>
        <v>0.01</v>
      </c>
      <c r="B434" s="304">
        <f t="shared" ca="1" si="181"/>
        <v>4.2999999999999527</v>
      </c>
      <c r="D434" s="306">
        <f t="shared" ca="1" si="182"/>
        <v>31.297302749889603</v>
      </c>
      <c r="E434" s="307">
        <f t="shared" ca="1" si="183"/>
        <v>75.776135619774792</v>
      </c>
      <c r="F434" s="304">
        <f t="shared" ca="1" si="184"/>
        <v>81.985022344845092</v>
      </c>
      <c r="G434" s="306">
        <f t="shared" ca="1" si="185"/>
        <v>131.73375927649616</v>
      </c>
      <c r="H434" s="307">
        <f t="shared" ca="1" si="186"/>
        <v>360.14327534282359</v>
      </c>
      <c r="I434" s="304">
        <f t="shared" ca="1" si="187"/>
        <v>383.48006741912241</v>
      </c>
      <c r="J434" s="306">
        <f t="shared" ca="1" si="188"/>
        <v>263.43375910481944</v>
      </c>
      <c r="K434" s="307">
        <f t="shared" ca="1" si="189"/>
        <v>761.14537771397477</v>
      </c>
      <c r="L434" s="304">
        <f t="shared" ca="1" si="174"/>
        <v>805.44374816087895</v>
      </c>
      <c r="M434" s="306">
        <f t="shared" ca="1" si="190"/>
        <v>1.2201319914600237</v>
      </c>
      <c r="N434" s="304">
        <f t="shared" ca="1" si="191"/>
        <v>69.908413559551562</v>
      </c>
      <c r="P434" s="310">
        <f t="shared" ca="1" si="192"/>
        <v>14</v>
      </c>
      <c r="Q434" s="304">
        <f t="shared" ca="1" si="193"/>
        <v>2283.9901721404335</v>
      </c>
      <c r="R434" s="306">
        <f t="shared" ca="1" si="194"/>
        <v>1.3735326181001324</v>
      </c>
      <c r="S434" s="307">
        <f t="shared" ca="1" si="195"/>
        <v>14.732813206189315</v>
      </c>
      <c r="T434" s="304">
        <f t="shared" ca="1" si="175"/>
        <v>144.52889755271718</v>
      </c>
      <c r="U434" s="311">
        <f t="shared" ca="1" si="176"/>
        <v>0</v>
      </c>
      <c r="V434" s="306">
        <f t="shared" ca="1" si="177"/>
        <v>1.1351780686242383</v>
      </c>
      <c r="W434" s="304">
        <f t="shared" ca="1" si="178"/>
        <v>945.09683179421825</v>
      </c>
      <c r="Y434" s="314" t="str">
        <f t="shared" ca="1" si="196"/>
        <v/>
      </c>
      <c r="Z434" s="315" t="str">
        <f t="shared" ca="1" si="197"/>
        <v/>
      </c>
      <c r="AA434" s="316" t="str">
        <f t="shared" ca="1" si="198"/>
        <v/>
      </c>
      <c r="AC434" s="310" t="e">
        <f t="shared" ca="1" si="199"/>
        <v>#N/A</v>
      </c>
      <c r="AD434" s="323" t="e">
        <f t="shared" ca="1" si="200"/>
        <v>#N/A</v>
      </c>
      <c r="AE434" s="324">
        <f t="shared" ca="1" si="179"/>
        <v>761.14537771397477</v>
      </c>
      <c r="AG434" s="306">
        <f t="shared" ca="1" si="201"/>
        <v>81.915766425719113</v>
      </c>
      <c r="AH434" s="304">
        <f t="shared" ca="1" si="202"/>
        <v>91.129072033817678</v>
      </c>
    </row>
    <row r="435" spans="1:34" x14ac:dyDescent="0.2">
      <c r="A435" s="347">
        <f t="shared" ca="1" si="180"/>
        <v>0.01</v>
      </c>
      <c r="B435" s="304">
        <f t="shared" ca="1" si="181"/>
        <v>4.3099999999999525</v>
      </c>
      <c r="D435" s="306">
        <f t="shared" ca="1" si="182"/>
        <v>31.231710208324667</v>
      </c>
      <c r="E435" s="307">
        <f t="shared" ca="1" si="183"/>
        <v>75.573507392176765</v>
      </c>
      <c r="F435" s="304">
        <f t="shared" ca="1" si="184"/>
        <v>81.772701692509628</v>
      </c>
      <c r="G435" s="306">
        <f t="shared" ca="1" si="185"/>
        <v>132.04607637857941</v>
      </c>
      <c r="H435" s="307">
        <f t="shared" ca="1" si="186"/>
        <v>360.89901041674534</v>
      </c>
      <c r="I435" s="304">
        <f t="shared" ca="1" si="187"/>
        <v>384.2971012208701</v>
      </c>
      <c r="J435" s="306">
        <f t="shared" ca="1" si="188"/>
        <v>264.75265828309483</v>
      </c>
      <c r="K435" s="307">
        <f t="shared" ca="1" si="189"/>
        <v>764.75058914277258</v>
      </c>
      <c r="L435" s="304">
        <f t="shared" ca="1" si="174"/>
        <v>809.2820482762379</v>
      </c>
      <c r="M435" s="306">
        <f t="shared" ca="1" si="190"/>
        <v>1.220044300224369</v>
      </c>
      <c r="N435" s="304">
        <f t="shared" ca="1" si="191"/>
        <v>69.903389221848258</v>
      </c>
      <c r="P435" s="310">
        <f t="shared" ca="1" si="192"/>
        <v>14</v>
      </c>
      <c r="Q435" s="304">
        <f t="shared" ca="1" si="193"/>
        <v>2283.3004552661414</v>
      </c>
      <c r="R435" s="306">
        <f t="shared" ca="1" si="194"/>
        <v>1.373117840210258</v>
      </c>
      <c r="S435" s="307">
        <f t="shared" ca="1" si="195"/>
        <v>14.719082027787213</v>
      </c>
      <c r="T435" s="304">
        <f t="shared" ca="1" si="175"/>
        <v>144.39419469259258</v>
      </c>
      <c r="U435" s="311">
        <f t="shared" ca="1" si="176"/>
        <v>0</v>
      </c>
      <c r="V435" s="306">
        <f t="shared" ca="1" si="177"/>
        <v>1.1347682904807219</v>
      </c>
      <c r="W435" s="304">
        <f t="shared" ca="1" si="178"/>
        <v>948.78570737323912</v>
      </c>
      <c r="Y435" s="314" t="str">
        <f t="shared" ca="1" si="196"/>
        <v/>
      </c>
      <c r="Z435" s="315" t="str">
        <f t="shared" ca="1" si="197"/>
        <v/>
      </c>
      <c r="AA435" s="316" t="str">
        <f t="shared" ca="1" si="198"/>
        <v/>
      </c>
      <c r="AC435" s="310" t="e">
        <f t="shared" ca="1" si="199"/>
        <v>#N/A</v>
      </c>
      <c r="AD435" s="323" t="e">
        <f t="shared" ca="1" si="200"/>
        <v>#N/A</v>
      </c>
      <c r="AE435" s="324">
        <f t="shared" ca="1" si="179"/>
        <v>764.75058914277258</v>
      </c>
      <c r="AG435" s="306">
        <f t="shared" ca="1" si="201"/>
        <v>81.70323241728417</v>
      </c>
      <c r="AH435" s="304">
        <f t="shared" ca="1" si="202"/>
        <v>90.916241987483602</v>
      </c>
    </row>
    <row r="436" spans="1:34" x14ac:dyDescent="0.2">
      <c r="A436" s="347">
        <f t="shared" ca="1" si="180"/>
        <v>0.01</v>
      </c>
      <c r="B436" s="304">
        <f t="shared" ca="1" si="181"/>
        <v>4.3199999999999523</v>
      </c>
      <c r="D436" s="306">
        <f t="shared" ca="1" si="182"/>
        <v>31.166048536244208</v>
      </c>
      <c r="E436" s="307">
        <f t="shared" ca="1" si="183"/>
        <v>75.370842807347586</v>
      </c>
      <c r="F436" s="304">
        <f t="shared" ca="1" si="184"/>
        <v>81.560324465106376</v>
      </c>
      <c r="G436" s="306">
        <f t="shared" ca="1" si="185"/>
        <v>132.35773686394185</v>
      </c>
      <c r="H436" s="307">
        <f t="shared" ca="1" si="186"/>
        <v>361.65271884481882</v>
      </c>
      <c r="I436" s="304">
        <f t="shared" ca="1" si="187"/>
        <v>385.11200910331797</v>
      </c>
      <c r="J436" s="306">
        <f t="shared" ca="1" si="188"/>
        <v>266.07467734930742</v>
      </c>
      <c r="K436" s="307">
        <f t="shared" ca="1" si="189"/>
        <v>768.36334778908042</v>
      </c>
      <c r="L436" s="304">
        <f t="shared" ca="1" si="174"/>
        <v>813.12850654258909</v>
      </c>
      <c r="M436" s="306">
        <f t="shared" ca="1" si="190"/>
        <v>1.2199567735678642</v>
      </c>
      <c r="N436" s="304">
        <f t="shared" ca="1" si="191"/>
        <v>69.898374313835646</v>
      </c>
      <c r="P436" s="310">
        <f t="shared" ca="1" si="192"/>
        <v>14</v>
      </c>
      <c r="Q436" s="304">
        <f t="shared" ca="1" si="193"/>
        <v>2282.6107383918493</v>
      </c>
      <c r="R436" s="306">
        <f t="shared" ca="1" si="194"/>
        <v>1.3727030623203835</v>
      </c>
      <c r="S436" s="307">
        <f t="shared" ca="1" si="195"/>
        <v>14.705354997164008</v>
      </c>
      <c r="T436" s="304">
        <f t="shared" ca="1" si="175"/>
        <v>144.25953252217892</v>
      </c>
      <c r="U436" s="311">
        <f t="shared" ca="1" si="176"/>
        <v>0</v>
      </c>
      <c r="V436" s="306">
        <f t="shared" ca="1" si="177"/>
        <v>1.1343577972149814</v>
      </c>
      <c r="W436" s="304">
        <f t="shared" ca="1" si="178"/>
        <v>952.4691301854524</v>
      </c>
      <c r="Y436" s="314" t="str">
        <f t="shared" ca="1" si="196"/>
        <v/>
      </c>
      <c r="Z436" s="315" t="str">
        <f t="shared" ca="1" si="197"/>
        <v/>
      </c>
      <c r="AA436" s="316" t="str">
        <f t="shared" ca="1" si="198"/>
        <v/>
      </c>
      <c r="AC436" s="310" t="e">
        <f t="shared" ca="1" si="199"/>
        <v>#N/A</v>
      </c>
      <c r="AD436" s="323" t="e">
        <f t="shared" ca="1" si="200"/>
        <v>#N/A</v>
      </c>
      <c r="AE436" s="324">
        <f t="shared" ca="1" si="179"/>
        <v>768.36334778908042</v>
      </c>
      <c r="AG436" s="306">
        <f t="shared" ca="1" si="201"/>
        <v>81.490640729252817</v>
      </c>
      <c r="AH436" s="304">
        <f t="shared" ca="1" si="202"/>
        <v>90.703354749058704</v>
      </c>
    </row>
    <row r="437" spans="1:34" x14ac:dyDescent="0.2">
      <c r="A437" s="347">
        <f t="shared" ca="1" si="180"/>
        <v>0.01</v>
      </c>
      <c r="B437" s="304">
        <f t="shared" ca="1" si="181"/>
        <v>4.3299999999999521</v>
      </c>
      <c r="D437" s="306">
        <f t="shared" ca="1" si="182"/>
        <v>31.100319628371587</v>
      </c>
      <c r="E437" s="307">
        <f t="shared" ca="1" si="183"/>
        <v>75.168146476661519</v>
      </c>
      <c r="F437" s="304">
        <f t="shared" ca="1" si="184"/>
        <v>81.347895644102053</v>
      </c>
      <c r="G437" s="306">
        <f t="shared" ca="1" si="185"/>
        <v>132.66874006022556</v>
      </c>
      <c r="H437" s="307">
        <f t="shared" ca="1" si="186"/>
        <v>362.40440030958541</v>
      </c>
      <c r="I437" s="304">
        <f t="shared" ca="1" si="187"/>
        <v>385.92479053944948</v>
      </c>
      <c r="J437" s="306">
        <f t="shared" ca="1" si="188"/>
        <v>267.39980973392824</v>
      </c>
      <c r="K437" s="307">
        <f t="shared" ca="1" si="189"/>
        <v>771.9836333848524</v>
      </c>
      <c r="L437" s="304">
        <f t="shared" ca="1" si="174"/>
        <v>816.98310169783758</v>
      </c>
      <c r="M437" s="306">
        <f t="shared" ca="1" si="190"/>
        <v>1.2198694103540606</v>
      </c>
      <c r="N437" s="304">
        <f t="shared" ca="1" si="191"/>
        <v>69.893368770400002</v>
      </c>
      <c r="P437" s="310">
        <f t="shared" ca="1" si="192"/>
        <v>14</v>
      </c>
      <c r="Q437" s="304">
        <f t="shared" ca="1" si="193"/>
        <v>2281.9210215175567</v>
      </c>
      <c r="R437" s="306">
        <f t="shared" ca="1" si="194"/>
        <v>1.3722882844305089</v>
      </c>
      <c r="S437" s="307">
        <f t="shared" ca="1" si="195"/>
        <v>14.691632114319702</v>
      </c>
      <c r="T437" s="304">
        <f t="shared" ca="1" si="175"/>
        <v>144.12491104147628</v>
      </c>
      <c r="U437" s="311">
        <f t="shared" ca="1" si="176"/>
        <v>0</v>
      </c>
      <c r="V437" s="306">
        <f t="shared" ca="1" si="177"/>
        <v>1.1339465919493081</v>
      </c>
      <c r="W437" s="304">
        <f t="shared" ca="1" si="178"/>
        <v>956.14702801398278</v>
      </c>
      <c r="Y437" s="314" t="str">
        <f t="shared" ca="1" si="196"/>
        <v/>
      </c>
      <c r="Z437" s="315" t="str">
        <f t="shared" ca="1" si="197"/>
        <v/>
      </c>
      <c r="AA437" s="316" t="str">
        <f t="shared" ca="1" si="198"/>
        <v/>
      </c>
      <c r="AC437" s="310" t="e">
        <f t="shared" ca="1" si="199"/>
        <v>#N/A</v>
      </c>
      <c r="AD437" s="323" t="e">
        <f t="shared" ca="1" si="200"/>
        <v>#N/A</v>
      </c>
      <c r="AE437" s="324">
        <f t="shared" ca="1" si="179"/>
        <v>771.9836333848524</v>
      </c>
      <c r="AG437" s="306">
        <f t="shared" ca="1" si="201"/>
        <v>81.27799633786347</v>
      </c>
      <c r="AH437" s="304">
        <f t="shared" ca="1" si="202"/>
        <v>90.490415291321412</v>
      </c>
    </row>
    <row r="438" spans="1:34" x14ac:dyDescent="0.2">
      <c r="A438" s="347">
        <f t="shared" ca="1" si="180"/>
        <v>0.01</v>
      </c>
      <c r="B438" s="304">
        <f t="shared" ca="1" si="181"/>
        <v>4.3399999999999519</v>
      </c>
      <c r="D438" s="306">
        <f t="shared" ca="1" si="182"/>
        <v>31.03452537296063</v>
      </c>
      <c r="E438" s="307">
        <f t="shared" ca="1" si="183"/>
        <v>74.965422993952942</v>
      </c>
      <c r="F438" s="304">
        <f t="shared" ca="1" si="184"/>
        <v>81.135420192337861</v>
      </c>
      <c r="G438" s="306">
        <f t="shared" ca="1" si="185"/>
        <v>132.97908531395515</v>
      </c>
      <c r="H438" s="307">
        <f t="shared" ca="1" si="186"/>
        <v>363.15405453952496</v>
      </c>
      <c r="I438" s="304">
        <f t="shared" ca="1" si="187"/>
        <v>386.73544505182406</v>
      </c>
      <c r="J438" s="306">
        <f t="shared" ca="1" si="188"/>
        <v>268.72804886079916</v>
      </c>
      <c r="K438" s="307">
        <f t="shared" ca="1" si="189"/>
        <v>775.6114256590979</v>
      </c>
      <c r="L438" s="304">
        <f t="shared" ca="1" si="174"/>
        <v>820.84581247483413</v>
      </c>
      <c r="M438" s="306">
        <f t="shared" ca="1" si="190"/>
        <v>1.2197822094559894</v>
      </c>
      <c r="N438" s="304">
        <f t="shared" ca="1" si="191"/>
        <v>69.88837252697077</v>
      </c>
      <c r="P438" s="310">
        <f t="shared" ca="1" si="192"/>
        <v>14</v>
      </c>
      <c r="Q438" s="304">
        <f t="shared" ca="1" si="193"/>
        <v>2281.2313046432646</v>
      </c>
      <c r="R438" s="306">
        <f t="shared" ca="1" si="194"/>
        <v>1.3718735065406344</v>
      </c>
      <c r="S438" s="307">
        <f t="shared" ca="1" si="195"/>
        <v>14.677913379254296</v>
      </c>
      <c r="T438" s="304">
        <f t="shared" ca="1" si="175"/>
        <v>143.99033025048465</v>
      </c>
      <c r="U438" s="311">
        <f t="shared" ca="1" si="176"/>
        <v>0</v>
      </c>
      <c r="V438" s="306">
        <f t="shared" ca="1" si="177"/>
        <v>1.1335346778040971</v>
      </c>
      <c r="W438" s="304">
        <f t="shared" ca="1" si="178"/>
        <v>959.81932919090821</v>
      </c>
      <c r="Y438" s="314" t="str">
        <f t="shared" ca="1" si="196"/>
        <v/>
      </c>
      <c r="Z438" s="315" t="str">
        <f t="shared" ca="1" si="197"/>
        <v/>
      </c>
      <c r="AA438" s="316" t="str">
        <f t="shared" ca="1" si="198"/>
        <v/>
      </c>
      <c r="AC438" s="310" t="e">
        <f t="shared" ca="1" si="199"/>
        <v>#N/A</v>
      </c>
      <c r="AD438" s="323" t="e">
        <f t="shared" ca="1" si="200"/>
        <v>#N/A</v>
      </c>
      <c r="AE438" s="324">
        <f t="shared" ca="1" si="179"/>
        <v>775.6114256590979</v>
      </c>
      <c r="AG438" s="306">
        <f t="shared" ca="1" si="201"/>
        <v>81.065304200709875</v>
      </c>
      <c r="AH438" s="304">
        <f t="shared" ca="1" si="202"/>
        <v>90.277428568433336</v>
      </c>
    </row>
    <row r="439" spans="1:34" x14ac:dyDescent="0.2">
      <c r="A439" s="347">
        <f t="shared" ca="1" si="180"/>
        <v>0.01</v>
      </c>
      <c r="B439" s="304">
        <f t="shared" ca="1" si="181"/>
        <v>4.3499999999999517</v>
      </c>
      <c r="D439" s="306">
        <f t="shared" ca="1" si="182"/>
        <v>30.968667651730815</v>
      </c>
      <c r="E439" s="307">
        <f t="shared" ca="1" si="183"/>
        <v>74.762676935331925</v>
      </c>
      <c r="F439" s="304">
        <f t="shared" ca="1" si="184"/>
        <v>80.922903053833721</v>
      </c>
      <c r="G439" s="306">
        <f t="shared" ca="1" si="185"/>
        <v>133.28877199047247</v>
      </c>
      <c r="H439" s="307">
        <f t="shared" ca="1" si="186"/>
        <v>363.90168130887827</v>
      </c>
      <c r="I439" s="304">
        <f t="shared" ca="1" si="187"/>
        <v>387.54397221238855</v>
      </c>
      <c r="J439" s="306">
        <f t="shared" ca="1" si="188"/>
        <v>270.05938814732133</v>
      </c>
      <c r="K439" s="307">
        <f t="shared" ca="1" si="189"/>
        <v>779.2467043383399</v>
      </c>
      <c r="L439" s="304">
        <f t="shared" ca="1" si="174"/>
        <v>824.71661760187033</v>
      </c>
      <c r="M439" s="306">
        <f t="shared" ca="1" si="190"/>
        <v>1.2196951697560587</v>
      </c>
      <c r="N439" s="304">
        <f t="shared" ca="1" si="191"/>
        <v>69.883385519514661</v>
      </c>
      <c r="P439" s="310">
        <f t="shared" ca="1" si="192"/>
        <v>14</v>
      </c>
      <c r="Q439" s="304">
        <f t="shared" ca="1" si="193"/>
        <v>2280.5415877689725</v>
      </c>
      <c r="R439" s="306">
        <f t="shared" ca="1" si="194"/>
        <v>1.37145872865076</v>
      </c>
      <c r="S439" s="307">
        <f t="shared" ca="1" si="195"/>
        <v>14.664198791967788</v>
      </c>
      <c r="T439" s="304">
        <f t="shared" ca="1" si="175"/>
        <v>143.85579014920401</v>
      </c>
      <c r="U439" s="311">
        <f t="shared" ca="1" si="176"/>
        <v>0</v>
      </c>
      <c r="V439" s="306">
        <f t="shared" ca="1" si="177"/>
        <v>1.1331220578977805</v>
      </c>
      <c r="W439" s="304">
        <f t="shared" ca="1" si="178"/>
        <v>963.48596259860312</v>
      </c>
      <c r="Y439" s="314" t="str">
        <f t="shared" ca="1" si="196"/>
        <v/>
      </c>
      <c r="Z439" s="315" t="str">
        <f t="shared" ca="1" si="197"/>
        <v/>
      </c>
      <c r="AA439" s="316" t="str">
        <f t="shared" ca="1" si="198"/>
        <v/>
      </c>
      <c r="AC439" s="310" t="e">
        <f t="shared" ca="1" si="199"/>
        <v>#N/A</v>
      </c>
      <c r="AD439" s="323" t="e">
        <f t="shared" ca="1" si="200"/>
        <v>#N/A</v>
      </c>
      <c r="AE439" s="324">
        <f t="shared" ca="1" si="179"/>
        <v>779.2467043383399</v>
      </c>
      <c r="AG439" s="306">
        <f t="shared" ca="1" si="201"/>
        <v>80.852569256545237</v>
      </c>
      <c r="AH439" s="304">
        <f t="shared" ca="1" si="202"/>
        <v>90.064399515743091</v>
      </c>
    </row>
    <row r="440" spans="1:34" x14ac:dyDescent="0.2">
      <c r="A440" s="347">
        <f t="shared" ca="1" si="180"/>
        <v>0.01</v>
      </c>
      <c r="B440" s="304">
        <f t="shared" ca="1" si="181"/>
        <v>4.3599999999999515</v>
      </c>
      <c r="D440" s="306">
        <f t="shared" ca="1" si="182"/>
        <v>30.902748339803278</v>
      </c>
      <c r="E440" s="307">
        <f t="shared" ca="1" si="183"/>
        <v>74.559912859002054</v>
      </c>
      <c r="F440" s="304">
        <f t="shared" ca="1" si="184"/>
        <v>80.71034915359489</v>
      </c>
      <c r="G440" s="306">
        <f t="shared" ca="1" si="185"/>
        <v>133.59779947387051</v>
      </c>
      <c r="H440" s="307">
        <f t="shared" ca="1" si="186"/>
        <v>364.64728043746828</v>
      </c>
      <c r="I440" s="304">
        <f t="shared" ca="1" si="187"/>
        <v>388.35037164228663</v>
      </c>
      <c r="J440" s="306">
        <f t="shared" ca="1" si="188"/>
        <v>271.39382100464303</v>
      </c>
      <c r="K440" s="307">
        <f t="shared" ca="1" si="189"/>
        <v>782.88944914707167</v>
      </c>
      <c r="L440" s="304">
        <f t="shared" ca="1" si="174"/>
        <v>828.59549580317264</v>
      </c>
      <c r="M440" s="306">
        <f t="shared" ca="1" si="190"/>
        <v>1.2196082901459528</v>
      </c>
      <c r="N440" s="304">
        <f t="shared" ca="1" si="191"/>
        <v>69.878407684529847</v>
      </c>
      <c r="P440" s="310">
        <f t="shared" ca="1" si="192"/>
        <v>14</v>
      </c>
      <c r="Q440" s="304">
        <f t="shared" ca="1" si="193"/>
        <v>2279.8518708946804</v>
      </c>
      <c r="R440" s="306">
        <f t="shared" ca="1" si="194"/>
        <v>1.3710439507608856</v>
      </c>
      <c r="S440" s="307">
        <f t="shared" ca="1" si="195"/>
        <v>14.650488352460179</v>
      </c>
      <c r="T440" s="304">
        <f t="shared" ca="1" si="175"/>
        <v>143.72129073763438</v>
      </c>
      <c r="U440" s="311">
        <f t="shared" ca="1" si="176"/>
        <v>0</v>
      </c>
      <c r="V440" s="306">
        <f t="shared" ca="1" si="177"/>
        <v>1.1327087353467571</v>
      </c>
      <c r="W440" s="304">
        <f t="shared" ca="1" si="178"/>
        <v>967.14685767101923</v>
      </c>
      <c r="Y440" s="314" t="str">
        <f t="shared" ca="1" si="196"/>
        <v/>
      </c>
      <c r="Z440" s="315" t="str">
        <f t="shared" ca="1" si="197"/>
        <v/>
      </c>
      <c r="AA440" s="316" t="str">
        <f t="shared" ca="1" si="198"/>
        <v/>
      </c>
      <c r="AC440" s="310" t="e">
        <f t="shared" ca="1" si="199"/>
        <v>#N/A</v>
      </c>
      <c r="AD440" s="323" t="e">
        <f t="shared" ca="1" si="200"/>
        <v>#N/A</v>
      </c>
      <c r="AE440" s="324">
        <f t="shared" ca="1" si="179"/>
        <v>782.88944914707167</v>
      </c>
      <c r="AG440" s="306">
        <f t="shared" ca="1" si="201"/>
        <v>80.639796425088832</v>
      </c>
      <c r="AH440" s="304">
        <f t="shared" ca="1" si="202"/>
        <v>89.851333049592625</v>
      </c>
    </row>
    <row r="441" spans="1:34" x14ac:dyDescent="0.2">
      <c r="A441" s="347">
        <f t="shared" ca="1" si="180"/>
        <v>0.01</v>
      </c>
      <c r="B441" s="304">
        <f t="shared" ca="1" si="181"/>
        <v>4.3699999999999513</v>
      </c>
      <c r="D441" s="306">
        <f t="shared" ca="1" si="182"/>
        <v>30.836769305637723</v>
      </c>
      <c r="E441" s="307">
        <f t="shared" ca="1" si="183"/>
        <v>74.3571353050814</v>
      </c>
      <c r="F441" s="304">
        <f t="shared" ca="1" si="184"/>
        <v>80.497763397421821</v>
      </c>
      <c r="G441" s="306">
        <f t="shared" ca="1" si="185"/>
        <v>133.90616716692688</v>
      </c>
      <c r="H441" s="307">
        <f t="shared" ca="1" si="186"/>
        <v>365.39085179051909</v>
      </c>
      <c r="I441" s="304">
        <f t="shared" ca="1" si="187"/>
        <v>389.15464301166708</v>
      </c>
      <c r="J441" s="306">
        <f t="shared" ca="1" si="188"/>
        <v>272.73134083784703</v>
      </c>
      <c r="K441" s="307">
        <f t="shared" ca="1" si="189"/>
        <v>786.53963980821163</v>
      </c>
      <c r="L441" s="304">
        <f t="shared" ca="1" si="174"/>
        <v>832.48242579939256</v>
      </c>
      <c r="M441" s="306">
        <f t="shared" ca="1" si="190"/>
        <v>1.2195215695265325</v>
      </c>
      <c r="N441" s="304">
        <f t="shared" ca="1" si="191"/>
        <v>69.8734389590403</v>
      </c>
      <c r="P441" s="310">
        <f t="shared" ca="1" si="192"/>
        <v>14</v>
      </c>
      <c r="Q441" s="304">
        <f t="shared" ca="1" si="193"/>
        <v>2279.1621540203882</v>
      </c>
      <c r="R441" s="306">
        <f t="shared" ca="1" si="194"/>
        <v>1.3706291728710112</v>
      </c>
      <c r="S441" s="307">
        <f t="shared" ca="1" si="195"/>
        <v>14.63678206073147</v>
      </c>
      <c r="T441" s="304">
        <f t="shared" ca="1" si="175"/>
        <v>143.58683201577571</v>
      </c>
      <c r="U441" s="311">
        <f t="shared" ca="1" si="176"/>
        <v>0</v>
      </c>
      <c r="V441" s="306">
        <f t="shared" ca="1" si="177"/>
        <v>1.1322947132653245</v>
      </c>
      <c r="W441" s="304">
        <f t="shared" ca="1" si="178"/>
        <v>970.80194439492186</v>
      </c>
      <c r="Y441" s="314" t="str">
        <f t="shared" ca="1" si="196"/>
        <v/>
      </c>
      <c r="Z441" s="315" t="str">
        <f t="shared" ca="1" si="197"/>
        <v/>
      </c>
      <c r="AA441" s="316" t="str">
        <f t="shared" ca="1" si="198"/>
        <v/>
      </c>
      <c r="AC441" s="310" t="e">
        <f t="shared" ca="1" si="199"/>
        <v>#N/A</v>
      </c>
      <c r="AD441" s="323" t="e">
        <f t="shared" ca="1" si="200"/>
        <v>#N/A</v>
      </c>
      <c r="AE441" s="324">
        <f t="shared" ca="1" si="179"/>
        <v>786.53963980821163</v>
      </c>
      <c r="AG441" s="306">
        <f t="shared" ca="1" si="201"/>
        <v>80.426990606835801</v>
      </c>
      <c r="AH441" s="304">
        <f t="shared" ca="1" si="202"/>
        <v>89.638234067126731</v>
      </c>
    </row>
    <row r="442" spans="1:34" x14ac:dyDescent="0.2">
      <c r="A442" s="347">
        <f t="shared" ca="1" si="180"/>
        <v>0.01</v>
      </c>
      <c r="B442" s="304">
        <f t="shared" ca="1" si="181"/>
        <v>4.379999999999951</v>
      </c>
      <c r="D442" s="306">
        <f t="shared" ca="1" si="182"/>
        <v>30.770732410969774</v>
      </c>
      <c r="E442" s="307">
        <f t="shared" ca="1" si="183"/>
        <v>74.154348795425349</v>
      </c>
      <c r="F442" s="304">
        <f t="shared" ca="1" si="184"/>
        <v>80.285150671722022</v>
      </c>
      <c r="G442" s="306">
        <f t="shared" ca="1" si="185"/>
        <v>134.21387449103656</v>
      </c>
      <c r="H442" s="307">
        <f t="shared" ca="1" si="186"/>
        <v>366.13239527847333</v>
      </c>
      <c r="I442" s="304">
        <f t="shared" ca="1" si="187"/>
        <v>389.9567860394892</v>
      </c>
      <c r="J442" s="306">
        <f t="shared" ca="1" si="188"/>
        <v>274.07194104613683</v>
      </c>
      <c r="K442" s="307">
        <f t="shared" ca="1" si="189"/>
        <v>790.19725604355665</v>
      </c>
      <c r="L442" s="304">
        <f t="shared" ca="1" si="174"/>
        <v>836.37738630809679</v>
      </c>
      <c r="M442" s="306">
        <f t="shared" ca="1" si="190"/>
        <v>1.219435006807736</v>
      </c>
      <c r="N442" s="304">
        <f t="shared" ca="1" si="191"/>
        <v>69.86847928059008</v>
      </c>
      <c r="P442" s="310">
        <f t="shared" ca="1" si="192"/>
        <v>14</v>
      </c>
      <c r="Q442" s="304">
        <f t="shared" ca="1" si="193"/>
        <v>2278.4724371460961</v>
      </c>
      <c r="R442" s="306">
        <f t="shared" ca="1" si="194"/>
        <v>1.3702143949811367</v>
      </c>
      <c r="S442" s="307">
        <f t="shared" ca="1" si="195"/>
        <v>14.623079916781659</v>
      </c>
      <c r="T442" s="304">
        <f t="shared" ca="1" si="175"/>
        <v>143.45241398362808</v>
      </c>
      <c r="U442" s="311">
        <f t="shared" ca="1" si="176"/>
        <v>0</v>
      </c>
      <c r="V442" s="306">
        <f t="shared" ca="1" si="177"/>
        <v>1.1318799947656131</v>
      </c>
      <c r="W442" s="304">
        <f t="shared" ca="1" si="178"/>
        <v>974.45115331106581</v>
      </c>
      <c r="Y442" s="314" t="str">
        <f t="shared" ca="1" si="196"/>
        <v/>
      </c>
      <c r="Z442" s="315" t="str">
        <f t="shared" ca="1" si="197"/>
        <v/>
      </c>
      <c r="AA442" s="316" t="str">
        <f t="shared" ca="1" si="198"/>
        <v/>
      </c>
      <c r="AC442" s="310" t="e">
        <f t="shared" ca="1" si="199"/>
        <v>#N/A</v>
      </c>
      <c r="AD442" s="323" t="e">
        <f t="shared" ca="1" si="200"/>
        <v>#N/A</v>
      </c>
      <c r="AE442" s="324">
        <f t="shared" ca="1" si="179"/>
        <v>790.19725604355665</v>
      </c>
      <c r="AG442" s="306">
        <f t="shared" ca="1" si="201"/>
        <v>80.214156682869003</v>
      </c>
      <c r="AH442" s="304">
        <f t="shared" ca="1" si="202"/>
        <v>89.425107446104604</v>
      </c>
    </row>
    <row r="443" spans="1:34" x14ac:dyDescent="0.2">
      <c r="A443" s="347">
        <f t="shared" ca="1" si="180"/>
        <v>0.01</v>
      </c>
      <c r="B443" s="304">
        <f t="shared" ca="1" si="181"/>
        <v>4.3899999999999508</v>
      </c>
      <c r="D443" s="306">
        <f t="shared" ca="1" si="182"/>
        <v>30.704639510749391</v>
      </c>
      <c r="E443" s="307">
        <f t="shared" ca="1" si="183"/>
        <v>73.951557833452739</v>
      </c>
      <c r="F443" s="304">
        <f t="shared" ca="1" si="184"/>
        <v>80.072515843325277</v>
      </c>
      <c r="G443" s="306">
        <f t="shared" ca="1" si="185"/>
        <v>134.52092088614407</v>
      </c>
      <c r="H443" s="307">
        <f t="shared" ca="1" si="186"/>
        <v>366.87191085680786</v>
      </c>
      <c r="I443" s="304">
        <f t="shared" ca="1" si="187"/>
        <v>390.75680049332703</v>
      </c>
      <c r="J443" s="306">
        <f t="shared" ca="1" si="188"/>
        <v>275.41561502302272</v>
      </c>
      <c r="K443" s="307">
        <f t="shared" ca="1" si="189"/>
        <v>793.86227757423308</v>
      </c>
      <c r="L443" s="304">
        <f t="shared" ca="1" si="174"/>
        <v>840.28035604425418</v>
      </c>
      <c r="M443" s="306">
        <f t="shared" ca="1" si="190"/>
        <v>1.219348600908484</v>
      </c>
      <c r="N443" s="304">
        <f t="shared" ca="1" si="191"/>
        <v>69.863528587237909</v>
      </c>
      <c r="P443" s="310">
        <f t="shared" ca="1" si="192"/>
        <v>14</v>
      </c>
      <c r="Q443" s="304">
        <f t="shared" ca="1" si="193"/>
        <v>2277.782720271804</v>
      </c>
      <c r="R443" s="306">
        <f t="shared" ca="1" si="194"/>
        <v>1.3697996170912625</v>
      </c>
      <c r="S443" s="307">
        <f t="shared" ca="1" si="195"/>
        <v>14.609381920610746</v>
      </c>
      <c r="T443" s="304">
        <f t="shared" ca="1" si="175"/>
        <v>143.31803664119141</v>
      </c>
      <c r="U443" s="311">
        <f t="shared" ca="1" si="176"/>
        <v>0</v>
      </c>
      <c r="V443" s="306">
        <f t="shared" ca="1" si="177"/>
        <v>1.1314645829575165</v>
      </c>
      <c r="W443" s="304">
        <f t="shared" ca="1" si="178"/>
        <v>978.09441551531938</v>
      </c>
      <c r="Y443" s="314" t="str">
        <f t="shared" ca="1" si="196"/>
        <v/>
      </c>
      <c r="Z443" s="315" t="str">
        <f t="shared" ca="1" si="197"/>
        <v/>
      </c>
      <c r="AA443" s="316" t="str">
        <f t="shared" ca="1" si="198"/>
        <v/>
      </c>
      <c r="AC443" s="310" t="e">
        <f t="shared" ca="1" si="199"/>
        <v>#N/A</v>
      </c>
      <c r="AD443" s="323" t="e">
        <f t="shared" ca="1" si="200"/>
        <v>#N/A</v>
      </c>
      <c r="AE443" s="324">
        <f t="shared" ca="1" si="179"/>
        <v>793.86227757423308</v>
      </c>
      <c r="AG443" s="306">
        <f t="shared" ca="1" si="201"/>
        <v>80.001299514674059</v>
      </c>
      <c r="AH443" s="304">
        <f t="shared" ca="1" si="202"/>
        <v>89.211958044714621</v>
      </c>
    </row>
    <row r="444" spans="1:34" x14ac:dyDescent="0.2">
      <c r="A444" s="347">
        <f t="shared" ca="1" si="180"/>
        <v>0.01</v>
      </c>
      <c r="B444" s="304">
        <f t="shared" ca="1" si="181"/>
        <v>4.3999999999999506</v>
      </c>
      <c r="D444" s="306">
        <f t="shared" ca="1" si="182"/>
        <v>30.638492453079749</v>
      </c>
      <c r="E444" s="307">
        <f t="shared" ca="1" si="183"/>
        <v>73.748766903974129</v>
      </c>
      <c r="F444" s="304">
        <f t="shared" ca="1" si="184"/>
        <v>79.859863759301106</v>
      </c>
      <c r="G444" s="306">
        <f t="shared" ca="1" si="185"/>
        <v>134.82730581067486</v>
      </c>
      <c r="H444" s="307">
        <f t="shared" ca="1" si="186"/>
        <v>367.60939852584761</v>
      </c>
      <c r="I444" s="304">
        <f t="shared" ca="1" si="187"/>
        <v>391.55468618917166</v>
      </c>
      <c r="J444" s="306">
        <f t="shared" ca="1" si="188"/>
        <v>276.76235615650683</v>
      </c>
      <c r="K444" s="307">
        <f t="shared" ca="1" si="189"/>
        <v>797.53468412114637</v>
      </c>
      <c r="L444" s="304">
        <f t="shared" ca="1" si="174"/>
        <v>844.19131372072172</v>
      </c>
      <c r="M444" s="306">
        <f t="shared" ca="1" si="190"/>
        <v>1.2192623507565823</v>
      </c>
      <c r="N444" s="304">
        <f t="shared" ca="1" si="191"/>
        <v>69.858586817551583</v>
      </c>
      <c r="P444" s="310">
        <f t="shared" ca="1" si="192"/>
        <v>14</v>
      </c>
      <c r="Q444" s="304">
        <f t="shared" ca="1" si="193"/>
        <v>2277.0930033975119</v>
      </c>
      <c r="R444" s="306">
        <f t="shared" ca="1" si="194"/>
        <v>1.3693848392013881</v>
      </c>
      <c r="S444" s="307">
        <f t="shared" ca="1" si="195"/>
        <v>14.595688072218731</v>
      </c>
      <c r="T444" s="304">
        <f t="shared" ca="1" si="175"/>
        <v>143.18369998846578</v>
      </c>
      <c r="U444" s="311">
        <f t="shared" ca="1" si="176"/>
        <v>0</v>
      </c>
      <c r="V444" s="306">
        <f t="shared" ca="1" si="177"/>
        <v>1.1310484809486265</v>
      </c>
      <c r="W444" s="304">
        <f t="shared" ca="1" si="178"/>
        <v>981.73166265973964</v>
      </c>
      <c r="Y444" s="314" t="str">
        <f t="shared" ca="1" si="196"/>
        <v/>
      </c>
      <c r="Z444" s="315" t="str">
        <f t="shared" ca="1" si="197"/>
        <v/>
      </c>
      <c r="AA444" s="316" t="str">
        <f t="shared" ca="1" si="198"/>
        <v/>
      </c>
      <c r="AC444" s="310" t="e">
        <f t="shared" ca="1" si="199"/>
        <v>#N/A</v>
      </c>
      <c r="AD444" s="323" t="e">
        <f t="shared" ca="1" si="200"/>
        <v>#N/A</v>
      </c>
      <c r="AE444" s="324">
        <f t="shared" ca="1" si="179"/>
        <v>797.53468412114637</v>
      </c>
      <c r="AG444" s="306">
        <f t="shared" ca="1" si="201"/>
        <v>79.788423943956886</v>
      </c>
      <c r="AH444" s="304">
        <f t="shared" ca="1" si="202"/>
        <v>88.998790701391599</v>
      </c>
    </row>
    <row r="445" spans="1:34" x14ac:dyDescent="0.2">
      <c r="A445" s="347">
        <f t="shared" ca="1" si="180"/>
        <v>0.01</v>
      </c>
      <c r="B445" s="304">
        <f t="shared" ca="1" si="181"/>
        <v>4.4099999999999504</v>
      </c>
      <c r="D445" s="306">
        <f t="shared" ca="1" si="182"/>
        <v>30.572293079157021</v>
      </c>
      <c r="E445" s="307">
        <f t="shared" ca="1" si="183"/>
        <v>73.545980473022496</v>
      </c>
      <c r="F445" s="304">
        <f t="shared" ca="1" si="184"/>
        <v>79.647199246778783</v>
      </c>
      <c r="G445" s="306">
        <f t="shared" ca="1" si="185"/>
        <v>135.13302874146643</v>
      </c>
      <c r="H445" s="307">
        <f t="shared" ca="1" si="186"/>
        <v>368.34485833057784</v>
      </c>
      <c r="I445" s="304">
        <f t="shared" ca="1" si="187"/>
        <v>392.35044299123126</v>
      </c>
      <c r="J445" s="306">
        <f t="shared" ca="1" si="188"/>
        <v>278.11215782926752</v>
      </c>
      <c r="K445" s="307">
        <f t="shared" ca="1" si="189"/>
        <v>801.21445540542845</v>
      </c>
      <c r="L445" s="304">
        <f t="shared" ca="1" si="174"/>
        <v>848.11023804872718</v>
      </c>
      <c r="M445" s="306">
        <f t="shared" ca="1" si="190"/>
        <v>1.2191762552886285</v>
      </c>
      <c r="N445" s="304">
        <f t="shared" ca="1" si="191"/>
        <v>69.853653910602631</v>
      </c>
      <c r="P445" s="310">
        <f t="shared" ca="1" si="192"/>
        <v>14</v>
      </c>
      <c r="Q445" s="304">
        <f t="shared" ca="1" si="193"/>
        <v>2276.4032865232193</v>
      </c>
      <c r="R445" s="306">
        <f t="shared" ca="1" si="194"/>
        <v>1.3689700613115134</v>
      </c>
      <c r="S445" s="307">
        <f t="shared" ca="1" si="195"/>
        <v>14.581998371605616</v>
      </c>
      <c r="T445" s="304">
        <f t="shared" ca="1" si="175"/>
        <v>143.04940402545111</v>
      </c>
      <c r="U445" s="311">
        <f t="shared" ca="1" si="176"/>
        <v>0</v>
      </c>
      <c r="V445" s="306">
        <f t="shared" ca="1" si="177"/>
        <v>1.1306316918441655</v>
      </c>
      <c r="W445" s="304">
        <f t="shared" ca="1" si="178"/>
        <v>985.36282695358705</v>
      </c>
      <c r="Y445" s="314" t="str">
        <f t="shared" ca="1" si="196"/>
        <v/>
      </c>
      <c r="Z445" s="315" t="str">
        <f t="shared" ca="1" si="197"/>
        <v/>
      </c>
      <c r="AA445" s="316" t="str">
        <f t="shared" ca="1" si="198"/>
        <v/>
      </c>
      <c r="AC445" s="310" t="e">
        <f t="shared" ca="1" si="199"/>
        <v>#N/A</v>
      </c>
      <c r="AD445" s="323" t="e">
        <f t="shared" ca="1" si="200"/>
        <v>#N/A</v>
      </c>
      <c r="AE445" s="324">
        <f t="shared" ca="1" si="179"/>
        <v>801.21445540542845</v>
      </c>
      <c r="AG445" s="306">
        <f t="shared" ca="1" si="201"/>
        <v>79.575534792463657</v>
      </c>
      <c r="AH445" s="304">
        <f t="shared" ca="1" si="202"/>
        <v>88.785610234636451</v>
      </c>
    </row>
    <row r="446" spans="1:34" x14ac:dyDescent="0.2">
      <c r="A446" s="347">
        <f t="shared" ca="1" si="180"/>
        <v>0.01</v>
      </c>
      <c r="B446" s="304">
        <f t="shared" ca="1" si="181"/>
        <v>4.4199999999999502</v>
      </c>
      <c r="D446" s="306">
        <f t="shared" ca="1" si="182"/>
        <v>30.506043223211027</v>
      </c>
      <c r="E446" s="307">
        <f t="shared" ca="1" si="183"/>
        <v>73.343202987687363</v>
      </c>
      <c r="F446" s="304">
        <f t="shared" ca="1" si="184"/>
        <v>79.43452711277088</v>
      </c>
      <c r="G446" s="306">
        <f t="shared" ca="1" si="185"/>
        <v>135.43808917369853</v>
      </c>
      <c r="H446" s="307">
        <f t="shared" ca="1" si="186"/>
        <v>369.07829036045473</v>
      </c>
      <c r="I446" s="304">
        <f t="shared" ca="1" si="187"/>
        <v>393.14407081173033</v>
      </c>
      <c r="J446" s="306">
        <f t="shared" ca="1" si="188"/>
        <v>279.46501341884334</v>
      </c>
      <c r="K446" s="307">
        <f t="shared" ca="1" si="189"/>
        <v>804.90157114888359</v>
      </c>
      <c r="L446" s="304">
        <f t="shared" ca="1" si="174"/>
        <v>852.03710773835178</v>
      </c>
      <c r="M446" s="306">
        <f t="shared" ca="1" si="190"/>
        <v>1.2190903134499189</v>
      </c>
      <c r="N446" s="304">
        <f t="shared" ca="1" si="191"/>
        <v>69.848729805960971</v>
      </c>
      <c r="P446" s="310">
        <f t="shared" ca="1" si="192"/>
        <v>14</v>
      </c>
      <c r="Q446" s="304">
        <f t="shared" ca="1" si="193"/>
        <v>2275.7135696489272</v>
      </c>
      <c r="R446" s="306">
        <f t="shared" ca="1" si="194"/>
        <v>1.368555283421639</v>
      </c>
      <c r="S446" s="307">
        <f t="shared" ca="1" si="195"/>
        <v>14.5683128187714</v>
      </c>
      <c r="T446" s="304">
        <f t="shared" ca="1" si="175"/>
        <v>142.91514875214745</v>
      </c>
      <c r="U446" s="311">
        <f t="shared" ca="1" si="176"/>
        <v>0</v>
      </c>
      <c r="V446" s="306">
        <f t="shared" ca="1" si="177"/>
        <v>1.1302142187469209</v>
      </c>
      <c r="W446" s="304">
        <f t="shared" ca="1" si="178"/>
        <v>988.98784116429579</v>
      </c>
      <c r="Y446" s="314" t="str">
        <f t="shared" ca="1" si="196"/>
        <v/>
      </c>
      <c r="Z446" s="315" t="str">
        <f t="shared" ca="1" si="197"/>
        <v/>
      </c>
      <c r="AA446" s="316" t="str">
        <f t="shared" ca="1" si="198"/>
        <v/>
      </c>
      <c r="AC446" s="310" t="e">
        <f t="shared" ca="1" si="199"/>
        <v>#N/A</v>
      </c>
      <c r="AD446" s="323" t="e">
        <f t="shared" ca="1" si="200"/>
        <v>#N/A</v>
      </c>
      <c r="AE446" s="324">
        <f t="shared" ca="1" si="179"/>
        <v>804.90157114888359</v>
      </c>
      <c r="AG446" s="306">
        <f t="shared" ca="1" si="201"/>
        <v>79.362636861804219</v>
      </c>
      <c r="AH446" s="304">
        <f t="shared" ca="1" si="202"/>
        <v>88.572421442839413</v>
      </c>
    </row>
    <row r="447" spans="1:34" x14ac:dyDescent="0.2">
      <c r="A447" s="347">
        <f t="shared" ca="1" si="180"/>
        <v>0.01</v>
      </c>
      <c r="B447" s="304">
        <f t="shared" ca="1" si="181"/>
        <v>4.42999999999995</v>
      </c>
      <c r="D447" s="306">
        <f t="shared" ca="1" si="182"/>
        <v>30.439744712446327</v>
      </c>
      <c r="E447" s="307">
        <f t="shared" ca="1" si="183"/>
        <v>73.140438875950295</v>
      </c>
      <c r="F447" s="304">
        <f t="shared" ca="1" si="184"/>
        <v>79.221852143998277</v>
      </c>
      <c r="G447" s="306">
        <f t="shared" ca="1" si="185"/>
        <v>135.742486620823</v>
      </c>
      <c r="H447" s="307">
        <f t="shared" ca="1" si="186"/>
        <v>369.80969474921426</v>
      </c>
      <c r="I447" s="304">
        <f t="shared" ca="1" si="187"/>
        <v>393.9355696107059</v>
      </c>
      <c r="J447" s="306">
        <f t="shared" ca="1" si="188"/>
        <v>280.82091629781593</v>
      </c>
      <c r="K447" s="307">
        <f t="shared" ca="1" si="189"/>
        <v>808.59601107443189</v>
      </c>
      <c r="L447" s="304">
        <f t="shared" ca="1" si="174"/>
        <v>855.97190149900814</v>
      </c>
      <c r="M447" s="306">
        <f t="shared" ca="1" si="190"/>
        <v>1.2190045241943559</v>
      </c>
      <c r="N447" s="304">
        <f t="shared" ca="1" si="191"/>
        <v>69.843814443689638</v>
      </c>
      <c r="P447" s="310">
        <f t="shared" ca="1" si="192"/>
        <v>14</v>
      </c>
      <c r="Q447" s="304">
        <f t="shared" ca="1" si="193"/>
        <v>2275.0238527746351</v>
      </c>
      <c r="R447" s="306">
        <f t="shared" ca="1" si="194"/>
        <v>1.3681405055317646</v>
      </c>
      <c r="S447" s="307">
        <f t="shared" ca="1" si="195"/>
        <v>14.554631413716082</v>
      </c>
      <c r="T447" s="304">
        <f t="shared" ca="1" si="175"/>
        <v>142.78093416855478</v>
      </c>
      <c r="U447" s="311">
        <f t="shared" ca="1" si="176"/>
        <v>0</v>
      </c>
      <c r="V447" s="306">
        <f t="shared" ca="1" si="177"/>
        <v>1.129796064757179</v>
      </c>
      <c r="W447" s="304">
        <f t="shared" ca="1" si="178"/>
        <v>992.60663861838418</v>
      </c>
      <c r="Y447" s="314" t="str">
        <f t="shared" ca="1" si="196"/>
        <v/>
      </c>
      <c r="Z447" s="315" t="str">
        <f t="shared" ca="1" si="197"/>
        <v/>
      </c>
      <c r="AA447" s="316" t="str">
        <f t="shared" ca="1" si="198"/>
        <v/>
      </c>
      <c r="AC447" s="310" t="e">
        <f t="shared" ca="1" si="199"/>
        <v>#N/A</v>
      </c>
      <c r="AD447" s="323" t="e">
        <f t="shared" ca="1" si="200"/>
        <v>#N/A</v>
      </c>
      <c r="AE447" s="324">
        <f t="shared" ca="1" si="179"/>
        <v>808.59601107443189</v>
      </c>
      <c r="AG447" s="306">
        <f t="shared" ca="1" si="201"/>
        <v>79.149734933277145</v>
      </c>
      <c r="AH447" s="304">
        <f t="shared" ca="1" si="202"/>
        <v>88.359229104104742</v>
      </c>
    </row>
    <row r="448" spans="1:34" x14ac:dyDescent="0.2">
      <c r="A448" s="347">
        <f t="shared" ca="1" si="180"/>
        <v>0.01</v>
      </c>
      <c r="B448" s="304">
        <f t="shared" ca="1" si="181"/>
        <v>4.4399999999999498</v>
      </c>
      <c r="D448" s="306">
        <f t="shared" ca="1" si="182"/>
        <v>30.373399366984515</v>
      </c>
      <c r="E448" s="307">
        <f t="shared" ca="1" si="183"/>
        <v>72.93769254652409</v>
      </c>
      <c r="F448" s="304">
        <f t="shared" ca="1" si="184"/>
        <v>79.00917910671906</v>
      </c>
      <c r="G448" s="306">
        <f t="shared" ca="1" si="185"/>
        <v>136.04622061449285</v>
      </c>
      <c r="H448" s="307">
        <f t="shared" ca="1" si="186"/>
        <v>370.53907167467952</v>
      </c>
      <c r="I448" s="304">
        <f t="shared" ca="1" si="187"/>
        <v>394.72493939580329</v>
      </c>
      <c r="J448" s="306">
        <f t="shared" ca="1" si="188"/>
        <v>282.17985983399251</v>
      </c>
      <c r="K448" s="307">
        <f t="shared" ca="1" si="189"/>
        <v>812.2977549065514</v>
      </c>
      <c r="L448" s="304">
        <f t="shared" ca="1" si="174"/>
        <v>859.91459803991904</v>
      </c>
      <c r="M448" s="306">
        <f t="shared" ca="1" si="190"/>
        <v>1.2189188864843588</v>
      </c>
      <c r="N448" s="304">
        <f t="shared" ca="1" si="191"/>
        <v>69.838907764339638</v>
      </c>
      <c r="P448" s="310">
        <f t="shared" ca="1" si="192"/>
        <v>14</v>
      </c>
      <c r="Q448" s="304">
        <f t="shared" ca="1" si="193"/>
        <v>2274.334135900343</v>
      </c>
      <c r="R448" s="306">
        <f t="shared" ca="1" si="194"/>
        <v>1.3677257276418902</v>
      </c>
      <c r="S448" s="307">
        <f t="shared" ca="1" si="195"/>
        <v>14.540954156439664</v>
      </c>
      <c r="T448" s="304">
        <f t="shared" ca="1" si="175"/>
        <v>142.64676027467311</v>
      </c>
      <c r="U448" s="311">
        <f t="shared" ca="1" si="176"/>
        <v>0</v>
      </c>
      <c r="V448" s="306">
        <f t="shared" ca="1" si="177"/>
        <v>1.1293772329726606</v>
      </c>
      <c r="W448" s="304">
        <f t="shared" ca="1" si="178"/>
        <v>996.21915320232051</v>
      </c>
      <c r="Y448" s="314" t="str">
        <f t="shared" ca="1" si="196"/>
        <v/>
      </c>
      <c r="Z448" s="315" t="str">
        <f t="shared" ca="1" si="197"/>
        <v/>
      </c>
      <c r="AA448" s="316" t="str">
        <f t="shared" ca="1" si="198"/>
        <v/>
      </c>
      <c r="AC448" s="310" t="e">
        <f t="shared" ca="1" si="199"/>
        <v>#N/A</v>
      </c>
      <c r="AD448" s="323" t="e">
        <f t="shared" ca="1" si="200"/>
        <v>#N/A</v>
      </c>
      <c r="AE448" s="324">
        <f t="shared" ca="1" si="179"/>
        <v>812.2977549065514</v>
      </c>
      <c r="AG448" s="306">
        <f t="shared" ca="1" si="201"/>
        <v>78.936833767698516</v>
      </c>
      <c r="AH448" s="304">
        <f t="shared" ca="1" si="202"/>
        <v>88.146037976079299</v>
      </c>
    </row>
    <row r="449" spans="1:34" x14ac:dyDescent="0.2">
      <c r="A449" s="347">
        <f t="shared" ca="1" si="180"/>
        <v>0.01</v>
      </c>
      <c r="B449" s="304">
        <f t="shared" ca="1" si="181"/>
        <v>4.4499999999999496</v>
      </c>
      <c r="D449" s="306">
        <f t="shared" ca="1" si="182"/>
        <v>30.307008999806797</v>
      </c>
      <c r="E449" s="307">
        <f t="shared" ca="1" si="183"/>
        <v>72.734968388693758</v>
      </c>
      <c r="F449" s="304">
        <f t="shared" ca="1" si="184"/>
        <v>78.796512746559102</v>
      </c>
      <c r="G449" s="306">
        <f t="shared" ca="1" si="185"/>
        <v>136.34929070449093</v>
      </c>
      <c r="H449" s="307">
        <f t="shared" ca="1" si="186"/>
        <v>371.26642135856645</v>
      </c>
      <c r="I449" s="304">
        <f t="shared" ca="1" si="187"/>
        <v>395.51218022206899</v>
      </c>
      <c r="J449" s="306">
        <f t="shared" ca="1" si="188"/>
        <v>283.54183739058743</v>
      </c>
      <c r="K449" s="307">
        <f t="shared" ca="1" si="189"/>
        <v>816.00678237171769</v>
      </c>
      <c r="L449" s="304">
        <f t="shared" ca="1" si="174"/>
        <v>863.86517607059159</v>
      </c>
      <c r="M449" s="306">
        <f t="shared" ca="1" si="190"/>
        <v>1.2188333992907729</v>
      </c>
      <c r="N449" s="304">
        <f t="shared" ca="1" si="191"/>
        <v>69.834009708944748</v>
      </c>
      <c r="P449" s="310">
        <f t="shared" ca="1" si="192"/>
        <v>14</v>
      </c>
      <c r="Q449" s="304">
        <f t="shared" ca="1" si="193"/>
        <v>2273.6444190260509</v>
      </c>
      <c r="R449" s="306">
        <f t="shared" ca="1" si="194"/>
        <v>1.3673109497520157</v>
      </c>
      <c r="S449" s="307">
        <f t="shared" ca="1" si="195"/>
        <v>14.527281046942145</v>
      </c>
      <c r="T449" s="304">
        <f t="shared" ca="1" si="175"/>
        <v>142.51262707050245</v>
      </c>
      <c r="U449" s="311">
        <f t="shared" ca="1" si="176"/>
        <v>0</v>
      </c>
      <c r="V449" s="306">
        <f t="shared" ca="1" si="177"/>
        <v>1.1289577264884556</v>
      </c>
      <c r="W449" s="304">
        <f t="shared" ca="1" si="178"/>
        <v>999.82531936332884</v>
      </c>
      <c r="Y449" s="314" t="str">
        <f t="shared" ca="1" si="196"/>
        <v/>
      </c>
      <c r="Z449" s="315" t="str">
        <f t="shared" ca="1" si="197"/>
        <v/>
      </c>
      <c r="AA449" s="316" t="str">
        <f t="shared" ca="1" si="198"/>
        <v/>
      </c>
      <c r="AC449" s="310" t="e">
        <f t="shared" ca="1" si="199"/>
        <v>#N/A</v>
      </c>
      <c r="AD449" s="323" t="e">
        <f t="shared" ca="1" si="200"/>
        <v>#N/A</v>
      </c>
      <c r="AE449" s="324">
        <f t="shared" ca="1" si="179"/>
        <v>816.00678237171769</v>
      </c>
      <c r="AG449" s="306">
        <f t="shared" ca="1" si="201"/>
        <v>78.723938105232548</v>
      </c>
      <c r="AH449" s="304">
        <f t="shared" ca="1" si="202"/>
        <v>87.932852795782892</v>
      </c>
    </row>
    <row r="450" spans="1:34" x14ac:dyDescent="0.2">
      <c r="A450" s="347">
        <f t="shared" ca="1" si="180"/>
        <v>0.01</v>
      </c>
      <c r="B450" s="304">
        <f t="shared" ca="1" si="181"/>
        <v>4.4599999999999493</v>
      </c>
      <c r="D450" s="306">
        <f t="shared" ca="1" si="182"/>
        <v>30.240575416697844</v>
      </c>
      <c r="E450" s="307">
        <f t="shared" ca="1" si="183"/>
        <v>72.532270772160715</v>
      </c>
      <c r="F450" s="304">
        <f t="shared" ca="1" si="184"/>
        <v>78.583857788346265</v>
      </c>
      <c r="G450" s="306">
        <f t="shared" ca="1" si="185"/>
        <v>136.65169645865791</v>
      </c>
      <c r="H450" s="307">
        <f t="shared" ca="1" si="186"/>
        <v>371.99174406628805</v>
      </c>
      <c r="I450" s="304">
        <f t="shared" ca="1" si="187"/>
        <v>396.29729219174322</v>
      </c>
      <c r="J450" s="306">
        <f t="shared" ca="1" si="188"/>
        <v>284.90684232640319</v>
      </c>
      <c r="K450" s="307">
        <f t="shared" ca="1" si="189"/>
        <v>819.72307319884192</v>
      </c>
      <c r="L450" s="304">
        <f t="shared" ca="1" si="174"/>
        <v>867.82361430129106</v>
      </c>
      <c r="M450" s="306">
        <f t="shared" ca="1" si="190"/>
        <v>1.2187480615927833</v>
      </c>
      <c r="N450" s="304">
        <f t="shared" ca="1" si="191"/>
        <v>69.829120219016588</v>
      </c>
      <c r="P450" s="310">
        <f t="shared" ca="1" si="192"/>
        <v>14</v>
      </c>
      <c r="Q450" s="304">
        <f t="shared" ca="1" si="193"/>
        <v>2272.9547021517587</v>
      </c>
      <c r="R450" s="306">
        <f t="shared" ca="1" si="194"/>
        <v>1.3668961718621413</v>
      </c>
      <c r="S450" s="307">
        <f t="shared" ca="1" si="195"/>
        <v>14.513612085223523</v>
      </c>
      <c r="T450" s="304">
        <f t="shared" ca="1" si="175"/>
        <v>142.37853455604275</v>
      </c>
      <c r="U450" s="311">
        <f t="shared" ca="1" si="176"/>
        <v>0</v>
      </c>
      <c r="V450" s="306">
        <f t="shared" ca="1" si="177"/>
        <v>1.1285375483969589</v>
      </c>
      <c r="W450" s="304">
        <f t="shared" ca="1" si="178"/>
        <v>1003.4250721101532</v>
      </c>
      <c r="Y450" s="314" t="str">
        <f t="shared" ca="1" si="196"/>
        <v/>
      </c>
      <c r="Z450" s="315" t="str">
        <f t="shared" ca="1" si="197"/>
        <v/>
      </c>
      <c r="AA450" s="316" t="str">
        <f t="shared" ca="1" si="198"/>
        <v/>
      </c>
      <c r="AC450" s="310" t="e">
        <f t="shared" ca="1" si="199"/>
        <v>#N/A</v>
      </c>
      <c r="AD450" s="323" t="e">
        <f t="shared" ca="1" si="200"/>
        <v>#N/A</v>
      </c>
      <c r="AE450" s="324">
        <f t="shared" ca="1" si="179"/>
        <v>819.72307319884192</v>
      </c>
      <c r="AG450" s="306">
        <f t="shared" ca="1" si="201"/>
        <v>78.511052665225634</v>
      </c>
      <c r="AH450" s="304">
        <f t="shared" ca="1" si="202"/>
        <v>87.719678279442078</v>
      </c>
    </row>
    <row r="451" spans="1:34" x14ac:dyDescent="0.2">
      <c r="A451" s="347">
        <f t="shared" ca="1" si="180"/>
        <v>0.01</v>
      </c>
      <c r="B451" s="304">
        <f t="shared" ca="1" si="181"/>
        <v>4.4699999999999491</v>
      </c>
      <c r="D451" s="306">
        <f t="shared" ca="1" si="182"/>
        <v>30.174100416189944</v>
      </c>
      <c r="E451" s="307">
        <f t="shared" ca="1" si="183"/>
        <v>72.329604046888846</v>
      </c>
      <c r="F451" s="304">
        <f t="shared" ca="1" si="184"/>
        <v>78.371218935946331</v>
      </c>
      <c r="G451" s="306">
        <f t="shared" ca="1" si="185"/>
        <v>136.95343746281981</v>
      </c>
      <c r="H451" s="307">
        <f t="shared" ca="1" si="186"/>
        <v>372.71504010675693</v>
      </c>
      <c r="I451" s="304">
        <f t="shared" ca="1" si="187"/>
        <v>397.08027545404963</v>
      </c>
      <c r="J451" s="306">
        <f t="shared" ca="1" si="188"/>
        <v>286.27486799601058</v>
      </c>
      <c r="K451" s="307">
        <f t="shared" ca="1" si="189"/>
        <v>823.4466071197071</v>
      </c>
      <c r="L451" s="304">
        <f t="shared" ca="1" si="174"/>
        <v>871.78989144351215</v>
      </c>
      <c r="M451" s="306">
        <f t="shared" ca="1" si="190"/>
        <v>1.2186628723778259</v>
      </c>
      <c r="N451" s="304">
        <f t="shared" ca="1" si="191"/>
        <v>69.824239236539498</v>
      </c>
      <c r="P451" s="310">
        <f t="shared" ca="1" si="192"/>
        <v>14</v>
      </c>
      <c r="Q451" s="304">
        <f t="shared" ca="1" si="193"/>
        <v>2272.2649852774666</v>
      </c>
      <c r="R451" s="306">
        <f t="shared" ca="1" si="194"/>
        <v>1.3664813939722669</v>
      </c>
      <c r="S451" s="307">
        <f t="shared" ca="1" si="195"/>
        <v>14.4999472712838</v>
      </c>
      <c r="T451" s="304">
        <f t="shared" ca="1" si="175"/>
        <v>142.24448273129408</v>
      </c>
      <c r="U451" s="311">
        <f t="shared" ca="1" si="176"/>
        <v>0</v>
      </c>
      <c r="V451" s="306">
        <f t="shared" ca="1" si="177"/>
        <v>1.128116701787806</v>
      </c>
      <c r="W451" s="304">
        <f t="shared" ca="1" si="178"/>
        <v>1007.0183470137615</v>
      </c>
      <c r="Y451" s="314" t="str">
        <f t="shared" ca="1" si="196"/>
        <v/>
      </c>
      <c r="Z451" s="315" t="str">
        <f t="shared" ca="1" si="197"/>
        <v/>
      </c>
      <c r="AA451" s="316" t="str">
        <f t="shared" ca="1" si="198"/>
        <v/>
      </c>
      <c r="AC451" s="310" t="e">
        <f t="shared" ca="1" si="199"/>
        <v>#N/A</v>
      </c>
      <c r="AD451" s="323" t="e">
        <f t="shared" ca="1" si="200"/>
        <v>#N/A</v>
      </c>
      <c r="AE451" s="324">
        <f t="shared" ca="1" si="179"/>
        <v>823.4466071197071</v>
      </c>
      <c r="AG451" s="306">
        <f t="shared" ca="1" si="201"/>
        <v>78.29818214604235</v>
      </c>
      <c r="AH451" s="304">
        <f t="shared" ca="1" si="202"/>
        <v>87.506519122325926</v>
      </c>
    </row>
    <row r="452" spans="1:34" x14ac:dyDescent="0.2">
      <c r="A452" s="347">
        <f t="shared" ca="1" si="180"/>
        <v>0.01</v>
      </c>
      <c r="B452" s="304">
        <f t="shared" ca="1" si="181"/>
        <v>4.4799999999999489</v>
      </c>
      <c r="D452" s="306">
        <f t="shared" ca="1" si="182"/>
        <v>30.107585789508299</v>
      </c>
      <c r="E452" s="307">
        <f t="shared" ca="1" si="183"/>
        <v>72.126972542953837</v>
      </c>
      <c r="F452" s="304">
        <f t="shared" ca="1" si="184"/>
        <v>78.158600872102483</v>
      </c>
      <c r="G452" s="306">
        <f t="shared" ca="1" si="185"/>
        <v>137.25451332071489</v>
      </c>
      <c r="H452" s="307">
        <f t="shared" ca="1" si="186"/>
        <v>373.43630983218645</v>
      </c>
      <c r="I452" s="304">
        <f t="shared" ca="1" si="187"/>
        <v>397.86113020498379</v>
      </c>
      <c r="J452" s="306">
        <f t="shared" ca="1" si="188"/>
        <v>287.64590774992826</v>
      </c>
      <c r="K452" s="307">
        <f t="shared" ca="1" si="189"/>
        <v>827.1773638694018</v>
      </c>
      <c r="L452" s="304">
        <f t="shared" ref="L452:L515" ca="1" si="203">SQRT(pos_x^2+pos_z^2)</f>
        <v>875.76398621044757</v>
      </c>
      <c r="M452" s="306">
        <f t="shared" ca="1" si="190"/>
        <v>1.2185778306415027</v>
      </c>
      <c r="N452" s="304">
        <f t="shared" ca="1" si="191"/>
        <v>69.819366703965713</v>
      </c>
      <c r="P452" s="310">
        <f t="shared" ca="1" si="192"/>
        <v>14</v>
      </c>
      <c r="Q452" s="304">
        <f t="shared" ca="1" si="193"/>
        <v>2271.5752684031745</v>
      </c>
      <c r="R452" s="306">
        <f t="shared" ca="1" si="194"/>
        <v>1.3660666160823924</v>
      </c>
      <c r="S452" s="307">
        <f t="shared" ca="1" si="195"/>
        <v>14.486286605122976</v>
      </c>
      <c r="T452" s="304">
        <f t="shared" ref="T452:T515" ca="1" si="204">m*g</f>
        <v>142.11047159625639</v>
      </c>
      <c r="U452" s="311">
        <f t="shared" ref="U452:U515" ca="1" si="205">IF(pos_xz&lt;L_rampe,Poids*COS(Beta),0)</f>
        <v>0</v>
      </c>
      <c r="V452" s="306">
        <f t="shared" ref="V452:V515" ca="1" si="206">Rho_moyen*(20000-Alt_rampe-pos_z)/(20000+Alt_rampe+pos_z)</f>
        <v>1.1276951897478091</v>
      </c>
      <c r="W452" s="304">
        <f t="shared" ref="W452:W515" ca="1" si="207">1/2*Rho*Sref*Cx*vit_xz^2</f>
        <v>1010.6050802080016</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827.1773638694018</v>
      </c>
      <c r="AG452" s="306">
        <f t="shared" ca="1" si="201"/>
        <v>78.085331224904806</v>
      </c>
      <c r="AH452" s="304">
        <f t="shared" ca="1" si="202"/>
        <v>87.293379998585081</v>
      </c>
    </row>
    <row r="453" spans="1:34" x14ac:dyDescent="0.2">
      <c r="A453" s="347">
        <f t="shared" ref="A453:A516" ca="1" si="209">IF(B452+0.01&lt;=T_ini+ROUNDUP(Temps_fin_propu,0), 0.01, IF(K452&gt;0, 0.1, 0.0001))</f>
        <v>0.01</v>
      </c>
      <c r="B453" s="304">
        <f t="shared" ref="B453:B516" ca="1" si="210">B452+pas</f>
        <v>4.4899999999999487</v>
      </c>
      <c r="D453" s="306">
        <f t="shared" ref="D453:D516" ca="1" si="211">IF(AND(L452&lt;L_rampe,Poussee&lt;Poids*SIN(M452)),0,(-W452+Poussee)/m*COS(M452)-U452/m*SIN(M452))</f>
        <v>30.04103332051703</v>
      </c>
      <c r="E453" s="307">
        <f t="shared" ref="E453:E516" ca="1" si="212">IF(AND(L452&lt;L_rampe,Poussee&lt;Poids*SIN(M452)),0,(-W452+Poussee)/m*SIN(M452)+U452/m*COS(M452)-Poids/m)</f>
        <v>71.924380570394803</v>
      </c>
      <c r="F453" s="304">
        <f t="shared" ref="F453:F516" ca="1" si="213">SQRT(acc_x^2+acc_z^2)</f>
        <v>77.946008258277089</v>
      </c>
      <c r="G453" s="306">
        <f t="shared" ref="G453:G516" ca="1" si="214">G452+acc_x*pas</f>
        <v>137.55492365392007</v>
      </c>
      <c r="H453" s="307">
        <f t="shared" ref="H453:H516" ca="1" si="215">H452+acc_z*pas</f>
        <v>374.15555363789042</v>
      </c>
      <c r="I453" s="304">
        <f t="shared" ref="I453:I516" ca="1" si="216">SQRT(vit_x^2+vit_z^2)</f>
        <v>398.63985668710052</v>
      </c>
      <c r="J453" s="306">
        <f t="shared" ref="J453:J516" ca="1" si="217">J452+0.5*(vit_x+G452)*pas*(K452&gt;=0)</f>
        <v>289.01995493480143</v>
      </c>
      <c r="K453" s="307">
        <f t="shared" ref="K453:K516" ca="1" si="218">K452+0.5*(vit_z+H452)*pas</f>
        <v>830.91532318675218</v>
      </c>
      <c r="L453" s="304">
        <f t="shared" ca="1" si="203"/>
        <v>879.74587731745544</v>
      </c>
      <c r="M453" s="306">
        <f t="shared" ref="M453:M516" ca="1" si="219">IF(AND(L452&gt;L_rampe,G453&gt;0),ATAN2(G453,H453),$M$4)</f>
        <v>1.2184929353874971</v>
      </c>
      <c r="N453" s="304">
        <f t="shared" ref="N453:N516" ca="1" si="220">DEGREES(Beta)</f>
        <v>69.8145025642105</v>
      </c>
      <c r="P453" s="310">
        <f t="shared" ref="P453:P516" ca="1" si="221">MATCH(t-pas/2-T_ini,CdP_t)</f>
        <v>14</v>
      </c>
      <c r="Q453" s="304">
        <f t="shared" ref="Q453:Q516" ca="1" si="222">(INDEX(CdP,2,i_P+1)-INDEX(CdP,2,i_P+0))/(INDEX(CdP,1,i_P+1)-INDEX(CdP,1,i_P+0))*(t-pas/2-T_ini-INDEX(CdP,1,i_P+0))+INDEX(CdP,2,i_P+0)</f>
        <v>2270.8855515288824</v>
      </c>
      <c r="R453" s="306">
        <f t="shared" ref="R453:R516" ca="1" si="223">Poussee/(g*ISP)</f>
        <v>1.365651838192518</v>
      </c>
      <c r="S453" s="307">
        <f t="shared" ref="S453:S516" ca="1" si="224">S452-Débit*pas</f>
        <v>14.47263008674105</v>
      </c>
      <c r="T453" s="304">
        <f t="shared" ca="1" si="204"/>
        <v>141.97650115092972</v>
      </c>
      <c r="U453" s="311">
        <f t="shared" ca="1" si="205"/>
        <v>0</v>
      </c>
      <c r="V453" s="306">
        <f t="shared" ca="1" si="206"/>
        <v>1.1272730153608961</v>
      </c>
      <c r="W453" s="304">
        <f t="shared" ca="1" si="207"/>
        <v>1014.1852083902108</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830.91532318675218</v>
      </c>
      <c r="AG453" s="306">
        <f t="shared" ref="AG453:AG516" ca="1" si="230">IF(AND(L452&lt;L_rampe,Poussee&lt;Poids*SIN(M452)),0,(-W452+Poussee)/m-Poids*SIN(M452)/m)</f>
        <v>77.872504557734473</v>
      </c>
      <c r="AH453" s="304">
        <f t="shared" ref="AH453:AH516" ca="1" si="231">IF(AND(L452&lt;L_rampe,Poussee&lt;Poids*SIN(M452)), g*SIN(M452), (-W452+Poussee)/m)</f>
        <v>87.080265561093384</v>
      </c>
    </row>
    <row r="454" spans="1:34" x14ac:dyDescent="0.2">
      <c r="A454" s="347">
        <f t="shared" ca="1" si="209"/>
        <v>0.01</v>
      </c>
      <c r="B454" s="304">
        <f t="shared" ca="1" si="210"/>
        <v>4.4999999999999485</v>
      </c>
      <c r="D454" s="306">
        <f t="shared" ca="1" si="211"/>
        <v>29.974444785665728</v>
      </c>
      <c r="E454" s="307">
        <f t="shared" ca="1" si="212"/>
        <v>71.721832419068221</v>
      </c>
      <c r="F454" s="304">
        <f t="shared" ca="1" si="213"/>
        <v>77.733445734495959</v>
      </c>
      <c r="G454" s="306">
        <f t="shared" ca="1" si="214"/>
        <v>137.85466810177672</v>
      </c>
      <c r="H454" s="307">
        <f t="shared" ca="1" si="215"/>
        <v>374.87277196208112</v>
      </c>
      <c r="I454" s="304">
        <f t="shared" ca="1" si="216"/>
        <v>399.41645518929926</v>
      </c>
      <c r="J454" s="306">
        <f t="shared" ca="1" si="217"/>
        <v>290.3970028935799</v>
      </c>
      <c r="K454" s="307">
        <f t="shared" ca="1" si="218"/>
        <v>834.660464814752</v>
      </c>
      <c r="L454" s="304">
        <f t="shared" ca="1" si="203"/>
        <v>883.73554348252378</v>
      </c>
      <c r="M454" s="306">
        <f t="shared" ca="1" si="219"/>
        <v>1.2184081856274902</v>
      </c>
      <c r="N454" s="304">
        <f t="shared" ca="1" si="220"/>
        <v>69.809646760647354</v>
      </c>
      <c r="P454" s="310">
        <f t="shared" ca="1" si="221"/>
        <v>14</v>
      </c>
      <c r="Q454" s="304">
        <f t="shared" ca="1" si="222"/>
        <v>2270.1958346545898</v>
      </c>
      <c r="R454" s="306">
        <f t="shared" ca="1" si="223"/>
        <v>1.3652370603026434</v>
      </c>
      <c r="S454" s="307">
        <f t="shared" ca="1" si="224"/>
        <v>14.458977716138024</v>
      </c>
      <c r="T454" s="304">
        <f t="shared" ca="1" si="204"/>
        <v>141.84257139531402</v>
      </c>
      <c r="U454" s="311">
        <f t="shared" ca="1" si="205"/>
        <v>0</v>
      </c>
      <c r="V454" s="306">
        <f t="shared" ca="1" si="206"/>
        <v>1.1268501817080454</v>
      </c>
      <c r="W454" s="304">
        <f t="shared" ca="1" si="207"/>
        <v>1017.7586688217708</v>
      </c>
      <c r="Y454" s="314" t="str">
        <f t="shared" ca="1" si="225"/>
        <v/>
      </c>
      <c r="Z454" s="315" t="str">
        <f t="shared" ca="1" si="226"/>
        <v/>
      </c>
      <c r="AA454" s="316" t="str">
        <f t="shared" ca="1" si="227"/>
        <v/>
      </c>
      <c r="AC454" s="310" t="e">
        <f t="shared" ca="1" si="228"/>
        <v>#N/A</v>
      </c>
      <c r="AD454" s="323" t="e">
        <f t="shared" ca="1" si="229"/>
        <v>#N/A</v>
      </c>
      <c r="AE454" s="324">
        <f t="shared" ca="1" si="208"/>
        <v>834.660464814752</v>
      </c>
      <c r="AG454" s="306">
        <f t="shared" ca="1" si="230"/>
        <v>77.659706778996366</v>
      </c>
      <c r="AH454" s="304">
        <f t="shared" ca="1" si="231"/>
        <v>86.867180441291794</v>
      </c>
    </row>
    <row r="455" spans="1:34" x14ac:dyDescent="0.2">
      <c r="A455" s="347">
        <f t="shared" ca="1" si="209"/>
        <v>0.01</v>
      </c>
      <c r="B455" s="304">
        <f t="shared" ca="1" si="210"/>
        <v>4.5099999999999483</v>
      </c>
      <c r="D455" s="306">
        <f t="shared" ca="1" si="211"/>
        <v>29.907821953937084</v>
      </c>
      <c r="E455" s="307">
        <f t="shared" ca="1" si="212"/>
        <v>71.519332358504883</v>
      </c>
      <c r="F455" s="304">
        <f t="shared" ca="1" si="213"/>
        <v>77.520917919195739</v>
      </c>
      <c r="G455" s="306">
        <f t="shared" ca="1" si="214"/>
        <v>138.15374632131611</v>
      </c>
      <c r="H455" s="307">
        <f t="shared" ca="1" si="215"/>
        <v>375.58796528566614</v>
      </c>
      <c r="I455" s="304">
        <f t="shared" ca="1" si="216"/>
        <v>400.19092604660756</v>
      </c>
      <c r="J455" s="306">
        <f t="shared" ca="1" si="217"/>
        <v>291.77704496569538</v>
      </c>
      <c r="K455" s="307">
        <f t="shared" ca="1" si="218"/>
        <v>838.41276850099075</v>
      </c>
      <c r="L455" s="304">
        <f t="shared" ca="1" si="203"/>
        <v>887.73296342673302</v>
      </c>
      <c r="M455" s="306">
        <f t="shared" ca="1" si="219"/>
        <v>1.2183235803810775</v>
      </c>
      <c r="N455" s="304">
        <f t="shared" ca="1" si="220"/>
        <v>69.804799237103239</v>
      </c>
      <c r="P455" s="310">
        <f t="shared" ca="1" si="221"/>
        <v>14</v>
      </c>
      <c r="Q455" s="304">
        <f t="shared" ca="1" si="222"/>
        <v>2269.5061177802977</v>
      </c>
      <c r="R455" s="306">
        <f t="shared" ca="1" si="223"/>
        <v>1.3648222824127689</v>
      </c>
      <c r="S455" s="307">
        <f t="shared" ca="1" si="224"/>
        <v>14.445329493313897</v>
      </c>
      <c r="T455" s="304">
        <f t="shared" ca="1" si="204"/>
        <v>141.70868232940933</v>
      </c>
      <c r="U455" s="311">
        <f t="shared" ca="1" si="205"/>
        <v>0</v>
      </c>
      <c r="V455" s="306">
        <f t="shared" ca="1" si="206"/>
        <v>1.1264266918672237</v>
      </c>
      <c r="W455" s="304">
        <f t="shared" ca="1" si="207"/>
        <v>1021.3253993286089</v>
      </c>
      <c r="Y455" s="314" t="str">
        <f t="shared" ca="1" si="225"/>
        <v/>
      </c>
      <c r="Z455" s="315" t="str">
        <f t="shared" ca="1" si="226"/>
        <v/>
      </c>
      <c r="AA455" s="316" t="str">
        <f t="shared" ca="1" si="227"/>
        <v/>
      </c>
      <c r="AC455" s="310" t="e">
        <f t="shared" ca="1" si="228"/>
        <v>#N/A</v>
      </c>
      <c r="AD455" s="323" t="e">
        <f t="shared" ca="1" si="229"/>
        <v>#N/A</v>
      </c>
      <c r="AE455" s="324">
        <f t="shared" ca="1" si="208"/>
        <v>838.41276850099075</v>
      </c>
      <c r="AG455" s="306">
        <f t="shared" ca="1" si="230"/>
        <v>77.446942501546346</v>
      </c>
      <c r="AH455" s="304">
        <f t="shared" ca="1" si="231"/>
        <v>86.654129249035506</v>
      </c>
    </row>
    <row r="456" spans="1:34" x14ac:dyDescent="0.2">
      <c r="A456" s="347">
        <f t="shared" ca="1" si="209"/>
        <v>0.01</v>
      </c>
      <c r="B456" s="304">
        <f t="shared" ca="1" si="210"/>
        <v>4.5199999999999481</v>
      </c>
      <c r="D456" s="306">
        <f t="shared" ca="1" si="211"/>
        <v>29.841166586795282</v>
      </c>
      <c r="E456" s="307">
        <f t="shared" ca="1" si="212"/>
        <v>71.316884637769235</v>
      </c>
      <c r="F456" s="304">
        <f t="shared" ca="1" si="213"/>
        <v>77.308429409073838</v>
      </c>
      <c r="G456" s="306">
        <f t="shared" ca="1" si="214"/>
        <v>138.45215798718405</v>
      </c>
      <c r="H456" s="307">
        <f t="shared" ca="1" si="215"/>
        <v>376.30113413204384</v>
      </c>
      <c r="I456" s="304">
        <f t="shared" ca="1" si="216"/>
        <v>400.96326963996415</v>
      </c>
      <c r="J456" s="306">
        <f t="shared" ca="1" si="217"/>
        <v>293.16007448723786</v>
      </c>
      <c r="K456" s="307">
        <f t="shared" ca="1" si="218"/>
        <v>842.17221399807931</v>
      </c>
      <c r="L456" s="304">
        <f t="shared" ca="1" si="203"/>
        <v>891.73811587471664</v>
      </c>
      <c r="M456" s="306">
        <f t="shared" ca="1" si="219"/>
        <v>1.2182391186756887</v>
      </c>
      <c r="N456" s="304">
        <f t="shared" ca="1" si="220"/>
        <v>69.799959937853984</v>
      </c>
      <c r="P456" s="310">
        <f t="shared" ca="1" si="221"/>
        <v>14</v>
      </c>
      <c r="Q456" s="304">
        <f t="shared" ca="1" si="222"/>
        <v>2268.8164009060056</v>
      </c>
      <c r="R456" s="306">
        <f t="shared" ca="1" si="223"/>
        <v>1.3644075045228945</v>
      </c>
      <c r="S456" s="307">
        <f t="shared" ca="1" si="224"/>
        <v>14.431685418268668</v>
      </c>
      <c r="T456" s="304">
        <f t="shared" ca="1" si="204"/>
        <v>141.57483395321563</v>
      </c>
      <c r="U456" s="311">
        <f t="shared" ca="1" si="205"/>
        <v>0</v>
      </c>
      <c r="V456" s="306">
        <f t="shared" ca="1" si="206"/>
        <v>1.1260025489133272</v>
      </c>
      <c r="W456" s="304">
        <f t="shared" ca="1" si="207"/>
        <v>1024.8853383016624</v>
      </c>
      <c r="Y456" s="314" t="str">
        <f t="shared" ca="1" si="225"/>
        <v/>
      </c>
      <c r="Z456" s="315" t="str">
        <f t="shared" ca="1" si="226"/>
        <v/>
      </c>
      <c r="AA456" s="316" t="str">
        <f t="shared" ca="1" si="227"/>
        <v/>
      </c>
      <c r="AC456" s="310" t="e">
        <f t="shared" ca="1" si="228"/>
        <v>#N/A</v>
      </c>
      <c r="AD456" s="323" t="e">
        <f t="shared" ca="1" si="229"/>
        <v>#N/A</v>
      </c>
      <c r="AE456" s="324">
        <f t="shared" ca="1" si="208"/>
        <v>842.17221399807931</v>
      </c>
      <c r="AG456" s="306">
        <f t="shared" ca="1" si="230"/>
        <v>77.23421631648111</v>
      </c>
      <c r="AH456" s="304">
        <f t="shared" ca="1" si="231"/>
        <v>86.441116572443619</v>
      </c>
    </row>
    <row r="457" spans="1:34" x14ac:dyDescent="0.2">
      <c r="A457" s="347">
        <f t="shared" ca="1" si="209"/>
        <v>0.01</v>
      </c>
      <c r="B457" s="304">
        <f t="shared" ca="1" si="210"/>
        <v>4.5299999999999478</v>
      </c>
      <c r="D457" s="306">
        <f t="shared" ca="1" si="211"/>
        <v>29.774480438134905</v>
      </c>
      <c r="E457" s="307">
        <f t="shared" ca="1" si="212"/>
        <v>71.114493485321049</v>
      </c>
      <c r="F457" s="304">
        <f t="shared" ca="1" si="213"/>
        <v>77.095984778940647</v>
      </c>
      <c r="G457" s="306">
        <f t="shared" ca="1" si="214"/>
        <v>138.7499027915654</v>
      </c>
      <c r="H457" s="307">
        <f t="shared" ca="1" si="215"/>
        <v>377.01227906689707</v>
      </c>
      <c r="I457" s="304">
        <f t="shared" ca="1" si="216"/>
        <v>401.73348639599948</v>
      </c>
      <c r="J457" s="306">
        <f t="shared" ca="1" si="217"/>
        <v>294.54608479113159</v>
      </c>
      <c r="K457" s="307">
        <f t="shared" ca="1" si="218"/>
        <v>845.93878106407396</v>
      </c>
      <c r="L457" s="304">
        <f t="shared" ca="1" si="203"/>
        <v>895.75097955511933</v>
      </c>
      <c r="M457" s="306">
        <f t="shared" ca="1" si="219"/>
        <v>1.218154799546507</v>
      </c>
      <c r="N457" s="304">
        <f t="shared" ca="1" si="220"/>
        <v>69.795128807619662</v>
      </c>
      <c r="P457" s="310">
        <f t="shared" ca="1" si="221"/>
        <v>14</v>
      </c>
      <c r="Q457" s="304">
        <f t="shared" ca="1" si="222"/>
        <v>2268.1266840317135</v>
      </c>
      <c r="R457" s="306">
        <f t="shared" ca="1" si="223"/>
        <v>1.3639927266330203</v>
      </c>
      <c r="S457" s="307">
        <f t="shared" ca="1" si="224"/>
        <v>14.418045491002337</v>
      </c>
      <c r="T457" s="304">
        <f t="shared" ca="1" si="204"/>
        <v>141.44102626673293</v>
      </c>
      <c r="U457" s="311">
        <f t="shared" ca="1" si="205"/>
        <v>0</v>
      </c>
      <c r="V457" s="306">
        <f t="shared" ca="1" si="206"/>
        <v>1.1255777559181155</v>
      </c>
      <c r="W457" s="304">
        <f t="shared" ca="1" si="207"/>
        <v>1028.4384246972779</v>
      </c>
      <c r="Y457" s="314" t="str">
        <f t="shared" ca="1" si="225"/>
        <v/>
      </c>
      <c r="Z457" s="315" t="str">
        <f t="shared" ca="1" si="226"/>
        <v/>
      </c>
      <c r="AA457" s="316" t="str">
        <f t="shared" ca="1" si="227"/>
        <v/>
      </c>
      <c r="AC457" s="310" t="e">
        <f t="shared" ca="1" si="228"/>
        <v>#N/A</v>
      </c>
      <c r="AD457" s="323" t="e">
        <f t="shared" ca="1" si="229"/>
        <v>#N/A</v>
      </c>
      <c r="AE457" s="324">
        <f t="shared" ca="1" si="208"/>
        <v>845.93878106407396</v>
      </c>
      <c r="AG457" s="306">
        <f t="shared" ca="1" si="230"/>
        <v>77.021532792990342</v>
      </c>
      <c r="AH457" s="304">
        <f t="shared" ca="1" si="231"/>
        <v>86.228146977751109</v>
      </c>
    </row>
    <row r="458" spans="1:34" x14ac:dyDescent="0.2">
      <c r="A458" s="347">
        <f t="shared" ca="1" si="209"/>
        <v>0.01</v>
      </c>
      <c r="B458" s="304">
        <f t="shared" ca="1" si="210"/>
        <v>4.5399999999999476</v>
      </c>
      <c r="D458" s="306">
        <f t="shared" ca="1" si="211"/>
        <v>29.707765254230985</v>
      </c>
      <c r="E458" s="307">
        <f t="shared" ca="1" si="212"/>
        <v>70.91216310888008</v>
      </c>
      <c r="F458" s="304">
        <f t="shared" ca="1" si="213"/>
        <v>76.883588581575111</v>
      </c>
      <c r="G458" s="306">
        <f t="shared" ca="1" si="214"/>
        <v>139.0469804441077</v>
      </c>
      <c r="H458" s="307">
        <f t="shared" ca="1" si="215"/>
        <v>377.72140069798587</v>
      </c>
      <c r="I458" s="304">
        <f t="shared" ca="1" si="216"/>
        <v>402.50157678681518</v>
      </c>
      <c r="J458" s="306">
        <f t="shared" ca="1" si="217"/>
        <v>295.93506920730994</v>
      </c>
      <c r="K458" s="307">
        <f t="shared" ca="1" si="218"/>
        <v>849.71244946289835</v>
      </c>
      <c r="L458" s="304">
        <f t="shared" ca="1" si="203"/>
        <v>899.77153320105322</v>
      </c>
      <c r="M458" s="306">
        <f t="shared" ca="1" si="219"/>
        <v>1.2180706220363893</v>
      </c>
      <c r="N458" s="304">
        <f t="shared" ca="1" si="220"/>
        <v>69.790305791559987</v>
      </c>
      <c r="P458" s="310">
        <f t="shared" ca="1" si="221"/>
        <v>14</v>
      </c>
      <c r="Q458" s="304">
        <f t="shared" ca="1" si="222"/>
        <v>2267.4369671574213</v>
      </c>
      <c r="R458" s="306">
        <f t="shared" ca="1" si="223"/>
        <v>1.3635779487431459</v>
      </c>
      <c r="S458" s="307">
        <f t="shared" ca="1" si="224"/>
        <v>14.404409711514905</v>
      </c>
      <c r="T458" s="304">
        <f t="shared" ca="1" si="204"/>
        <v>141.30725926996124</v>
      </c>
      <c r="U458" s="311">
        <f t="shared" ca="1" si="205"/>
        <v>0</v>
      </c>
      <c r="V458" s="306">
        <f t="shared" ca="1" si="206"/>
        <v>1.1251523159501546</v>
      </c>
      <c r="W458" s="304">
        <f t="shared" ca="1" si="207"/>
        <v>1031.9845980375744</v>
      </c>
      <c r="Y458" s="314" t="str">
        <f t="shared" ca="1" si="225"/>
        <v/>
      </c>
      <c r="Z458" s="315" t="str">
        <f t="shared" ca="1" si="226"/>
        <v/>
      </c>
      <c r="AA458" s="316" t="str">
        <f t="shared" ca="1" si="227"/>
        <v/>
      </c>
      <c r="AC458" s="310" t="e">
        <f t="shared" ca="1" si="228"/>
        <v>#N/A</v>
      </c>
      <c r="AD458" s="323" t="e">
        <f t="shared" ca="1" si="229"/>
        <v>#N/A</v>
      </c>
      <c r="AE458" s="324">
        <f t="shared" ca="1" si="208"/>
        <v>849.71244946289835</v>
      </c>
      <c r="AG458" s="306">
        <f t="shared" ca="1" si="230"/>
        <v>76.808896478212247</v>
      </c>
      <c r="AH458" s="304">
        <f t="shared" ca="1" si="231"/>
        <v>86.015225009164126</v>
      </c>
    </row>
    <row r="459" spans="1:34" x14ac:dyDescent="0.2">
      <c r="A459" s="347">
        <f t="shared" ca="1" si="209"/>
        <v>0.01</v>
      </c>
      <c r="B459" s="304">
        <f t="shared" ca="1" si="210"/>
        <v>4.5499999999999474</v>
      </c>
      <c r="D459" s="306">
        <f t="shared" ca="1" si="211"/>
        <v>29.641022773689617</v>
      </c>
      <c r="E459" s="307">
        <f t="shared" ca="1" si="212"/>
        <v>70.709897695292881</v>
      </c>
      <c r="F459" s="304">
        <f t="shared" ca="1" si="213"/>
        <v>76.671245347582371</v>
      </c>
      <c r="G459" s="306">
        <f t="shared" ca="1" si="214"/>
        <v>139.34339067184459</v>
      </c>
      <c r="H459" s="307">
        <f t="shared" ca="1" si="215"/>
        <v>378.42849967493879</v>
      </c>
      <c r="I459" s="304">
        <f t="shared" ca="1" si="216"/>
        <v>403.2675413297622</v>
      </c>
      <c r="J459" s="306">
        <f t="shared" ca="1" si="217"/>
        <v>297.32702106288968</v>
      </c>
      <c r="K459" s="307">
        <f t="shared" ca="1" si="218"/>
        <v>853.493198964763</v>
      </c>
      <c r="L459" s="304">
        <f t="shared" ca="1" si="203"/>
        <v>903.79975555055148</v>
      </c>
      <c r="M459" s="306">
        <f t="shared" ca="1" si="219"/>
        <v>1.2179865851957881</v>
      </c>
      <c r="N459" s="304">
        <f t="shared" ca="1" si="220"/>
        <v>69.785490835269925</v>
      </c>
      <c r="P459" s="310">
        <f t="shared" ca="1" si="221"/>
        <v>14</v>
      </c>
      <c r="Q459" s="304">
        <f t="shared" ca="1" si="222"/>
        <v>2266.7472502831292</v>
      </c>
      <c r="R459" s="306">
        <f t="shared" ca="1" si="223"/>
        <v>1.3631631708532714</v>
      </c>
      <c r="S459" s="307">
        <f t="shared" ca="1" si="224"/>
        <v>14.390778079806372</v>
      </c>
      <c r="T459" s="304">
        <f t="shared" ca="1" si="204"/>
        <v>141.17353296290051</v>
      </c>
      <c r="U459" s="311">
        <f t="shared" ca="1" si="205"/>
        <v>0</v>
      </c>
      <c r="V459" s="306">
        <f t="shared" ca="1" si="206"/>
        <v>1.1247262320747551</v>
      </c>
      <c r="W459" s="304">
        <f t="shared" ca="1" si="207"/>
        <v>1035.5237984107484</v>
      </c>
      <c r="Y459" s="314" t="str">
        <f t="shared" ca="1" si="225"/>
        <v/>
      </c>
      <c r="Z459" s="315" t="str">
        <f t="shared" ca="1" si="226"/>
        <v/>
      </c>
      <c r="AA459" s="316" t="str">
        <f t="shared" ca="1" si="227"/>
        <v/>
      </c>
      <c r="AC459" s="310" t="e">
        <f t="shared" ca="1" si="228"/>
        <v>#N/A</v>
      </c>
      <c r="AD459" s="323" t="e">
        <f t="shared" ca="1" si="229"/>
        <v>#N/A</v>
      </c>
      <c r="AE459" s="324">
        <f t="shared" ca="1" si="208"/>
        <v>853.493198964763</v>
      </c>
      <c r="AG459" s="306">
        <f t="shared" ca="1" si="230"/>
        <v>76.596311897091169</v>
      </c>
      <c r="AH459" s="304">
        <f t="shared" ca="1" si="231"/>
        <v>85.802355188717399</v>
      </c>
    </row>
    <row r="460" spans="1:34" x14ac:dyDescent="0.2">
      <c r="A460" s="347">
        <f t="shared" ca="1" si="209"/>
        <v>0.01</v>
      </c>
      <c r="B460" s="304">
        <f t="shared" ca="1" si="210"/>
        <v>4.5599999999999472</v>
      </c>
      <c r="D460" s="306">
        <f t="shared" ca="1" si="211"/>
        <v>29.574254727399566</v>
      </c>
      <c r="E460" s="307">
        <f t="shared" ca="1" si="212"/>
        <v>70.507701410402547</v>
      </c>
      <c r="F460" s="304">
        <f t="shared" ca="1" si="213"/>
        <v>76.458959585254604</v>
      </c>
      <c r="G460" s="306">
        <f t="shared" ca="1" si="214"/>
        <v>139.63913321911858</v>
      </c>
      <c r="H460" s="307">
        <f t="shared" ca="1" si="215"/>
        <v>379.1335766890428</v>
      </c>
      <c r="I460" s="304">
        <f t="shared" ca="1" si="216"/>
        <v>404.0313805872176</v>
      </c>
      <c r="J460" s="306">
        <f t="shared" ca="1" si="217"/>
        <v>298.72193368234451</v>
      </c>
      <c r="K460" s="307">
        <f t="shared" ca="1" si="218"/>
        <v>857.28100934658289</v>
      </c>
      <c r="L460" s="304">
        <f t="shared" ca="1" si="203"/>
        <v>907.83562534702014</v>
      </c>
      <c r="M460" s="306">
        <f t="shared" ca="1" si="219"/>
        <v>1.2179026880826747</v>
      </c>
      <c r="N460" s="304">
        <f t="shared" ca="1" si="220"/>
        <v>69.7806838847752</v>
      </c>
      <c r="P460" s="310">
        <f t="shared" ca="1" si="221"/>
        <v>14</v>
      </c>
      <c r="Q460" s="304">
        <f t="shared" ca="1" si="222"/>
        <v>2266.0575334088371</v>
      </c>
      <c r="R460" s="306">
        <f t="shared" ca="1" si="223"/>
        <v>1.362748392963397</v>
      </c>
      <c r="S460" s="307">
        <f t="shared" ca="1" si="224"/>
        <v>14.377150595876738</v>
      </c>
      <c r="T460" s="304">
        <f t="shared" ca="1" si="204"/>
        <v>141.03984734555081</v>
      </c>
      <c r="U460" s="311">
        <f t="shared" ca="1" si="205"/>
        <v>0</v>
      </c>
      <c r="V460" s="306">
        <f t="shared" ca="1" si="206"/>
        <v>1.1242995073539106</v>
      </c>
      <c r="W460" s="304">
        <f t="shared" ca="1" si="207"/>
        <v>1039.0559664713383</v>
      </c>
      <c r="Y460" s="314" t="str">
        <f t="shared" ca="1" si="225"/>
        <v/>
      </c>
      <c r="Z460" s="315" t="str">
        <f t="shared" ca="1" si="226"/>
        <v/>
      </c>
      <c r="AA460" s="316" t="str">
        <f t="shared" ca="1" si="227"/>
        <v/>
      </c>
      <c r="AC460" s="310" t="e">
        <f t="shared" ca="1" si="228"/>
        <v>#N/A</v>
      </c>
      <c r="AD460" s="323" t="e">
        <f t="shared" ca="1" si="229"/>
        <v>#N/A</v>
      </c>
      <c r="AE460" s="324">
        <f t="shared" ca="1" si="208"/>
        <v>857.28100934658289</v>
      </c>
      <c r="AG460" s="306">
        <f t="shared" ca="1" si="230"/>
        <v>76.383783552238341</v>
      </c>
      <c r="AH460" s="304">
        <f t="shared" ca="1" si="231"/>
        <v>85.589542016134743</v>
      </c>
    </row>
    <row r="461" spans="1:34" x14ac:dyDescent="0.2">
      <c r="A461" s="347">
        <f t="shared" ca="1" si="209"/>
        <v>0.01</v>
      </c>
      <c r="B461" s="304">
        <f t="shared" ca="1" si="210"/>
        <v>4.569999999999947</v>
      </c>
      <c r="D461" s="306">
        <f t="shared" ca="1" si="211"/>
        <v>29.507462838484386</v>
      </c>
      <c r="E461" s="307">
        <f t="shared" ca="1" si="212"/>
        <v>70.305578398920531</v>
      </c>
      <c r="F461" s="304">
        <f t="shared" ca="1" si="213"/>
        <v>76.246735780433895</v>
      </c>
      <c r="G461" s="306">
        <f t="shared" ca="1" si="214"/>
        <v>139.93420784750342</v>
      </c>
      <c r="H461" s="307">
        <f t="shared" ca="1" si="215"/>
        <v>379.83663247303201</v>
      </c>
      <c r="I461" s="304">
        <f t="shared" ca="1" si="216"/>
        <v>404.79309516635959</v>
      </c>
      <c r="J461" s="306">
        <f t="shared" ca="1" si="217"/>
        <v>300.11980038767763</v>
      </c>
      <c r="K461" s="307">
        <f t="shared" ca="1" si="218"/>
        <v>861.07586039239322</v>
      </c>
      <c r="L461" s="304">
        <f t="shared" ca="1" si="203"/>
        <v>911.879121339687</v>
      </c>
      <c r="M461" s="306">
        <f t="shared" ca="1" si="219"/>
        <v>1.2178189297624624</v>
      </c>
      <c r="N461" s="304">
        <f t="shared" ca="1" si="220"/>
        <v>69.775884886527933</v>
      </c>
      <c r="P461" s="310">
        <f t="shared" ca="1" si="221"/>
        <v>14</v>
      </c>
      <c r="Q461" s="304">
        <f t="shared" ca="1" si="222"/>
        <v>2265.367816534545</v>
      </c>
      <c r="R461" s="306">
        <f t="shared" ca="1" si="223"/>
        <v>1.3623336150735226</v>
      </c>
      <c r="S461" s="307">
        <f t="shared" ca="1" si="224"/>
        <v>14.363527259726004</v>
      </c>
      <c r="T461" s="304">
        <f t="shared" ca="1" si="204"/>
        <v>140.90620241791211</v>
      </c>
      <c r="U461" s="311">
        <f t="shared" ca="1" si="205"/>
        <v>0</v>
      </c>
      <c r="V461" s="306">
        <f t="shared" ca="1" si="206"/>
        <v>1.1238721448462401</v>
      </c>
      <c r="W461" s="304">
        <f t="shared" ca="1" si="207"/>
        <v>1042.5810434404332</v>
      </c>
      <c r="Y461" s="314" t="str">
        <f t="shared" ca="1" si="225"/>
        <v/>
      </c>
      <c r="Z461" s="315" t="str">
        <f t="shared" ca="1" si="226"/>
        <v/>
      </c>
      <c r="AA461" s="316" t="str">
        <f t="shared" ca="1" si="227"/>
        <v/>
      </c>
      <c r="AC461" s="310" t="e">
        <f t="shared" ca="1" si="228"/>
        <v>#N/A</v>
      </c>
      <c r="AD461" s="323" t="e">
        <f t="shared" ca="1" si="229"/>
        <v>#N/A</v>
      </c>
      <c r="AE461" s="324">
        <f t="shared" ca="1" si="208"/>
        <v>861.07586039239322</v>
      </c>
      <c r="AG461" s="306">
        <f t="shared" ca="1" si="230"/>
        <v>76.171315923794893</v>
      </c>
      <c r="AH461" s="304">
        <f t="shared" ca="1" si="231"/>
        <v>85.376789968691838</v>
      </c>
    </row>
    <row r="462" spans="1:34" x14ac:dyDescent="0.2">
      <c r="A462" s="347">
        <f t="shared" ca="1" si="209"/>
        <v>0.01</v>
      </c>
      <c r="B462" s="304">
        <f t="shared" ca="1" si="210"/>
        <v>4.5799999999999468</v>
      </c>
      <c r="D462" s="306">
        <f t="shared" ca="1" si="211"/>
        <v>29.44064882225566</v>
      </c>
      <c r="E462" s="307">
        <f t="shared" ca="1" si="212"/>
        <v>70.103532784301521</v>
      </c>
      <c r="F462" s="304">
        <f t="shared" ca="1" si="213"/>
        <v>76.034578396378464</v>
      </c>
      <c r="G462" s="306">
        <f t="shared" ca="1" si="214"/>
        <v>140.22861433572598</v>
      </c>
      <c r="H462" s="307">
        <f t="shared" ca="1" si="215"/>
        <v>380.537667800875</v>
      </c>
      <c r="I462" s="304">
        <f t="shared" ca="1" si="216"/>
        <v>405.55268571894192</v>
      </c>
      <c r="J462" s="306">
        <f t="shared" ca="1" si="217"/>
        <v>301.52061449859377</v>
      </c>
      <c r="K462" s="307">
        <f t="shared" ca="1" si="218"/>
        <v>864.87773189376276</v>
      </c>
      <c r="L462" s="304">
        <f t="shared" ca="1" si="203"/>
        <v>915.93022228404982</v>
      </c>
      <c r="M462" s="306">
        <f t="shared" ca="1" si="219"/>
        <v>1.2177353093079315</v>
      </c>
      <c r="N462" s="304">
        <f t="shared" ca="1" si="220"/>
        <v>69.77109378740235</v>
      </c>
      <c r="P462" s="310">
        <f t="shared" ca="1" si="221"/>
        <v>14</v>
      </c>
      <c r="Q462" s="304">
        <f t="shared" ca="1" si="222"/>
        <v>2264.6780996602524</v>
      </c>
      <c r="R462" s="306">
        <f t="shared" ca="1" si="223"/>
        <v>1.3619188371836479</v>
      </c>
      <c r="S462" s="307">
        <f t="shared" ca="1" si="224"/>
        <v>14.349908071354168</v>
      </c>
      <c r="T462" s="304">
        <f t="shared" ca="1" si="204"/>
        <v>140.77259817998439</v>
      </c>
      <c r="U462" s="311">
        <f t="shared" ca="1" si="205"/>
        <v>0</v>
      </c>
      <c r="V462" s="306">
        <f t="shared" ca="1" si="206"/>
        <v>1.1234441476069268</v>
      </c>
      <c r="W462" s="304">
        <f t="shared" ca="1" si="207"/>
        <v>1046.098971105841</v>
      </c>
      <c r="Y462" s="314" t="str">
        <f t="shared" ca="1" si="225"/>
        <v/>
      </c>
      <c r="Z462" s="315" t="str">
        <f t="shared" ca="1" si="226"/>
        <v/>
      </c>
      <c r="AA462" s="316" t="str">
        <f t="shared" ca="1" si="227"/>
        <v/>
      </c>
      <c r="AC462" s="310" t="e">
        <f t="shared" ca="1" si="228"/>
        <v>#N/A</v>
      </c>
      <c r="AD462" s="323" t="e">
        <f t="shared" ca="1" si="229"/>
        <v>#N/A</v>
      </c>
      <c r="AE462" s="324">
        <f t="shared" ca="1" si="208"/>
        <v>864.87773189376276</v>
      </c>
      <c r="AG462" s="306">
        <f t="shared" ca="1" si="230"/>
        <v>75.958913469297869</v>
      </c>
      <c r="AH462" s="304">
        <f t="shared" ca="1" si="231"/>
        <v>85.164103501082067</v>
      </c>
    </row>
    <row r="463" spans="1:34" x14ac:dyDescent="0.2">
      <c r="A463" s="347">
        <f t="shared" ca="1" si="209"/>
        <v>0.01</v>
      </c>
      <c r="B463" s="304">
        <f t="shared" ca="1" si="210"/>
        <v>4.5899999999999466</v>
      </c>
      <c r="D463" s="306">
        <f t="shared" ca="1" si="211"/>
        <v>29.373814386166856</v>
      </c>
      <c r="E463" s="307">
        <f t="shared" ca="1" si="212"/>
        <v>69.901568668620527</v>
      </c>
      <c r="F463" s="304">
        <f t="shared" ca="1" si="213"/>
        <v>75.822491873631094</v>
      </c>
      <c r="G463" s="306">
        <f t="shared" ca="1" si="214"/>
        <v>140.52235247958765</v>
      </c>
      <c r="H463" s="307">
        <f t="shared" ca="1" si="215"/>
        <v>381.23668348756121</v>
      </c>
      <c r="I463" s="304">
        <f t="shared" ca="1" si="216"/>
        <v>406.31015294106595</v>
      </c>
      <c r="J463" s="306">
        <f t="shared" ca="1" si="217"/>
        <v>302.92436933267032</v>
      </c>
      <c r="K463" s="307">
        <f t="shared" ca="1" si="218"/>
        <v>868.68660365020492</v>
      </c>
      <c r="L463" s="304">
        <f t="shared" ca="1" si="203"/>
        <v>919.98890694231966</v>
      </c>
      <c r="M463" s="306">
        <f t="shared" ca="1" si="219"/>
        <v>1.2176518257991549</v>
      </c>
      <c r="N463" s="304">
        <f t="shared" ca="1" si="220"/>
        <v>69.766310534690504</v>
      </c>
      <c r="P463" s="310">
        <f t="shared" ca="1" si="221"/>
        <v>14</v>
      </c>
      <c r="Q463" s="304">
        <f t="shared" ca="1" si="222"/>
        <v>2263.9883827859603</v>
      </c>
      <c r="R463" s="306">
        <f t="shared" ca="1" si="223"/>
        <v>1.3615040592937735</v>
      </c>
      <c r="S463" s="307">
        <f t="shared" ca="1" si="224"/>
        <v>14.33629303076123</v>
      </c>
      <c r="T463" s="304">
        <f t="shared" ca="1" si="204"/>
        <v>140.63903463176766</v>
      </c>
      <c r="U463" s="311">
        <f t="shared" ca="1" si="205"/>
        <v>0</v>
      </c>
      <c r="V463" s="306">
        <f t="shared" ca="1" si="206"/>
        <v>1.1230155186876623</v>
      </c>
      <c r="W463" s="304">
        <f t="shared" ca="1" si="207"/>
        <v>1049.6096918222058</v>
      </c>
      <c r="Y463" s="314" t="str">
        <f t="shared" ca="1" si="225"/>
        <v/>
      </c>
      <c r="Z463" s="315" t="str">
        <f t="shared" ca="1" si="226"/>
        <v/>
      </c>
      <c r="AA463" s="316" t="str">
        <f t="shared" ca="1" si="227"/>
        <v/>
      </c>
      <c r="AC463" s="310" t="e">
        <f t="shared" ca="1" si="228"/>
        <v>#N/A</v>
      </c>
      <c r="AD463" s="323" t="e">
        <f t="shared" ca="1" si="229"/>
        <v>#N/A</v>
      </c>
      <c r="AE463" s="324">
        <f t="shared" ca="1" si="208"/>
        <v>868.68660365020492</v>
      </c>
      <c r="AG463" s="306">
        <f t="shared" ca="1" si="230"/>
        <v>75.746580623548766</v>
      </c>
      <c r="AH463" s="304">
        <f t="shared" ca="1" si="231"/>
        <v>84.951487045284793</v>
      </c>
    </row>
    <row r="464" spans="1:34" x14ac:dyDescent="0.2">
      <c r="A464" s="347">
        <f t="shared" ca="1" si="209"/>
        <v>0.01</v>
      </c>
      <c r="B464" s="304">
        <f t="shared" ca="1" si="210"/>
        <v>4.5999999999999464</v>
      </c>
      <c r="D464" s="306">
        <f t="shared" ca="1" si="211"/>
        <v>29.306961229767929</v>
      </c>
      <c r="E464" s="307">
        <f t="shared" ca="1" si="212"/>
        <v>69.699690132452375</v>
      </c>
      <c r="F464" s="304">
        <f t="shared" ca="1" si="213"/>
        <v>75.610480629890191</v>
      </c>
      <c r="G464" s="306">
        <f t="shared" ca="1" si="214"/>
        <v>140.81542209188532</v>
      </c>
      <c r="H464" s="307">
        <f t="shared" ca="1" si="215"/>
        <v>381.9336803888857</v>
      </c>
      <c r="I464" s="304">
        <f t="shared" ca="1" si="216"/>
        <v>407.06549757295244</v>
      </c>
      <c r="J464" s="306">
        <f t="shared" ca="1" si="217"/>
        <v>304.33105820552771</v>
      </c>
      <c r="K464" s="307">
        <f t="shared" ca="1" si="218"/>
        <v>872.50245546958718</v>
      </c>
      <c r="L464" s="304">
        <f t="shared" ca="1" si="203"/>
        <v>924.05515408386486</v>
      </c>
      <c r="M464" s="306">
        <f t="shared" ca="1" si="219"/>
        <v>1.2175684783234244</v>
      </c>
      <c r="N464" s="304">
        <f t="shared" ca="1" si="220"/>
        <v>69.761535076098085</v>
      </c>
      <c r="P464" s="310">
        <f t="shared" ca="1" si="221"/>
        <v>14</v>
      </c>
      <c r="Q464" s="304">
        <f t="shared" ca="1" si="222"/>
        <v>2263.2986659116682</v>
      </c>
      <c r="R464" s="306">
        <f t="shared" ca="1" si="223"/>
        <v>1.3610892814038991</v>
      </c>
      <c r="S464" s="307">
        <f t="shared" ca="1" si="224"/>
        <v>14.32268213794719</v>
      </c>
      <c r="T464" s="304">
        <f t="shared" ca="1" si="204"/>
        <v>140.50551177326193</v>
      </c>
      <c r="U464" s="311">
        <f t="shared" ca="1" si="205"/>
        <v>0</v>
      </c>
      <c r="V464" s="306">
        <f t="shared" ca="1" si="206"/>
        <v>1.1225862611365831</v>
      </c>
      <c r="W464" s="304">
        <f t="shared" ca="1" si="207"/>
        <v>1053.1131485110736</v>
      </c>
      <c r="Y464" s="314" t="str">
        <f t="shared" ca="1" si="225"/>
        <v/>
      </c>
      <c r="Z464" s="315" t="str">
        <f t="shared" ca="1" si="226"/>
        <v/>
      </c>
      <c r="AA464" s="316" t="str">
        <f t="shared" ca="1" si="227"/>
        <v/>
      </c>
      <c r="AC464" s="310" t="e">
        <f t="shared" ca="1" si="228"/>
        <v>#N/A</v>
      </c>
      <c r="AD464" s="323" t="e">
        <f t="shared" ca="1" si="229"/>
        <v>#N/A</v>
      </c>
      <c r="AE464" s="324">
        <f t="shared" ca="1" si="208"/>
        <v>872.50245546958718</v>
      </c>
      <c r="AG464" s="306">
        <f t="shared" ca="1" si="230"/>
        <v>75.534321798484427</v>
      </c>
      <c r="AH464" s="304">
        <f t="shared" ca="1" si="231"/>
        <v>84.738945010436112</v>
      </c>
    </row>
    <row r="465" spans="1:34" x14ac:dyDescent="0.2">
      <c r="A465" s="347">
        <f t="shared" ca="1" si="209"/>
        <v>0.01</v>
      </c>
      <c r="B465" s="304">
        <f t="shared" ca="1" si="210"/>
        <v>4.6099999999999461</v>
      </c>
      <c r="D465" s="306">
        <f t="shared" ca="1" si="211"/>
        <v>29.240091044661014</v>
      </c>
      <c r="E465" s="307">
        <f t="shared" ca="1" si="212"/>
        <v>69.497901234754266</v>
      </c>
      <c r="F465" s="304">
        <f t="shared" ca="1" si="213"/>
        <v>75.398549059883933</v>
      </c>
      <c r="G465" s="306">
        <f t="shared" ca="1" si="214"/>
        <v>141.10782300233194</v>
      </c>
      <c r="H465" s="307">
        <f t="shared" ca="1" si="215"/>
        <v>382.62865940123322</v>
      </c>
      <c r="I465" s="304">
        <f t="shared" ca="1" si="216"/>
        <v>407.81872039871143</v>
      </c>
      <c r="J465" s="306">
        <f t="shared" ca="1" si="217"/>
        <v>305.74067443099881</v>
      </c>
      <c r="K465" s="307">
        <f t="shared" ca="1" si="218"/>
        <v>876.32526716853772</v>
      </c>
      <c r="L465" s="304">
        <f t="shared" ca="1" si="203"/>
        <v>928.12894248564999</v>
      </c>
      <c r="M465" s="306">
        <f t="shared" ca="1" si="219"/>
        <v>1.2174852659751794</v>
      </c>
      <c r="N465" s="304">
        <f t="shared" ca="1" si="220"/>
        <v>69.756767359740266</v>
      </c>
      <c r="P465" s="310">
        <f t="shared" ca="1" si="221"/>
        <v>14</v>
      </c>
      <c r="Q465" s="304">
        <f t="shared" ca="1" si="222"/>
        <v>2262.6089490373761</v>
      </c>
      <c r="R465" s="306">
        <f t="shared" ca="1" si="223"/>
        <v>1.3606745035140246</v>
      </c>
      <c r="S465" s="307">
        <f t="shared" ca="1" si="224"/>
        <v>14.30907539291205</v>
      </c>
      <c r="T465" s="304">
        <f t="shared" ca="1" si="204"/>
        <v>140.3720296044672</v>
      </c>
      <c r="U465" s="311">
        <f t="shared" ca="1" si="205"/>
        <v>0</v>
      </c>
      <c r="V465" s="306">
        <f t="shared" ca="1" si="206"/>
        <v>1.1221563779982189</v>
      </c>
      <c r="W465" s="304">
        <f t="shared" ca="1" si="207"/>
        <v>1056.609284660924</v>
      </c>
      <c r="Y465" s="314" t="str">
        <f t="shared" ca="1" si="225"/>
        <v/>
      </c>
      <c r="Z465" s="315" t="str">
        <f t="shared" ca="1" si="226"/>
        <v/>
      </c>
      <c r="AA465" s="316" t="str">
        <f t="shared" ca="1" si="227"/>
        <v/>
      </c>
      <c r="AC465" s="310" t="e">
        <f t="shared" ca="1" si="228"/>
        <v>#N/A</v>
      </c>
      <c r="AD465" s="323" t="e">
        <f t="shared" ca="1" si="229"/>
        <v>#N/A</v>
      </c>
      <c r="AE465" s="324">
        <f t="shared" ca="1" si="208"/>
        <v>876.32526716853772</v>
      </c>
      <c r="AG465" s="306">
        <f t="shared" ca="1" si="230"/>
        <v>75.322141383051388</v>
      </c>
      <c r="AH465" s="304">
        <f t="shared" ca="1" si="231"/>
        <v>84.526481782702888</v>
      </c>
    </row>
    <row r="466" spans="1:34" x14ac:dyDescent="0.2">
      <c r="A466" s="347">
        <f t="shared" ca="1" si="209"/>
        <v>0.01</v>
      </c>
      <c r="B466" s="304">
        <f t="shared" ca="1" si="210"/>
        <v>4.6199999999999459</v>
      </c>
      <c r="D466" s="306">
        <f t="shared" ca="1" si="211"/>
        <v>29.173205514456484</v>
      </c>
      <c r="E466" s="307">
        <f t="shared" ca="1" si="212"/>
        <v>69.296206012750119</v>
      </c>
      <c r="F466" s="304">
        <f t="shared" ca="1" si="213"/>
        <v>75.186701535246371</v>
      </c>
      <c r="G466" s="306">
        <f t="shared" ca="1" si="214"/>
        <v>141.3995550574765</v>
      </c>
      <c r="H466" s="307">
        <f t="shared" ca="1" si="215"/>
        <v>383.32162146136073</v>
      </c>
      <c r="I466" s="304">
        <f t="shared" ca="1" si="216"/>
        <v>408.56982224611136</v>
      </c>
      <c r="J466" s="306">
        <f t="shared" ca="1" si="217"/>
        <v>307.15321132129787</v>
      </c>
      <c r="K466" s="307">
        <f t="shared" ca="1" si="218"/>
        <v>880.15501857285074</v>
      </c>
      <c r="L466" s="304">
        <f t="shared" ca="1" si="203"/>
        <v>932.21025093267508</v>
      </c>
      <c r="M466" s="306">
        <f t="shared" ca="1" si="219"/>
        <v>1.2174021878559331</v>
      </c>
      <c r="N466" s="304">
        <f t="shared" ca="1" si="220"/>
        <v>69.752007334137573</v>
      </c>
      <c r="P466" s="310">
        <f t="shared" ca="1" si="221"/>
        <v>14</v>
      </c>
      <c r="Q466" s="304">
        <f t="shared" ca="1" si="222"/>
        <v>2261.919232163084</v>
      </c>
      <c r="R466" s="306">
        <f t="shared" ca="1" si="223"/>
        <v>1.3602597256241502</v>
      </c>
      <c r="S466" s="307">
        <f t="shared" ca="1" si="224"/>
        <v>14.295472795655808</v>
      </c>
      <c r="T466" s="304">
        <f t="shared" ca="1" si="204"/>
        <v>140.23858812538347</v>
      </c>
      <c r="U466" s="311">
        <f t="shared" ca="1" si="205"/>
        <v>0</v>
      </c>
      <c r="V466" s="306">
        <f t="shared" ca="1" si="206"/>
        <v>1.1217258723134291</v>
      </c>
      <c r="W466" s="304">
        <f t="shared" ca="1" si="207"/>
        <v>1060.0980443271408</v>
      </c>
      <c r="Y466" s="314" t="str">
        <f t="shared" ca="1" si="225"/>
        <v/>
      </c>
      <c r="Z466" s="315" t="str">
        <f t="shared" ca="1" si="226"/>
        <v/>
      </c>
      <c r="AA466" s="316" t="str">
        <f t="shared" ca="1" si="227"/>
        <v/>
      </c>
      <c r="AC466" s="310" t="e">
        <f t="shared" ca="1" si="228"/>
        <v>#N/A</v>
      </c>
      <c r="AD466" s="323" t="e">
        <f t="shared" ca="1" si="229"/>
        <v>#N/A</v>
      </c>
      <c r="AE466" s="324">
        <f t="shared" ca="1" si="208"/>
        <v>880.15501857285074</v>
      </c>
      <c r="AG466" s="306">
        <f t="shared" ca="1" si="230"/>
        <v>75.110043743081732</v>
      </c>
      <c r="AH466" s="304">
        <f t="shared" ca="1" si="231"/>
        <v>84.314101725158508</v>
      </c>
    </row>
    <row r="467" spans="1:34" x14ac:dyDescent="0.2">
      <c r="A467" s="347">
        <f t="shared" ca="1" si="209"/>
        <v>0.01</v>
      </c>
      <c r="B467" s="304">
        <f t="shared" ca="1" si="210"/>
        <v>4.6299999999999457</v>
      </c>
      <c r="D467" s="306">
        <f t="shared" ca="1" si="211"/>
        <v>29.106306314730329</v>
      </c>
      <c r="E467" s="307">
        <f t="shared" ca="1" si="212"/>
        <v>69.094608481818113</v>
      </c>
      <c r="F467" s="304">
        <f t="shared" ca="1" si="213"/>
        <v>74.97494240439697</v>
      </c>
      <c r="G467" s="306">
        <f t="shared" ca="1" si="214"/>
        <v>141.69061812062381</v>
      </c>
      <c r="H467" s="307">
        <f t="shared" ca="1" si="215"/>
        <v>384.0125675461789</v>
      </c>
      <c r="I467" s="304">
        <f t="shared" ca="1" si="216"/>
        <v>409.31880398634638</v>
      </c>
      <c r="J467" s="306">
        <f t="shared" ca="1" si="217"/>
        <v>308.56866218718835</v>
      </c>
      <c r="K467" s="307">
        <f t="shared" ca="1" si="218"/>
        <v>883.9916895178884</v>
      </c>
      <c r="L467" s="304">
        <f t="shared" ca="1" si="203"/>
        <v>936.29905821841021</v>
      </c>
      <c r="M467" s="306">
        <f t="shared" ca="1" si="219"/>
        <v>1.217319243074205</v>
      </c>
      <c r="N467" s="304">
        <f t="shared" ca="1" si="220"/>
        <v>69.747254948211918</v>
      </c>
      <c r="P467" s="310">
        <f t="shared" ca="1" si="221"/>
        <v>14</v>
      </c>
      <c r="Q467" s="304">
        <f t="shared" ca="1" si="222"/>
        <v>2261.2295152887918</v>
      </c>
      <c r="R467" s="306">
        <f t="shared" ca="1" si="223"/>
        <v>1.3598449477342758</v>
      </c>
      <c r="S467" s="307">
        <f t="shared" ca="1" si="224"/>
        <v>14.281874346178466</v>
      </c>
      <c r="T467" s="304">
        <f t="shared" ca="1" si="204"/>
        <v>140.10518733601074</v>
      </c>
      <c r="U467" s="311">
        <f t="shared" ca="1" si="205"/>
        <v>0</v>
      </c>
      <c r="V467" s="306">
        <f t="shared" ca="1" si="206"/>
        <v>1.1212947471193513</v>
      </c>
      <c r="W467" s="304">
        <f t="shared" ca="1" si="207"/>
        <v>1063.5793721319478</v>
      </c>
      <c r="Y467" s="314" t="str">
        <f t="shared" ca="1" si="225"/>
        <v/>
      </c>
      <c r="Z467" s="315" t="str">
        <f t="shared" ca="1" si="226"/>
        <v/>
      </c>
      <c r="AA467" s="316" t="str">
        <f t="shared" ca="1" si="227"/>
        <v/>
      </c>
      <c r="AC467" s="310" t="e">
        <f t="shared" ca="1" si="228"/>
        <v>#N/A</v>
      </c>
      <c r="AD467" s="323" t="e">
        <f t="shared" ca="1" si="229"/>
        <v>#N/A</v>
      </c>
      <c r="AE467" s="324">
        <f t="shared" ca="1" si="208"/>
        <v>883.9916895178884</v>
      </c>
      <c r="AG467" s="306">
        <f t="shared" ca="1" si="230"/>
        <v>74.898033221172753</v>
      </c>
      <c r="AH467" s="304">
        <f t="shared" ca="1" si="231"/>
        <v>84.101809177662247</v>
      </c>
    </row>
    <row r="468" spans="1:34" x14ac:dyDescent="0.2">
      <c r="A468" s="347">
        <f t="shared" ca="1" si="209"/>
        <v>0.01</v>
      </c>
      <c r="B468" s="304">
        <f t="shared" ca="1" si="210"/>
        <v>4.6399999999999455</v>
      </c>
      <c r="D468" s="306">
        <f t="shared" ca="1" si="211"/>
        <v>29.039395112981794</v>
      </c>
      <c r="E468" s="307">
        <f t="shared" ca="1" si="212"/>
        <v>68.893112635380206</v>
      </c>
      <c r="F468" s="304">
        <f t="shared" ca="1" si="213"/>
        <v>74.763275992421939</v>
      </c>
      <c r="G468" s="306">
        <f t="shared" ca="1" si="214"/>
        <v>141.98101207175364</v>
      </c>
      <c r="H468" s="307">
        <f t="shared" ca="1" si="215"/>
        <v>384.70149867253269</v>
      </c>
      <c r="I468" s="304">
        <f t="shared" ca="1" si="216"/>
        <v>410.06566653380298</v>
      </c>
      <c r="J468" s="306">
        <f t="shared" ca="1" si="217"/>
        <v>309.98702033815022</v>
      </c>
      <c r="K468" s="307">
        <f t="shared" ca="1" si="218"/>
        <v>887.83525984898199</v>
      </c>
      <c r="L468" s="304">
        <f t="shared" ca="1" si="203"/>
        <v>940.3953431452295</v>
      </c>
      <c r="M468" s="306">
        <f t="shared" ca="1" si="219"/>
        <v>1.2172364307454482</v>
      </c>
      <c r="N468" s="304">
        <f t="shared" ca="1" si="220"/>
        <v>69.742510151282502</v>
      </c>
      <c r="P468" s="310">
        <f t="shared" ca="1" si="221"/>
        <v>14</v>
      </c>
      <c r="Q468" s="304">
        <f t="shared" ca="1" si="222"/>
        <v>2260.5397984144997</v>
      </c>
      <c r="R468" s="306">
        <f t="shared" ca="1" si="223"/>
        <v>1.3594301698444013</v>
      </c>
      <c r="S468" s="307">
        <f t="shared" ca="1" si="224"/>
        <v>14.268280044480022</v>
      </c>
      <c r="T468" s="304">
        <f t="shared" ca="1" si="204"/>
        <v>139.97182723634901</v>
      </c>
      <c r="U468" s="311">
        <f t="shared" ca="1" si="205"/>
        <v>0</v>
      </c>
      <c r="V468" s="306">
        <f t="shared" ca="1" si="206"/>
        <v>1.1208630054493385</v>
      </c>
      <c r="W468" s="304">
        <f t="shared" ca="1" si="207"/>
        <v>1067.0532132642911</v>
      </c>
      <c r="Y468" s="314" t="str">
        <f t="shared" ca="1" si="225"/>
        <v/>
      </c>
      <c r="Z468" s="315" t="str">
        <f t="shared" ca="1" si="226"/>
        <v/>
      </c>
      <c r="AA468" s="316" t="str">
        <f t="shared" ca="1" si="227"/>
        <v/>
      </c>
      <c r="AC468" s="310" t="e">
        <f t="shared" ca="1" si="228"/>
        <v>#N/A</v>
      </c>
      <c r="AD468" s="323" t="e">
        <f t="shared" ca="1" si="229"/>
        <v>#N/A</v>
      </c>
      <c r="AE468" s="324">
        <f t="shared" ca="1" si="208"/>
        <v>887.83525984898199</v>
      </c>
      <c r="AG468" s="306">
        <f t="shared" ca="1" si="230"/>
        <v>74.686114136568222</v>
      </c>
      <c r="AH468" s="304">
        <f t="shared" ca="1" si="231"/>
        <v>83.889608456740419</v>
      </c>
    </row>
    <row r="469" spans="1:34" x14ac:dyDescent="0.2">
      <c r="A469" s="347">
        <f t="shared" ca="1" si="209"/>
        <v>0.01</v>
      </c>
      <c r="B469" s="304">
        <f t="shared" ca="1" si="210"/>
        <v>4.6499999999999453</v>
      </c>
      <c r="D469" s="306">
        <f t="shared" ca="1" si="211"/>
        <v>28.972473568592381</v>
      </c>
      <c r="E469" s="307">
        <f t="shared" ca="1" si="212"/>
        <v>68.691722444794564</v>
      </c>
      <c r="F469" s="304">
        <f t="shared" ca="1" si="213"/>
        <v>74.551706600959022</v>
      </c>
      <c r="G469" s="306">
        <f t="shared" ca="1" si="214"/>
        <v>142.27073680743956</v>
      </c>
      <c r="H469" s="307">
        <f t="shared" ca="1" si="215"/>
        <v>385.38841589698063</v>
      </c>
      <c r="I469" s="304">
        <f t="shared" ca="1" si="216"/>
        <v>410.8104108458254</v>
      </c>
      <c r="J469" s="306">
        <f t="shared" ca="1" si="217"/>
        <v>311.40827908254619</v>
      </c>
      <c r="K469" s="307">
        <f t="shared" ca="1" si="218"/>
        <v>891.68570942182953</v>
      </c>
      <c r="L469" s="304">
        <f t="shared" ca="1" si="203"/>
        <v>944.49908452484181</v>
      </c>
      <c r="M469" s="306">
        <f t="shared" ca="1" si="219"/>
        <v>1.2171537499919824</v>
      </c>
      <c r="N469" s="304">
        <f t="shared" ca="1" si="220"/>
        <v>69.737772893061958</v>
      </c>
      <c r="P469" s="310">
        <f t="shared" ca="1" si="221"/>
        <v>14</v>
      </c>
      <c r="Q469" s="304">
        <f t="shared" ca="1" si="222"/>
        <v>2259.8500815402076</v>
      </c>
      <c r="R469" s="306">
        <f t="shared" ca="1" si="223"/>
        <v>1.3590153919545271</v>
      </c>
      <c r="S469" s="307">
        <f t="shared" ca="1" si="224"/>
        <v>14.254689890560478</v>
      </c>
      <c r="T469" s="304">
        <f t="shared" ca="1" si="204"/>
        <v>139.83850782639828</v>
      </c>
      <c r="U469" s="311">
        <f t="shared" ca="1" si="205"/>
        <v>0</v>
      </c>
      <c r="V469" s="306">
        <f t="shared" ca="1" si="206"/>
        <v>1.12043065033291</v>
      </c>
      <c r="W469" s="304">
        <f t="shared" ca="1" si="207"/>
        <v>1070.519513479685</v>
      </c>
      <c r="Y469" s="314" t="str">
        <f t="shared" ca="1" si="225"/>
        <v/>
      </c>
      <c r="Z469" s="315" t="str">
        <f t="shared" ca="1" si="226"/>
        <v/>
      </c>
      <c r="AA469" s="316" t="str">
        <f t="shared" ca="1" si="227"/>
        <v/>
      </c>
      <c r="AC469" s="310" t="e">
        <f t="shared" ca="1" si="228"/>
        <v>#N/A</v>
      </c>
      <c r="AD469" s="323" t="e">
        <f t="shared" ca="1" si="229"/>
        <v>#N/A</v>
      </c>
      <c r="AE469" s="324">
        <f t="shared" ca="1" si="208"/>
        <v>891.68570942182953</v>
      </c>
      <c r="AG469" s="306">
        <f t="shared" ca="1" si="230"/>
        <v>74.474290785043195</v>
      </c>
      <c r="AH469" s="304">
        <f t="shared" ca="1" si="231"/>
        <v>83.677503855470903</v>
      </c>
    </row>
    <row r="470" spans="1:34" x14ac:dyDescent="0.2">
      <c r="A470" s="347">
        <f t="shared" ca="1" si="209"/>
        <v>0.01</v>
      </c>
      <c r="B470" s="304">
        <f t="shared" ca="1" si="210"/>
        <v>4.6599999999999451</v>
      </c>
      <c r="D470" s="306">
        <f t="shared" ca="1" si="211"/>
        <v>28.905543332785086</v>
      </c>
      <c r="E470" s="307">
        <f t="shared" ca="1" si="212"/>
        <v>68.490441859249955</v>
      </c>
      <c r="F470" s="304">
        <f t="shared" ca="1" si="213"/>
        <v>74.340238508083999</v>
      </c>
      <c r="G470" s="306">
        <f t="shared" ca="1" si="214"/>
        <v>142.55979224076742</v>
      </c>
      <c r="H470" s="307">
        <f t="shared" ca="1" si="215"/>
        <v>386.07332031557314</v>
      </c>
      <c r="I470" s="304">
        <f t="shared" ca="1" si="216"/>
        <v>411.55303792247958</v>
      </c>
      <c r="J470" s="306">
        <f t="shared" ca="1" si="217"/>
        <v>312.8324317277872</v>
      </c>
      <c r="K470" s="307">
        <f t="shared" ca="1" si="218"/>
        <v>895.54301810289235</v>
      </c>
      <c r="L470" s="304">
        <f t="shared" ca="1" si="203"/>
        <v>948.61026117871927</v>
      </c>
      <c r="M470" s="306">
        <f t="shared" ca="1" si="219"/>
        <v>1.2170711999429256</v>
      </c>
      <c r="N470" s="304">
        <f t="shared" ca="1" si="220"/>
        <v>69.733043123652394</v>
      </c>
      <c r="P470" s="310">
        <f t="shared" ca="1" si="221"/>
        <v>14</v>
      </c>
      <c r="Q470" s="304">
        <f t="shared" ca="1" si="222"/>
        <v>2259.160364665915</v>
      </c>
      <c r="R470" s="306">
        <f t="shared" ca="1" si="223"/>
        <v>1.3586006140646523</v>
      </c>
      <c r="S470" s="307">
        <f t="shared" ca="1" si="224"/>
        <v>14.241103884419831</v>
      </c>
      <c r="T470" s="304">
        <f t="shared" ca="1" si="204"/>
        <v>139.70522910615855</v>
      </c>
      <c r="U470" s="311">
        <f t="shared" ca="1" si="205"/>
        <v>0</v>
      </c>
      <c r="V470" s="306">
        <f t="shared" ca="1" si="206"/>
        <v>1.1199976847956885</v>
      </c>
      <c r="W470" s="304">
        <f t="shared" ca="1" si="207"/>
        <v>1073.9782190999995</v>
      </c>
      <c r="Y470" s="314" t="str">
        <f t="shared" ca="1" si="225"/>
        <v/>
      </c>
      <c r="Z470" s="315" t="str">
        <f t="shared" ca="1" si="226"/>
        <v/>
      </c>
      <c r="AA470" s="316" t="str">
        <f t="shared" ca="1" si="227"/>
        <v/>
      </c>
      <c r="AC470" s="310" t="e">
        <f t="shared" ca="1" si="228"/>
        <v>#N/A</v>
      </c>
      <c r="AD470" s="323" t="e">
        <f t="shared" ca="1" si="229"/>
        <v>#N/A</v>
      </c>
      <c r="AE470" s="324">
        <f t="shared" ca="1" si="208"/>
        <v>895.54301810289235</v>
      </c>
      <c r="AG470" s="306">
        <f t="shared" ca="1" si="230"/>
        <v>74.262567438790398</v>
      </c>
      <c r="AH470" s="304">
        <f t="shared" ca="1" si="231"/>
        <v>83.465499643369412</v>
      </c>
    </row>
    <row r="471" spans="1:34" x14ac:dyDescent="0.2">
      <c r="A471" s="347">
        <f t="shared" ca="1" si="209"/>
        <v>0.01</v>
      </c>
      <c r="B471" s="304">
        <f t="shared" ca="1" si="210"/>
        <v>4.6699999999999449</v>
      </c>
      <c r="D471" s="306">
        <f t="shared" ca="1" si="211"/>
        <v>28.838606048585024</v>
      </c>
      <c r="E471" s="307">
        <f t="shared" ca="1" si="212"/>
        <v>68.289274805663496</v>
      </c>
      <c r="F471" s="304">
        <f t="shared" ca="1" si="213"/>
        <v>74.128875968200887</v>
      </c>
      <c r="G471" s="306">
        <f t="shared" ca="1" si="214"/>
        <v>142.84817830125328</v>
      </c>
      <c r="H471" s="307">
        <f t="shared" ca="1" si="215"/>
        <v>386.75621306362979</v>
      </c>
      <c r="I471" s="304">
        <f t="shared" ca="1" si="216"/>
        <v>412.29354880631644</v>
      </c>
      <c r="J471" s="306">
        <f t="shared" ca="1" si="217"/>
        <v>314.25947158049729</v>
      </c>
      <c r="K471" s="307">
        <f t="shared" ca="1" si="218"/>
        <v>899.40716576978832</v>
      </c>
      <c r="L471" s="304">
        <f t="shared" ca="1" si="203"/>
        <v>952.72885193852335</v>
      </c>
      <c r="M471" s="306">
        <f t="shared" ca="1" si="219"/>
        <v>1.2169887797341266</v>
      </c>
      <c r="N471" s="304">
        <f t="shared" ca="1" si="220"/>
        <v>69.728320793541627</v>
      </c>
      <c r="P471" s="310">
        <f t="shared" ca="1" si="221"/>
        <v>14</v>
      </c>
      <c r="Q471" s="304">
        <f t="shared" ca="1" si="222"/>
        <v>2258.4706477916229</v>
      </c>
      <c r="R471" s="306">
        <f t="shared" ca="1" si="223"/>
        <v>1.3581858361747781</v>
      </c>
      <c r="S471" s="307">
        <f t="shared" ca="1" si="224"/>
        <v>14.227522026058082</v>
      </c>
      <c r="T471" s="304">
        <f t="shared" ca="1" si="204"/>
        <v>139.5719910756298</v>
      </c>
      <c r="U471" s="311">
        <f t="shared" ca="1" si="205"/>
        <v>0</v>
      </c>
      <c r="V471" s="306">
        <f t="shared" ca="1" si="206"/>
        <v>1.1195641118593511</v>
      </c>
      <c r="W471" s="304">
        <f t="shared" ca="1" si="207"/>
        <v>1077.4292770132215</v>
      </c>
      <c r="Y471" s="314" t="str">
        <f t="shared" ca="1" si="225"/>
        <v/>
      </c>
      <c r="Z471" s="315" t="str">
        <f t="shared" ca="1" si="226"/>
        <v/>
      </c>
      <c r="AA471" s="316" t="str">
        <f t="shared" ca="1" si="227"/>
        <v/>
      </c>
      <c r="AC471" s="310" t="e">
        <f t="shared" ca="1" si="228"/>
        <v>#N/A</v>
      </c>
      <c r="AD471" s="323" t="e">
        <f t="shared" ca="1" si="229"/>
        <v>#N/A</v>
      </c>
      <c r="AE471" s="324">
        <f t="shared" ca="1" si="208"/>
        <v>899.40716576978832</v>
      </c>
      <c r="AG471" s="306">
        <f t="shared" ca="1" si="230"/>
        <v>74.050948346310591</v>
      </c>
      <c r="AH471" s="304">
        <f t="shared" ca="1" si="231"/>
        <v>83.253600066279589</v>
      </c>
    </row>
    <row r="472" spans="1:34" x14ac:dyDescent="0.2">
      <c r="A472" s="347">
        <f t="shared" ca="1" si="209"/>
        <v>0.01</v>
      </c>
      <c r="B472" s="304">
        <f t="shared" ca="1" si="210"/>
        <v>4.6799999999999446</v>
      </c>
      <c r="D472" s="306">
        <f t="shared" ca="1" si="211"/>
        <v>28.771663350780244</v>
      </c>
      <c r="E472" s="307">
        <f t="shared" ca="1" si="212"/>
        <v>68.088225188579557</v>
      </c>
      <c r="F472" s="304">
        <f t="shared" ca="1" si="213"/>
        <v>73.91762321193336</v>
      </c>
      <c r="G472" s="306">
        <f t="shared" ca="1" si="214"/>
        <v>143.1358949347611</v>
      </c>
      <c r="H472" s="307">
        <f t="shared" ca="1" si="215"/>
        <v>387.43709531551559</v>
      </c>
      <c r="I472" s="304">
        <f t="shared" ca="1" si="216"/>
        <v>413.03194458213386</v>
      </c>
      <c r="J472" s="306">
        <f t="shared" ca="1" si="217"/>
        <v>315.68939194667735</v>
      </c>
      <c r="K472" s="307">
        <f t="shared" ca="1" si="218"/>
        <v>903.27813231168409</v>
      </c>
      <c r="L472" s="304">
        <f t="shared" ca="1" si="203"/>
        <v>956.85483564652964</v>
      </c>
      <c r="M472" s="306">
        <f t="shared" ca="1" si="219"/>
        <v>1.2169064885080985</v>
      </c>
      <c r="N472" s="304">
        <f t="shared" ca="1" si="220"/>
        <v>69.723605853599253</v>
      </c>
      <c r="P472" s="310">
        <f t="shared" ca="1" si="221"/>
        <v>14</v>
      </c>
      <c r="Q472" s="304">
        <f t="shared" ca="1" si="222"/>
        <v>2257.7809309173308</v>
      </c>
      <c r="R472" s="306">
        <f t="shared" ca="1" si="223"/>
        <v>1.3577710582849036</v>
      </c>
      <c r="S472" s="307">
        <f t="shared" ca="1" si="224"/>
        <v>14.213944315475233</v>
      </c>
      <c r="T472" s="304">
        <f t="shared" ca="1" si="204"/>
        <v>139.43879373481204</v>
      </c>
      <c r="U472" s="311">
        <f t="shared" ca="1" si="205"/>
        <v>0</v>
      </c>
      <c r="V472" s="306">
        <f t="shared" ca="1" si="206"/>
        <v>1.1191299345415693</v>
      </c>
      <c r="W472" s="304">
        <f t="shared" ca="1" si="207"/>
        <v>1080.8726346731532</v>
      </c>
      <c r="Y472" s="314" t="str">
        <f t="shared" ca="1" si="225"/>
        <v/>
      </c>
      <c r="Z472" s="315" t="str">
        <f t="shared" ca="1" si="226"/>
        <v/>
      </c>
      <c r="AA472" s="316" t="str">
        <f t="shared" ca="1" si="227"/>
        <v/>
      </c>
      <c r="AC472" s="310" t="e">
        <f t="shared" ca="1" si="228"/>
        <v>#N/A</v>
      </c>
      <c r="AD472" s="323" t="e">
        <f t="shared" ca="1" si="229"/>
        <v>#N/A</v>
      </c>
      <c r="AE472" s="324">
        <f t="shared" ca="1" si="208"/>
        <v>903.27813231168409</v>
      </c>
      <c r="AG472" s="306">
        <f t="shared" ca="1" si="230"/>
        <v>73.839437732303836</v>
      </c>
      <c r="AH472" s="304">
        <f t="shared" ca="1" si="231"/>
        <v>83.041809346264145</v>
      </c>
    </row>
    <row r="473" spans="1:34" x14ac:dyDescent="0.2">
      <c r="A473" s="347">
        <f t="shared" ca="1" si="209"/>
        <v>0.01</v>
      </c>
      <c r="B473" s="304">
        <f t="shared" ca="1" si="210"/>
        <v>4.6899999999999444</v>
      </c>
      <c r="D473" s="306">
        <f t="shared" ca="1" si="211"/>
        <v>28.704716865883977</v>
      </c>
      <c r="E473" s="307">
        <f t="shared" ca="1" si="212"/>
        <v>67.887296890072619</v>
      </c>
      <c r="F473" s="304">
        <f t="shared" ca="1" si="213"/>
        <v>73.706484446020269</v>
      </c>
      <c r="G473" s="306">
        <f t="shared" ca="1" si="214"/>
        <v>143.42294210341993</v>
      </c>
      <c r="H473" s="307">
        <f t="shared" ca="1" si="215"/>
        <v>388.11596828441634</v>
      </c>
      <c r="I473" s="304">
        <f t="shared" ca="1" si="216"/>
        <v>413.7682263767374</v>
      </c>
      <c r="J473" s="306">
        <f t="shared" ca="1" si="217"/>
        <v>317.12218613186826</v>
      </c>
      <c r="K473" s="307">
        <f t="shared" ca="1" si="218"/>
        <v>907.15589762968375</v>
      </c>
      <c r="L473" s="304">
        <f t="shared" ca="1" si="203"/>
        <v>960.98819115604772</v>
      </c>
      <c r="M473" s="306">
        <f t="shared" ca="1" si="219"/>
        <v>1.2168243254139546</v>
      </c>
      <c r="N473" s="304">
        <f t="shared" ca="1" si="220"/>
        <v>69.718898255073071</v>
      </c>
      <c r="P473" s="310">
        <f t="shared" ca="1" si="221"/>
        <v>14</v>
      </c>
      <c r="Q473" s="304">
        <f t="shared" ca="1" si="222"/>
        <v>2257.0912140430387</v>
      </c>
      <c r="R473" s="306">
        <f t="shared" ca="1" si="223"/>
        <v>1.3573562803950292</v>
      </c>
      <c r="S473" s="307">
        <f t="shared" ca="1" si="224"/>
        <v>14.200370752671283</v>
      </c>
      <c r="T473" s="304">
        <f t="shared" ca="1" si="204"/>
        <v>139.30563708370531</v>
      </c>
      <c r="U473" s="311">
        <f t="shared" ca="1" si="205"/>
        <v>0</v>
      </c>
      <c r="V473" s="306">
        <f t="shared" ca="1" si="206"/>
        <v>1.1186951558559575</v>
      </c>
      <c r="W473" s="304">
        <f t="shared" ca="1" si="207"/>
        <v>1084.3082400990795</v>
      </c>
      <c r="Y473" s="314" t="str">
        <f t="shared" ca="1" si="225"/>
        <v/>
      </c>
      <c r="Z473" s="315" t="str">
        <f t="shared" ca="1" si="226"/>
        <v/>
      </c>
      <c r="AA473" s="316" t="str">
        <f t="shared" ca="1" si="227"/>
        <v/>
      </c>
      <c r="AC473" s="310" t="e">
        <f t="shared" ca="1" si="228"/>
        <v>#N/A</v>
      </c>
      <c r="AD473" s="323" t="e">
        <f t="shared" ca="1" si="229"/>
        <v>#N/A</v>
      </c>
      <c r="AE473" s="324">
        <f t="shared" ca="1" si="208"/>
        <v>907.15589762968375</v>
      </c>
      <c r="AG473" s="306">
        <f t="shared" ca="1" si="230"/>
        <v>73.628039797564981</v>
      </c>
      <c r="AH473" s="304">
        <f t="shared" ca="1" si="231"/>
        <v>82.830131681500134</v>
      </c>
    </row>
    <row r="474" spans="1:34" x14ac:dyDescent="0.2">
      <c r="A474" s="347">
        <f t="shared" ca="1" si="209"/>
        <v>0.01</v>
      </c>
      <c r="B474" s="304">
        <f t="shared" ca="1" si="210"/>
        <v>4.6999999999999442</v>
      </c>
      <c r="D474" s="306">
        <f t="shared" ca="1" si="211"/>
        <v>28.637768212097143</v>
      </c>
      <c r="E474" s="307">
        <f t="shared" ca="1" si="212"/>
        <v>67.68649376965142</v>
      </c>
      <c r="F474" s="304">
        <f t="shared" ca="1" si="213"/>
        <v>73.495463853212485</v>
      </c>
      <c r="G474" s="306">
        <f t="shared" ca="1" si="214"/>
        <v>143.70931978554091</v>
      </c>
      <c r="H474" s="307">
        <f t="shared" ca="1" si="215"/>
        <v>388.79283322211285</v>
      </c>
      <c r="I474" s="304">
        <f t="shared" ca="1" si="216"/>
        <v>414.5023953587006</v>
      </c>
      <c r="J474" s="306">
        <f t="shared" ca="1" si="217"/>
        <v>318.55784744131307</v>
      </c>
      <c r="K474" s="307">
        <f t="shared" ca="1" si="218"/>
        <v>911.04044163721642</v>
      </c>
      <c r="L474" s="304">
        <f t="shared" ca="1" si="203"/>
        <v>965.12889733184204</v>
      </c>
      <c r="M474" s="306">
        <f t="shared" ca="1" si="219"/>
        <v>1.2167422896073419</v>
      </c>
      <c r="N474" s="304">
        <f t="shared" ca="1" si="220"/>
        <v>69.714197949585213</v>
      </c>
      <c r="P474" s="310">
        <f t="shared" ca="1" si="221"/>
        <v>14</v>
      </c>
      <c r="Q474" s="304">
        <f t="shared" ca="1" si="222"/>
        <v>2256.4014971687466</v>
      </c>
      <c r="R474" s="306">
        <f t="shared" ca="1" si="223"/>
        <v>1.3569415025051548</v>
      </c>
      <c r="S474" s="307">
        <f t="shared" ca="1" si="224"/>
        <v>14.186801337646232</v>
      </c>
      <c r="T474" s="304">
        <f t="shared" ca="1" si="204"/>
        <v>139.17252112230955</v>
      </c>
      <c r="U474" s="311">
        <f t="shared" ca="1" si="205"/>
        <v>0</v>
      </c>
      <c r="V474" s="306">
        <f t="shared" ca="1" si="206"/>
        <v>1.1182597788120188</v>
      </c>
      <c r="W474" s="304">
        <f t="shared" ca="1" si="207"/>
        <v>1087.7360418753883</v>
      </c>
      <c r="Y474" s="314" t="str">
        <f t="shared" ca="1" si="225"/>
        <v/>
      </c>
      <c r="Z474" s="315" t="str">
        <f t="shared" ca="1" si="226"/>
        <v/>
      </c>
      <c r="AA474" s="316" t="str">
        <f t="shared" ca="1" si="227"/>
        <v/>
      </c>
      <c r="AC474" s="310" t="e">
        <f t="shared" ca="1" si="228"/>
        <v>#N/A</v>
      </c>
      <c r="AD474" s="323" t="e">
        <f t="shared" ca="1" si="229"/>
        <v>#N/A</v>
      </c>
      <c r="AE474" s="324">
        <f t="shared" ca="1" si="208"/>
        <v>911.04044163721642</v>
      </c>
      <c r="AG474" s="306">
        <f t="shared" ca="1" si="230"/>
        <v>73.4167587188807</v>
      </c>
      <c r="AH474" s="304">
        <f t="shared" ca="1" si="231"/>
        <v>82.618571246175776</v>
      </c>
    </row>
    <row r="475" spans="1:34" x14ac:dyDescent="0.2">
      <c r="A475" s="347">
        <f t="shared" ca="1" si="209"/>
        <v>0.01</v>
      </c>
      <c r="B475" s="304">
        <f t="shared" ca="1" si="210"/>
        <v>4.709999999999944</v>
      </c>
      <c r="D475" s="306">
        <f t="shared" ca="1" si="211"/>
        <v>28.570818999272035</v>
      </c>
      <c r="E475" s="307">
        <f t="shared" ca="1" si="212"/>
        <v>67.485819664166073</v>
      </c>
      <c r="F475" s="304">
        <f t="shared" ca="1" si="213"/>
        <v>73.28456559217301</v>
      </c>
      <c r="G475" s="306">
        <f t="shared" ca="1" si="214"/>
        <v>143.99502797553365</v>
      </c>
      <c r="H475" s="307">
        <f t="shared" ca="1" si="215"/>
        <v>389.4676914187545</v>
      </c>
      <c r="I475" s="304">
        <f t="shared" ca="1" si="216"/>
        <v>415.23445273812348</v>
      </c>
      <c r="J475" s="306">
        <f t="shared" ca="1" si="217"/>
        <v>319.99636918011845</v>
      </c>
      <c r="K475" s="307">
        <f t="shared" ca="1" si="218"/>
        <v>914.93174426042071</v>
      </c>
      <c r="L475" s="304">
        <f t="shared" ca="1" si="203"/>
        <v>969.27693305054697</v>
      </c>
      <c r="M475" s="306">
        <f t="shared" ca="1" si="219"/>
        <v>1.2166603802503788</v>
      </c>
      <c r="N475" s="304">
        <f t="shared" ca="1" si="220"/>
        <v>69.70950488912861</v>
      </c>
      <c r="P475" s="310">
        <f t="shared" ca="1" si="221"/>
        <v>14</v>
      </c>
      <c r="Q475" s="304">
        <f t="shared" ca="1" si="222"/>
        <v>2255.7117802944545</v>
      </c>
      <c r="R475" s="306">
        <f t="shared" ca="1" si="223"/>
        <v>1.3565267246152803</v>
      </c>
      <c r="S475" s="307">
        <f t="shared" ca="1" si="224"/>
        <v>14.17323607040008</v>
      </c>
      <c r="T475" s="304">
        <f t="shared" ca="1" si="204"/>
        <v>139.03944585062479</v>
      </c>
      <c r="U475" s="311">
        <f t="shared" ca="1" si="205"/>
        <v>0</v>
      </c>
      <c r="V475" s="306">
        <f t="shared" ca="1" si="206"/>
        <v>1.11782380641509</v>
      </c>
      <c r="W475" s="304">
        <f t="shared" ca="1" si="207"/>
        <v>1091.155989151144</v>
      </c>
      <c r="Y475" s="314" t="str">
        <f t="shared" ca="1" si="225"/>
        <v/>
      </c>
      <c r="Z475" s="315" t="str">
        <f t="shared" ca="1" si="226"/>
        <v/>
      </c>
      <c r="AA475" s="316" t="str">
        <f t="shared" ca="1" si="227"/>
        <v/>
      </c>
      <c r="AC475" s="310" t="e">
        <f t="shared" ca="1" si="228"/>
        <v>#N/A</v>
      </c>
      <c r="AD475" s="323" t="e">
        <f t="shared" ca="1" si="229"/>
        <v>#N/A</v>
      </c>
      <c r="AE475" s="324">
        <f t="shared" ca="1" si="208"/>
        <v>914.93174426042071</v>
      </c>
      <c r="AG475" s="306">
        <f t="shared" ca="1" si="230"/>
        <v>73.205598648929424</v>
      </c>
      <c r="AH475" s="304">
        <f t="shared" ca="1" si="231"/>
        <v>82.407132190390215</v>
      </c>
    </row>
    <row r="476" spans="1:34" x14ac:dyDescent="0.2">
      <c r="A476" s="347">
        <f t="shared" ca="1" si="209"/>
        <v>0.01</v>
      </c>
      <c r="B476" s="304">
        <f t="shared" ca="1" si="210"/>
        <v>4.7199999999999438</v>
      </c>
      <c r="D476" s="306">
        <f t="shared" ca="1" si="211"/>
        <v>28.503870828876636</v>
      </c>
      <c r="E476" s="307">
        <f t="shared" ca="1" si="212"/>
        <v>67.28527838771771</v>
      </c>
      <c r="F476" s="304">
        <f t="shared" ca="1" si="213"/>
        <v>73.073793797379622</v>
      </c>
      <c r="G476" s="306">
        <f t="shared" ca="1" si="214"/>
        <v>144.28006668382241</v>
      </c>
      <c r="H476" s="307">
        <f t="shared" ca="1" si="215"/>
        <v>390.1405442026317</v>
      </c>
      <c r="I476" s="304">
        <f t="shared" ca="1" si="216"/>
        <v>415.9643997663909</v>
      </c>
      <c r="J476" s="306">
        <f t="shared" ca="1" si="217"/>
        <v>321.43774465341522</v>
      </c>
      <c r="K476" s="307">
        <f t="shared" ca="1" si="218"/>
        <v>918.82978543852767</v>
      </c>
      <c r="L476" s="304">
        <f t="shared" ca="1" si="203"/>
        <v>973.43227720108246</v>
      </c>
      <c r="M476" s="306">
        <f t="shared" ca="1" si="219"/>
        <v>1.2165785965115909</v>
      </c>
      <c r="N476" s="304">
        <f t="shared" ca="1" si="220"/>
        <v>69.704819026063262</v>
      </c>
      <c r="P476" s="310">
        <f t="shared" ca="1" si="221"/>
        <v>14</v>
      </c>
      <c r="Q476" s="304">
        <f t="shared" ca="1" si="222"/>
        <v>2255.0220634201623</v>
      </c>
      <c r="R476" s="306">
        <f t="shared" ca="1" si="223"/>
        <v>1.3561119467254059</v>
      </c>
      <c r="S476" s="307">
        <f t="shared" ca="1" si="224"/>
        <v>14.159674950932825</v>
      </c>
      <c r="T476" s="304">
        <f t="shared" ca="1" si="204"/>
        <v>138.90641126865103</v>
      </c>
      <c r="U476" s="311">
        <f t="shared" ca="1" si="205"/>
        <v>0</v>
      </c>
      <c r="V476" s="306">
        <f t="shared" ca="1" si="206"/>
        <v>1.1173872416662909</v>
      </c>
      <c r="W476" s="304">
        <f t="shared" ca="1" si="207"/>
        <v>1094.5680316396265</v>
      </c>
      <c r="Y476" s="314" t="str">
        <f t="shared" ca="1" si="225"/>
        <v/>
      </c>
      <c r="Z476" s="315" t="str">
        <f t="shared" ca="1" si="226"/>
        <v/>
      </c>
      <c r="AA476" s="316" t="str">
        <f t="shared" ca="1" si="227"/>
        <v/>
      </c>
      <c r="AC476" s="310" t="e">
        <f t="shared" ca="1" si="228"/>
        <v>#N/A</v>
      </c>
      <c r="AD476" s="323" t="e">
        <f t="shared" ca="1" si="229"/>
        <v>#N/A</v>
      </c>
      <c r="AE476" s="324">
        <f t="shared" ca="1" si="208"/>
        <v>918.82978543852767</v>
      </c>
      <c r="AG476" s="306">
        <f t="shared" ca="1" si="230"/>
        <v>72.994563716183933</v>
      </c>
      <c r="AH476" s="304">
        <f t="shared" ca="1" si="231"/>
        <v>82.195818640056004</v>
      </c>
    </row>
    <row r="477" spans="1:34" x14ac:dyDescent="0.2">
      <c r="A477" s="347">
        <f t="shared" ca="1" si="209"/>
        <v>0.01</v>
      </c>
      <c r="B477" s="304">
        <f t="shared" ca="1" si="210"/>
        <v>4.7299999999999436</v>
      </c>
      <c r="D477" s="306">
        <f t="shared" ca="1" si="211"/>
        <v>28.436925293959714</v>
      </c>
      <c r="E477" s="307">
        <f t="shared" ca="1" si="212"/>
        <v>67.084873731569985</v>
      </c>
      <c r="F477" s="304">
        <f t="shared" ca="1" si="213"/>
        <v>72.863152579029503</v>
      </c>
      <c r="G477" s="306">
        <f t="shared" ca="1" si="214"/>
        <v>144.56443593676201</v>
      </c>
      <c r="H477" s="307">
        <f t="shared" ca="1" si="215"/>
        <v>390.81139293994738</v>
      </c>
      <c r="I477" s="304">
        <f t="shared" ca="1" si="216"/>
        <v>416.69223773592915</v>
      </c>
      <c r="J477" s="306">
        <f t="shared" ca="1" si="217"/>
        <v>322.88196716651817</v>
      </c>
      <c r="K477" s="307">
        <f t="shared" ca="1" si="218"/>
        <v>922.73454512424053</v>
      </c>
      <c r="L477" s="304">
        <f t="shared" ca="1" si="203"/>
        <v>977.59490868506441</v>
      </c>
      <c r="M477" s="306">
        <f t="shared" ca="1" si="219"/>
        <v>1.2164969375658503</v>
      </c>
      <c r="N477" s="304">
        <f t="shared" ca="1" si="220"/>
        <v>69.700140313112826</v>
      </c>
      <c r="P477" s="310">
        <f t="shared" ca="1" si="221"/>
        <v>14</v>
      </c>
      <c r="Q477" s="304">
        <f t="shared" ca="1" si="222"/>
        <v>2254.3323465458702</v>
      </c>
      <c r="R477" s="306">
        <f t="shared" ca="1" si="223"/>
        <v>1.3556971688355315</v>
      </c>
      <c r="S477" s="307">
        <f t="shared" ca="1" si="224"/>
        <v>14.146117979244469</v>
      </c>
      <c r="T477" s="304">
        <f t="shared" ca="1" si="204"/>
        <v>138.77341737638824</v>
      </c>
      <c r="U477" s="311">
        <f t="shared" ca="1" si="205"/>
        <v>0</v>
      </c>
      <c r="V477" s="306">
        <f t="shared" ca="1" si="206"/>
        <v>1.1169500875624687</v>
      </c>
      <c r="W477" s="304">
        <f t="shared" ca="1" si="207"/>
        <v>1097.9721196178177</v>
      </c>
      <c r="Y477" s="314" t="str">
        <f t="shared" ca="1" si="225"/>
        <v/>
      </c>
      <c r="Z477" s="315" t="str">
        <f t="shared" ca="1" si="226"/>
        <v/>
      </c>
      <c r="AA477" s="316" t="str">
        <f t="shared" ca="1" si="227"/>
        <v/>
      </c>
      <c r="AC477" s="310" t="e">
        <f t="shared" ca="1" si="228"/>
        <v>#N/A</v>
      </c>
      <c r="AD477" s="323" t="e">
        <f t="shared" ca="1" si="229"/>
        <v>#N/A</v>
      </c>
      <c r="AE477" s="324">
        <f t="shared" ca="1" si="208"/>
        <v>922.73454512424053</v>
      </c>
      <c r="AG477" s="306">
        <f t="shared" ca="1" si="230"/>
        <v>72.783658024816191</v>
      </c>
      <c r="AH477" s="304">
        <f t="shared" ca="1" si="231"/>
        <v>81.984634696803624</v>
      </c>
    </row>
    <row r="478" spans="1:34" x14ac:dyDescent="0.2">
      <c r="A478" s="347">
        <f t="shared" ca="1" si="209"/>
        <v>0.01</v>
      </c>
      <c r="B478" s="304">
        <f t="shared" ca="1" si="210"/>
        <v>4.7399999999999434</v>
      </c>
      <c r="D478" s="306">
        <f t="shared" ca="1" si="211"/>
        <v>28.369983979116828</v>
      </c>
      <c r="E478" s="307">
        <f t="shared" ca="1" si="212"/>
        <v>66.884609464063843</v>
      </c>
      <c r="F478" s="304">
        <f t="shared" ca="1" si="213"/>
        <v>72.652646022947323</v>
      </c>
      <c r="G478" s="306">
        <f t="shared" ca="1" si="214"/>
        <v>144.84813577655316</v>
      </c>
      <c r="H478" s="307">
        <f t="shared" ca="1" si="215"/>
        <v>391.48023903458801</v>
      </c>
      <c r="I478" s="304">
        <f t="shared" ca="1" si="216"/>
        <v>417.41796797996244</v>
      </c>
      <c r="J478" s="306">
        <f t="shared" ca="1" si="217"/>
        <v>324.32903002508476</v>
      </c>
      <c r="K478" s="307">
        <f t="shared" ca="1" si="218"/>
        <v>926.64600328411325</v>
      </c>
      <c r="L478" s="304">
        <f t="shared" ca="1" si="203"/>
        <v>981.76480641721582</v>
      </c>
      <c r="M478" s="306">
        <f t="shared" ca="1" si="219"/>
        <v>1.2164154025943119</v>
      </c>
      <c r="N478" s="304">
        <f t="shared" ca="1" si="220"/>
        <v>69.695468703360959</v>
      </c>
      <c r="P478" s="310">
        <f t="shared" ca="1" si="221"/>
        <v>14</v>
      </c>
      <c r="Q478" s="304">
        <f t="shared" ca="1" si="222"/>
        <v>2253.6426296715781</v>
      </c>
      <c r="R478" s="306">
        <f t="shared" ca="1" si="223"/>
        <v>1.3552823909456571</v>
      </c>
      <c r="S478" s="307">
        <f t="shared" ca="1" si="224"/>
        <v>14.132565155335012</v>
      </c>
      <c r="T478" s="304">
        <f t="shared" ca="1" si="204"/>
        <v>138.64046417383648</v>
      </c>
      <c r="U478" s="311">
        <f t="shared" ca="1" si="205"/>
        <v>0</v>
      </c>
      <c r="V478" s="306">
        <f t="shared" ca="1" si="206"/>
        <v>1.1165123470961476</v>
      </c>
      <c r="W478" s="304">
        <f t="shared" ca="1" si="207"/>
        <v>1101.3682039258549</v>
      </c>
      <c r="Y478" s="314" t="str">
        <f t="shared" ca="1" si="225"/>
        <v/>
      </c>
      <c r="Z478" s="315" t="str">
        <f t="shared" ca="1" si="226"/>
        <v/>
      </c>
      <c r="AA478" s="316" t="str">
        <f t="shared" ca="1" si="227"/>
        <v/>
      </c>
      <c r="AC478" s="310" t="e">
        <f t="shared" ca="1" si="228"/>
        <v>#N/A</v>
      </c>
      <c r="AD478" s="323" t="e">
        <f t="shared" ca="1" si="229"/>
        <v>#N/A</v>
      </c>
      <c r="AE478" s="324">
        <f t="shared" ca="1" si="208"/>
        <v>926.64600328411325</v>
      </c>
      <c r="AG478" s="306">
        <f t="shared" ca="1" si="230"/>
        <v>72.572885654605258</v>
      </c>
      <c r="AH478" s="304">
        <f t="shared" ca="1" si="231"/>
        <v>81.77358443788934</v>
      </c>
    </row>
    <row r="479" spans="1:34" x14ac:dyDescent="0.2">
      <c r="A479" s="347">
        <f t="shared" ca="1" si="209"/>
        <v>0.01</v>
      </c>
      <c r="B479" s="304">
        <f t="shared" ca="1" si="210"/>
        <v>4.7499999999999432</v>
      </c>
      <c r="D479" s="306">
        <f t="shared" ca="1" si="211"/>
        <v>28.303048460457116</v>
      </c>
      <c r="E479" s="307">
        <f t="shared" ca="1" si="212"/>
        <v>66.684489330533964</v>
      </c>
      <c r="F479" s="304">
        <f t="shared" ca="1" si="213"/>
        <v>72.442278190495102</v>
      </c>
      <c r="G479" s="306">
        <f t="shared" ca="1" si="214"/>
        <v>145.13116626115774</v>
      </c>
      <c r="H479" s="307">
        <f t="shared" ca="1" si="215"/>
        <v>392.14708392789333</v>
      </c>
      <c r="I479" s="304">
        <f t="shared" ca="1" si="216"/>
        <v>418.14159187226761</v>
      </c>
      <c r="J479" s="306">
        <f t="shared" ca="1" si="217"/>
        <v>325.77892653527334</v>
      </c>
      <c r="K479" s="307">
        <f t="shared" ca="1" si="218"/>
        <v>930.56413989892565</v>
      </c>
      <c r="L479" s="304">
        <f t="shared" ca="1" si="203"/>
        <v>985.94194932577159</v>
      </c>
      <c r="M479" s="306">
        <f t="shared" ca="1" si="219"/>
        <v>1.2163339907843544</v>
      </c>
      <c r="N479" s="304">
        <f t="shared" ca="1" si="220"/>
        <v>69.690804150247885</v>
      </c>
      <c r="P479" s="310">
        <f t="shared" ca="1" si="221"/>
        <v>14</v>
      </c>
      <c r="Q479" s="304">
        <f t="shared" ca="1" si="222"/>
        <v>2252.9529127972855</v>
      </c>
      <c r="R479" s="306">
        <f t="shared" ca="1" si="223"/>
        <v>1.3548676130557824</v>
      </c>
      <c r="S479" s="307">
        <f t="shared" ca="1" si="224"/>
        <v>14.119016479204454</v>
      </c>
      <c r="T479" s="304">
        <f t="shared" ca="1" si="204"/>
        <v>138.50755166099569</v>
      </c>
      <c r="U479" s="311">
        <f t="shared" ca="1" si="205"/>
        <v>0</v>
      </c>
      <c r="V479" s="306">
        <f t="shared" ca="1" si="206"/>
        <v>1.1160740232554776</v>
      </c>
      <c r="W479" s="304">
        <f t="shared" ca="1" si="207"/>
        <v>1104.7562359664391</v>
      </c>
      <c r="Y479" s="314" t="str">
        <f t="shared" ca="1" si="225"/>
        <v/>
      </c>
      <c r="Z479" s="315" t="str">
        <f t="shared" ca="1" si="226"/>
        <v/>
      </c>
      <c r="AA479" s="316" t="str">
        <f t="shared" ca="1" si="227"/>
        <v/>
      </c>
      <c r="AC479" s="310" t="e">
        <f t="shared" ca="1" si="228"/>
        <v>#N/A</v>
      </c>
      <c r="AD479" s="323" t="e">
        <f t="shared" ca="1" si="229"/>
        <v>#N/A</v>
      </c>
      <c r="AE479" s="324">
        <f t="shared" ca="1" si="208"/>
        <v>930.56413989892565</v>
      </c>
      <c r="AG479" s="306">
        <f t="shared" ca="1" si="230"/>
        <v>72.362250660847181</v>
      </c>
      <c r="AH479" s="304">
        <f t="shared" ca="1" si="231"/>
        <v>81.562671916104847</v>
      </c>
    </row>
    <row r="480" spans="1:34" x14ac:dyDescent="0.2">
      <c r="A480" s="347">
        <f t="shared" ca="1" si="209"/>
        <v>0.01</v>
      </c>
      <c r="B480" s="304">
        <f t="shared" ca="1" si="210"/>
        <v>4.7599999999999429</v>
      </c>
      <c r="D480" s="306">
        <f t="shared" ca="1" si="211"/>
        <v>28.236120305570775</v>
      </c>
      <c r="E480" s="307">
        <f t="shared" ca="1" si="212"/>
        <v>66.48451705322789</v>
      </c>
      <c r="F480" s="304">
        <f t="shared" ca="1" si="213"/>
        <v>72.232053118484856</v>
      </c>
      <c r="G480" s="306">
        <f t="shared" ca="1" si="214"/>
        <v>145.41352746421344</v>
      </c>
      <c r="H480" s="307">
        <f t="shared" ca="1" si="215"/>
        <v>392.81192909842559</v>
      </c>
      <c r="I480" s="304">
        <f t="shared" ca="1" si="216"/>
        <v>418.86311082692885</v>
      </c>
      <c r="J480" s="306">
        <f t="shared" ca="1" si="217"/>
        <v>327.2316500039002</v>
      </c>
      <c r="K480" s="307">
        <f t="shared" ca="1" si="218"/>
        <v>934.48893496405719</v>
      </c>
      <c r="L480" s="304">
        <f t="shared" ca="1" si="203"/>
        <v>990.12631635288483</v>
      </c>
      <c r="M480" s="306">
        <f t="shared" ca="1" si="219"/>
        <v>1.2162527013295203</v>
      </c>
      <c r="N480" s="304">
        <f t="shared" ca="1" si="220"/>
        <v>69.686146607566968</v>
      </c>
      <c r="P480" s="310">
        <f t="shared" ca="1" si="221"/>
        <v>14</v>
      </c>
      <c r="Q480" s="304">
        <f t="shared" ca="1" si="222"/>
        <v>2252.2631959229934</v>
      </c>
      <c r="R480" s="306">
        <f t="shared" ca="1" si="223"/>
        <v>1.354452835165908</v>
      </c>
      <c r="S480" s="307">
        <f t="shared" ca="1" si="224"/>
        <v>14.105471950852795</v>
      </c>
      <c r="T480" s="304">
        <f t="shared" ca="1" si="204"/>
        <v>138.37467983786593</v>
      </c>
      <c r="U480" s="311">
        <f t="shared" ca="1" si="205"/>
        <v>0</v>
      </c>
      <c r="V480" s="306">
        <f t="shared" ca="1" si="206"/>
        <v>1.1156351190241813</v>
      </c>
      <c r="W480" s="304">
        <f t="shared" ca="1" si="207"/>
        <v>1108.1361677042012</v>
      </c>
      <c r="Y480" s="314" t="str">
        <f t="shared" ca="1" si="225"/>
        <v/>
      </c>
      <c r="Z480" s="315" t="str">
        <f t="shared" ca="1" si="226"/>
        <v/>
      </c>
      <c r="AA480" s="316" t="str">
        <f t="shared" ca="1" si="227"/>
        <v/>
      </c>
      <c r="AC480" s="310" t="e">
        <f t="shared" ca="1" si="228"/>
        <v>#N/A</v>
      </c>
      <c r="AD480" s="323" t="e">
        <f t="shared" ca="1" si="229"/>
        <v>#N/A</v>
      </c>
      <c r="AE480" s="324">
        <f t="shared" ca="1" si="208"/>
        <v>934.48893496405719</v>
      </c>
      <c r="AG480" s="306">
        <f t="shared" ca="1" si="230"/>
        <v>72.151757074267735</v>
      </c>
      <c r="AH480" s="304">
        <f t="shared" ca="1" si="231"/>
        <v>81.351901159689859</v>
      </c>
    </row>
    <row r="481" spans="1:34" x14ac:dyDescent="0.2">
      <c r="A481" s="347">
        <f t="shared" ca="1" si="209"/>
        <v>0.01</v>
      </c>
      <c r="B481" s="304">
        <f t="shared" ca="1" si="210"/>
        <v>4.7699999999999427</v>
      </c>
      <c r="D481" s="306">
        <f t="shared" ca="1" si="211"/>
        <v>28.169201073497391</v>
      </c>
      <c r="E481" s="307">
        <f t="shared" ca="1" si="212"/>
        <v>66.284696331227636</v>
      </c>
      <c r="F481" s="304">
        <f t="shared" ca="1" si="213"/>
        <v>72.021974819093856</v>
      </c>
      <c r="G481" s="306">
        <f t="shared" ca="1" si="214"/>
        <v>145.69521947494843</v>
      </c>
      <c r="H481" s="307">
        <f t="shared" ca="1" si="215"/>
        <v>393.47477606173788</v>
      </c>
      <c r="I481" s="304">
        <f t="shared" ca="1" si="216"/>
        <v>419.58252629809095</v>
      </c>
      <c r="J481" s="306">
        <f t="shared" ca="1" si="217"/>
        <v>328.68719373859602</v>
      </c>
      <c r="K481" s="307">
        <f t="shared" ca="1" si="218"/>
        <v>938.42036848985799</v>
      </c>
      <c r="L481" s="304">
        <f t="shared" ca="1" si="203"/>
        <v>994.31788645502809</v>
      </c>
      <c r="M481" s="306">
        <f t="shared" ca="1" si="219"/>
        <v>1.2161715334294552</v>
      </c>
      <c r="N481" s="304">
        <f t="shared" ca="1" si="220"/>
        <v>69.681496029461286</v>
      </c>
      <c r="P481" s="310">
        <f t="shared" ca="1" si="221"/>
        <v>14</v>
      </c>
      <c r="Q481" s="304">
        <f t="shared" ca="1" si="222"/>
        <v>2251.5734790487013</v>
      </c>
      <c r="R481" s="306">
        <f t="shared" ca="1" si="223"/>
        <v>1.3540380572760335</v>
      </c>
      <c r="S481" s="307">
        <f t="shared" ca="1" si="224"/>
        <v>14.091931570280035</v>
      </c>
      <c r="T481" s="304">
        <f t="shared" ca="1" si="204"/>
        <v>138.24184870444716</v>
      </c>
      <c r="U481" s="311">
        <f t="shared" ca="1" si="205"/>
        <v>0</v>
      </c>
      <c r="V481" s="306">
        <f t="shared" ca="1" si="206"/>
        <v>1.1151956373815048</v>
      </c>
      <c r="W481" s="304">
        <f t="shared" ca="1" si="207"/>
        <v>1111.5079516650296</v>
      </c>
      <c r="Y481" s="314" t="str">
        <f t="shared" ca="1" si="225"/>
        <v/>
      </c>
      <c r="Z481" s="315" t="str">
        <f t="shared" ca="1" si="226"/>
        <v/>
      </c>
      <c r="AA481" s="316" t="str">
        <f t="shared" ca="1" si="227"/>
        <v/>
      </c>
      <c r="AC481" s="310" t="e">
        <f t="shared" ca="1" si="228"/>
        <v>#N/A</v>
      </c>
      <c r="AD481" s="323" t="e">
        <f t="shared" ca="1" si="229"/>
        <v>#N/A</v>
      </c>
      <c r="AE481" s="324">
        <f t="shared" ca="1" si="208"/>
        <v>938.42036848985799</v>
      </c>
      <c r="AG481" s="306">
        <f t="shared" ca="1" si="230"/>
        <v>71.941408900937589</v>
      </c>
      <c r="AH481" s="304">
        <f t="shared" ca="1" si="231"/>
        <v>81.141276172247103</v>
      </c>
    </row>
    <row r="482" spans="1:34" x14ac:dyDescent="0.2">
      <c r="A482" s="347">
        <f t="shared" ca="1" si="209"/>
        <v>0.01</v>
      </c>
      <c r="B482" s="304">
        <f t="shared" ca="1" si="210"/>
        <v>4.7799999999999425</v>
      </c>
      <c r="D482" s="306">
        <f t="shared" ca="1" si="211"/>
        <v>28.102292314695184</v>
      </c>
      <c r="E482" s="307">
        <f t="shared" ca="1" si="212"/>
        <v>66.08503084037342</v>
      </c>
      <c r="F482" s="304">
        <f t="shared" ca="1" si="213"/>
        <v>71.812047279782249</v>
      </c>
      <c r="G482" s="306">
        <f t="shared" ca="1" si="214"/>
        <v>145.97624239809539</v>
      </c>
      <c r="H482" s="307">
        <f t="shared" ca="1" si="215"/>
        <v>394.13562637014161</v>
      </c>
      <c r="I482" s="304">
        <f t="shared" ca="1" si="216"/>
        <v>420.29983977971176</v>
      </c>
      <c r="J482" s="306">
        <f t="shared" ca="1" si="217"/>
        <v>330.14555104796125</v>
      </c>
      <c r="K482" s="307">
        <f t="shared" ca="1" si="218"/>
        <v>942.35842050201734</v>
      </c>
      <c r="L482" s="304">
        <f t="shared" ca="1" si="203"/>
        <v>998.51663860339295</v>
      </c>
      <c r="M482" s="306">
        <f t="shared" ca="1" si="219"/>
        <v>1.2160904862898505</v>
      </c>
      <c r="N482" s="304">
        <f t="shared" ca="1" si="220"/>
        <v>69.676852370420335</v>
      </c>
      <c r="P482" s="310">
        <f t="shared" ca="1" si="221"/>
        <v>14</v>
      </c>
      <c r="Q482" s="304">
        <f t="shared" ca="1" si="222"/>
        <v>2250.8837621744092</v>
      </c>
      <c r="R482" s="306">
        <f t="shared" ca="1" si="223"/>
        <v>1.3536232793861591</v>
      </c>
      <c r="S482" s="307">
        <f t="shared" ca="1" si="224"/>
        <v>14.078395337486175</v>
      </c>
      <c r="T482" s="304">
        <f t="shared" ca="1" si="204"/>
        <v>138.10905826073937</v>
      </c>
      <c r="U482" s="311">
        <f t="shared" ca="1" si="205"/>
        <v>0</v>
      </c>
      <c r="V482" s="306">
        <f t="shared" ca="1" si="206"/>
        <v>1.1147555813021659</v>
      </c>
      <c r="W482" s="304">
        <f t="shared" ca="1" si="207"/>
        <v>1114.8715409353549</v>
      </c>
      <c r="Y482" s="314" t="str">
        <f t="shared" ca="1" si="225"/>
        <v/>
      </c>
      <c r="Z482" s="315" t="str">
        <f t="shared" ca="1" si="226"/>
        <v/>
      </c>
      <c r="AA482" s="316" t="str">
        <f t="shared" ca="1" si="227"/>
        <v/>
      </c>
      <c r="AC482" s="310" t="e">
        <f t="shared" ca="1" si="228"/>
        <v>#N/A</v>
      </c>
      <c r="AD482" s="323" t="e">
        <f t="shared" ca="1" si="229"/>
        <v>#N/A</v>
      </c>
      <c r="AE482" s="324">
        <f t="shared" ca="1" si="208"/>
        <v>942.35842050201734</v>
      </c>
      <c r="AG482" s="306">
        <f t="shared" ca="1" si="230"/>
        <v>71.731210122189935</v>
      </c>
      <c r="AH482" s="304">
        <f t="shared" ca="1" si="231"/>
        <v>80.930800932659807</v>
      </c>
    </row>
    <row r="483" spans="1:34" x14ac:dyDescent="0.2">
      <c r="A483" s="347">
        <f t="shared" ca="1" si="209"/>
        <v>0.01</v>
      </c>
      <c r="B483" s="304">
        <f t="shared" ca="1" si="210"/>
        <v>4.7899999999999423</v>
      </c>
      <c r="D483" s="306">
        <f t="shared" ca="1" si="211"/>
        <v>28.035395571010888</v>
      </c>
      <c r="E483" s="307">
        <f t="shared" ca="1" si="212"/>
        <v>65.885524233190168</v>
      </c>
      <c r="F483" s="304">
        <f t="shared" ca="1" si="213"/>
        <v>71.602274463213419</v>
      </c>
      <c r="G483" s="306">
        <f t="shared" ca="1" si="214"/>
        <v>146.25659635380549</v>
      </c>
      <c r="H483" s="307">
        <f t="shared" ca="1" si="215"/>
        <v>394.79448161247353</v>
      </c>
      <c r="I483" s="304">
        <f t="shared" ca="1" si="216"/>
        <v>421.01505280531444</v>
      </c>
      <c r="J483" s="306">
        <f t="shared" ca="1" si="217"/>
        <v>331.60671524172074</v>
      </c>
      <c r="K483" s="307">
        <f t="shared" ca="1" si="218"/>
        <v>946.30307104193037</v>
      </c>
      <c r="L483" s="304">
        <f t="shared" ca="1" si="203"/>
        <v>1002.7225517842871</v>
      </c>
      <c r="M483" s="306">
        <f t="shared" ca="1" si="219"/>
        <v>1.2160095591223856</v>
      </c>
      <c r="N483" s="304">
        <f t="shared" ca="1" si="220"/>
        <v>69.672215585276646</v>
      </c>
      <c r="P483" s="310">
        <f t="shared" ca="1" si="221"/>
        <v>14</v>
      </c>
      <c r="Q483" s="304">
        <f t="shared" ca="1" si="222"/>
        <v>2250.1940453001171</v>
      </c>
      <c r="R483" s="306">
        <f t="shared" ca="1" si="223"/>
        <v>1.3532085014962849</v>
      </c>
      <c r="S483" s="307">
        <f t="shared" ca="1" si="224"/>
        <v>14.064863252471211</v>
      </c>
      <c r="T483" s="304">
        <f t="shared" ca="1" si="204"/>
        <v>137.97630850674258</v>
      </c>
      <c r="U483" s="311">
        <f t="shared" ca="1" si="205"/>
        <v>0</v>
      </c>
      <c r="V483" s="306">
        <f t="shared" ca="1" si="206"/>
        <v>1.1143149537563048</v>
      </c>
      <c r="W483" s="304">
        <f t="shared" ca="1" si="207"/>
        <v>1118.226889161399</v>
      </c>
      <c r="Y483" s="314" t="str">
        <f t="shared" ca="1" si="225"/>
        <v/>
      </c>
      <c r="Z483" s="315" t="str">
        <f t="shared" ca="1" si="226"/>
        <v/>
      </c>
      <c r="AA483" s="316" t="str">
        <f t="shared" ca="1" si="227"/>
        <v/>
      </c>
      <c r="AC483" s="310" t="e">
        <f t="shared" ca="1" si="228"/>
        <v>#N/A</v>
      </c>
      <c r="AD483" s="323" t="e">
        <f t="shared" ca="1" si="229"/>
        <v>#N/A</v>
      </c>
      <c r="AE483" s="324">
        <f t="shared" ca="1" si="208"/>
        <v>946.30307104193037</v>
      </c>
      <c r="AG483" s="306">
        <f t="shared" ca="1" si="230"/>
        <v>71.521164694540929</v>
      </c>
      <c r="AH483" s="304">
        <f t="shared" ca="1" si="231"/>
        <v>80.720479395011878</v>
      </c>
    </row>
    <row r="484" spans="1:34" x14ac:dyDescent="0.2">
      <c r="A484" s="347">
        <f t="shared" ca="1" si="209"/>
        <v>0.01</v>
      </c>
      <c r="B484" s="304">
        <f t="shared" ca="1" si="210"/>
        <v>4.7999999999999421</v>
      </c>
      <c r="D484" s="306">
        <f t="shared" ca="1" si="211"/>
        <v>27.968512375650448</v>
      </c>
      <c r="E484" s="307">
        <f t="shared" ca="1" si="212"/>
        <v>65.6861801388158</v>
      </c>
      <c r="F484" s="304">
        <f t="shared" ca="1" si="213"/>
        <v>71.392660307176328</v>
      </c>
      <c r="G484" s="306">
        <f t="shared" ca="1" si="214"/>
        <v>146.536281477562</v>
      </c>
      <c r="H484" s="307">
        <f t="shared" ca="1" si="215"/>
        <v>395.45134341386171</v>
      </c>
      <c r="I484" s="304">
        <f t="shared" ca="1" si="216"/>
        <v>421.72816694773809</v>
      </c>
      <c r="J484" s="306">
        <f t="shared" ca="1" si="217"/>
        <v>333.07067963087758</v>
      </c>
      <c r="K484" s="307">
        <f t="shared" ca="1" si="218"/>
        <v>950.25430016706207</v>
      </c>
      <c r="L484" s="304">
        <f t="shared" ca="1" si="203"/>
        <v>1006.935604999529</v>
      </c>
      <c r="M484" s="306">
        <f t="shared" ca="1" si="219"/>
        <v>1.2159287511446699</v>
      </c>
      <c r="N484" s="304">
        <f t="shared" ca="1" si="220"/>
        <v>69.667585629202549</v>
      </c>
      <c r="P484" s="310">
        <f t="shared" ca="1" si="221"/>
        <v>14</v>
      </c>
      <c r="Q484" s="304">
        <f t="shared" ca="1" si="222"/>
        <v>2249.504328425825</v>
      </c>
      <c r="R484" s="306">
        <f t="shared" ca="1" si="223"/>
        <v>1.3527937236064105</v>
      </c>
      <c r="S484" s="307">
        <f t="shared" ca="1" si="224"/>
        <v>14.051335315235146</v>
      </c>
      <c r="T484" s="304">
        <f t="shared" ca="1" si="204"/>
        <v>137.84359944245679</v>
      </c>
      <c r="U484" s="311">
        <f t="shared" ca="1" si="205"/>
        <v>0</v>
      </c>
      <c r="V484" s="306">
        <f t="shared" ca="1" si="206"/>
        <v>1.1138737577094355</v>
      </c>
      <c r="W484" s="304">
        <f t="shared" ca="1" si="207"/>
        <v>1121.5739505483805</v>
      </c>
      <c r="Y484" s="314" t="str">
        <f t="shared" ca="1" si="225"/>
        <v/>
      </c>
      <c r="Z484" s="315" t="str">
        <f t="shared" ca="1" si="226"/>
        <v/>
      </c>
      <c r="AA484" s="316" t="str">
        <f t="shared" ca="1" si="227"/>
        <v/>
      </c>
      <c r="AC484" s="310" t="e">
        <f t="shared" ca="1" si="228"/>
        <v>#N/A</v>
      </c>
      <c r="AD484" s="323" t="e">
        <f t="shared" ca="1" si="229"/>
        <v>#N/A</v>
      </c>
      <c r="AE484" s="324">
        <f t="shared" ca="1" si="208"/>
        <v>950.25430016706207</v>
      </c>
      <c r="AG484" s="306">
        <f t="shared" ca="1" si="230"/>
        <v>71.311276549611961</v>
      </c>
      <c r="AH484" s="304">
        <f t="shared" ca="1" si="231"/>
        <v>80.510315488510159</v>
      </c>
    </row>
    <row r="485" spans="1:34" x14ac:dyDescent="0.2">
      <c r="A485" s="347">
        <f t="shared" ca="1" si="209"/>
        <v>0.01</v>
      </c>
      <c r="B485" s="304">
        <f t="shared" ca="1" si="210"/>
        <v>4.8099999999999419</v>
      </c>
      <c r="D485" s="306">
        <f t="shared" ca="1" si="211"/>
        <v>27.901644253150582</v>
      </c>
      <c r="E485" s="307">
        <f t="shared" ca="1" si="212"/>
        <v>65.48700216293237</v>
      </c>
      <c r="F485" s="304">
        <f t="shared" ca="1" si="213"/>
        <v>71.183208724510862</v>
      </c>
      <c r="G485" s="306">
        <f t="shared" ca="1" si="214"/>
        <v>146.81529792009351</v>
      </c>
      <c r="H485" s="307">
        <f t="shared" ca="1" si="215"/>
        <v>396.10621343549104</v>
      </c>
      <c r="I485" s="304">
        <f t="shared" ca="1" si="216"/>
        <v>422.43918381888841</v>
      </c>
      <c r="J485" s="306">
        <f t="shared" ca="1" si="217"/>
        <v>334.53743752786585</v>
      </c>
      <c r="K485" s="307">
        <f t="shared" ca="1" si="218"/>
        <v>954.21208795130883</v>
      </c>
      <c r="L485" s="304">
        <f t="shared" ca="1" si="203"/>
        <v>1011.1557772668399</v>
      </c>
      <c r="M485" s="306">
        <f t="shared" ca="1" si="219"/>
        <v>1.2158480615801872</v>
      </c>
      <c r="N485" s="304">
        <f t="shared" ca="1" si="220"/>
        <v>69.662962457706939</v>
      </c>
      <c r="P485" s="310">
        <f t="shared" ca="1" si="221"/>
        <v>14</v>
      </c>
      <c r="Q485" s="304">
        <f t="shared" ca="1" si="222"/>
        <v>2248.8146115515328</v>
      </c>
      <c r="R485" s="306">
        <f t="shared" ca="1" si="223"/>
        <v>1.3523789457165361</v>
      </c>
      <c r="S485" s="307">
        <f t="shared" ca="1" si="224"/>
        <v>14.037811525777981</v>
      </c>
      <c r="T485" s="304">
        <f t="shared" ca="1" si="204"/>
        <v>137.710931067882</v>
      </c>
      <c r="U485" s="311">
        <f t="shared" ca="1" si="205"/>
        <v>0</v>
      </c>
      <c r="V485" s="306">
        <f t="shared" ca="1" si="206"/>
        <v>1.1134319961223951</v>
      </c>
      <c r="W485" s="304">
        <f t="shared" ca="1" si="207"/>
        <v>1124.9126798596833</v>
      </c>
      <c r="Y485" s="314" t="str">
        <f t="shared" ca="1" si="225"/>
        <v/>
      </c>
      <c r="Z485" s="315" t="str">
        <f t="shared" ca="1" si="226"/>
        <v/>
      </c>
      <c r="AA485" s="316" t="str">
        <f t="shared" ca="1" si="227"/>
        <v/>
      </c>
      <c r="AC485" s="310" t="e">
        <f t="shared" ca="1" si="228"/>
        <v>#N/A</v>
      </c>
      <c r="AD485" s="323" t="e">
        <f t="shared" ca="1" si="229"/>
        <v>#N/A</v>
      </c>
      <c r="AE485" s="324">
        <f t="shared" ca="1" si="208"/>
        <v>954.21208795130883</v>
      </c>
      <c r="AG485" s="306">
        <f t="shared" ca="1" si="230"/>
        <v>71.101549594055086</v>
      </c>
      <c r="AH485" s="304">
        <f t="shared" ca="1" si="231"/>
        <v>80.30031311740953</v>
      </c>
    </row>
    <row r="486" spans="1:34" x14ac:dyDescent="0.2">
      <c r="A486" s="347">
        <f t="shared" ca="1" si="209"/>
        <v>0.01</v>
      </c>
      <c r="B486" s="304">
        <f t="shared" ca="1" si="210"/>
        <v>4.8199999999999417</v>
      </c>
      <c r="D486" s="306">
        <f t="shared" ca="1" si="211"/>
        <v>27.834792719351075</v>
      </c>
      <c r="E486" s="307">
        <f t="shared" ca="1" si="212"/>
        <v>65.287993887699258</v>
      </c>
      <c r="F486" s="304">
        <f t="shared" ca="1" si="213"/>
        <v>70.973923603035331</v>
      </c>
      <c r="G486" s="306">
        <f t="shared" ca="1" si="214"/>
        <v>147.09364584728704</v>
      </c>
      <c r="H486" s="307">
        <f t="shared" ca="1" si="215"/>
        <v>396.75909337436804</v>
      </c>
      <c r="I486" s="304">
        <f t="shared" ca="1" si="216"/>
        <v>423.14810506948697</v>
      </c>
      <c r="J486" s="306">
        <f t="shared" ca="1" si="217"/>
        <v>336.00698224670276</v>
      </c>
      <c r="K486" s="307">
        <f t="shared" ca="1" si="218"/>
        <v>958.17641448535812</v>
      </c>
      <c r="L486" s="304">
        <f t="shared" ca="1" si="203"/>
        <v>1015.3830476202332</v>
      </c>
      <c r="M486" s="306">
        <f t="shared" ca="1" si="219"/>
        <v>1.2157674896582398</v>
      </c>
      <c r="N486" s="304">
        <f t="shared" ca="1" si="220"/>
        <v>69.658346026632103</v>
      </c>
      <c r="P486" s="310">
        <f t="shared" ca="1" si="221"/>
        <v>14</v>
      </c>
      <c r="Q486" s="304">
        <f t="shared" ca="1" si="222"/>
        <v>2248.1248946772407</v>
      </c>
      <c r="R486" s="306">
        <f t="shared" ca="1" si="223"/>
        <v>1.3519641678266616</v>
      </c>
      <c r="S486" s="307">
        <f t="shared" ca="1" si="224"/>
        <v>14.024291884099714</v>
      </c>
      <c r="T486" s="304">
        <f t="shared" ca="1" si="204"/>
        <v>137.57830338301821</v>
      </c>
      <c r="U486" s="311">
        <f t="shared" ca="1" si="205"/>
        <v>0</v>
      </c>
      <c r="V486" s="306">
        <f t="shared" ca="1" si="206"/>
        <v>1.1129896719512955</v>
      </c>
      <c r="W486" s="304">
        <f t="shared" ca="1" si="207"/>
        <v>1128.2430324159836</v>
      </c>
      <c r="Y486" s="314" t="str">
        <f t="shared" ca="1" si="225"/>
        <v/>
      </c>
      <c r="Z486" s="315" t="str">
        <f t="shared" ca="1" si="226"/>
        <v/>
      </c>
      <c r="AA486" s="316" t="str">
        <f t="shared" ca="1" si="227"/>
        <v/>
      </c>
      <c r="AC486" s="310" t="e">
        <f t="shared" ca="1" si="228"/>
        <v>#N/A</v>
      </c>
      <c r="AD486" s="323" t="e">
        <f t="shared" ca="1" si="229"/>
        <v>#N/A</v>
      </c>
      <c r="AE486" s="324">
        <f t="shared" ca="1" si="208"/>
        <v>958.17641448535812</v>
      </c>
      <c r="AG486" s="306">
        <f t="shared" ca="1" si="230"/>
        <v>70.891987709480503</v>
      </c>
      <c r="AH486" s="304">
        <f t="shared" ca="1" si="231"/>
        <v>80.090476160940355</v>
      </c>
    </row>
    <row r="487" spans="1:34" x14ac:dyDescent="0.2">
      <c r="A487" s="347">
        <f t="shared" ca="1" si="209"/>
        <v>0.01</v>
      </c>
      <c r="B487" s="304">
        <f t="shared" ca="1" si="210"/>
        <v>4.8299999999999415</v>
      </c>
      <c r="D487" s="306">
        <f t="shared" ca="1" si="211"/>
        <v>27.767959281367879</v>
      </c>
      <c r="E487" s="307">
        <f t="shared" ca="1" si="212"/>
        <v>65.08915887168888</v>
      </c>
      <c r="F487" s="304">
        <f t="shared" ca="1" si="213"/>
        <v>70.764808805476605</v>
      </c>
      <c r="G487" s="306">
        <f t="shared" ca="1" si="214"/>
        <v>147.37132544010072</v>
      </c>
      <c r="H487" s="307">
        <f t="shared" ca="1" si="215"/>
        <v>397.40998496308492</v>
      </c>
      <c r="I487" s="304">
        <f t="shared" ca="1" si="216"/>
        <v>423.85493238882032</v>
      </c>
      <c r="J487" s="306">
        <f t="shared" ca="1" si="217"/>
        <v>337.47930710313972</v>
      </c>
      <c r="K487" s="307">
        <f t="shared" ca="1" si="218"/>
        <v>962.14725987704537</v>
      </c>
      <c r="L487" s="304">
        <f t="shared" ca="1" si="203"/>
        <v>1019.6173951104022</v>
      </c>
      <c r="M487" s="306">
        <f t="shared" ca="1" si="219"/>
        <v>1.2156870346138926</v>
      </c>
      <c r="N487" s="304">
        <f t="shared" ca="1" si="220"/>
        <v>69.653736292150469</v>
      </c>
      <c r="P487" s="310">
        <f t="shared" ca="1" si="221"/>
        <v>14</v>
      </c>
      <c r="Q487" s="304">
        <f t="shared" ca="1" si="222"/>
        <v>2247.4351778029481</v>
      </c>
      <c r="R487" s="306">
        <f t="shared" ca="1" si="223"/>
        <v>1.351549389936787</v>
      </c>
      <c r="S487" s="307">
        <f t="shared" ca="1" si="224"/>
        <v>14.010776390200347</v>
      </c>
      <c r="T487" s="304">
        <f t="shared" ca="1" si="204"/>
        <v>137.44571638786542</v>
      </c>
      <c r="U487" s="311">
        <f t="shared" ca="1" si="205"/>
        <v>0</v>
      </c>
      <c r="V487" s="306">
        <f t="shared" ca="1" si="206"/>
        <v>1.112546788147476</v>
      </c>
      <c r="W487" s="304">
        <f t="shared" ca="1" si="207"/>
        <v>1131.5649640943436</v>
      </c>
      <c r="Y487" s="314" t="str">
        <f t="shared" ca="1" si="225"/>
        <v/>
      </c>
      <c r="Z487" s="315" t="str">
        <f t="shared" ca="1" si="226"/>
        <v/>
      </c>
      <c r="AA487" s="316" t="str">
        <f t="shared" ca="1" si="227"/>
        <v/>
      </c>
      <c r="AC487" s="310" t="e">
        <f t="shared" ca="1" si="228"/>
        <v>#N/A</v>
      </c>
      <c r="AD487" s="323" t="e">
        <f t="shared" ca="1" si="229"/>
        <v>#N/A</v>
      </c>
      <c r="AE487" s="324">
        <f t="shared" ca="1" si="208"/>
        <v>962.14725987704537</v>
      </c>
      <c r="AG487" s="306">
        <f t="shared" ca="1" si="230"/>
        <v>70.682594752386706</v>
      </c>
      <c r="AH487" s="304">
        <f t="shared" ca="1" si="231"/>
        <v>79.880808473238403</v>
      </c>
    </row>
    <row r="488" spans="1:34" x14ac:dyDescent="0.2">
      <c r="A488" s="347">
        <f t="shared" ca="1" si="209"/>
        <v>0.01</v>
      </c>
      <c r="B488" s="304">
        <f t="shared" ca="1" si="210"/>
        <v>4.8399999999999412</v>
      </c>
      <c r="D488" s="306">
        <f t="shared" ca="1" si="211"/>
        <v>27.70114543756706</v>
      </c>
      <c r="E488" s="307">
        <f t="shared" ca="1" si="212"/>
        <v>64.890500649824574</v>
      </c>
      <c r="F488" s="304">
        <f t="shared" ca="1" si="213"/>
        <v>70.555868169402657</v>
      </c>
      <c r="G488" s="306">
        <f t="shared" ca="1" si="214"/>
        <v>147.64833689447639</v>
      </c>
      <c r="H488" s="307">
        <f t="shared" ca="1" si="215"/>
        <v>398.05888996958316</v>
      </c>
      <c r="I488" s="304">
        <f t="shared" ca="1" si="216"/>
        <v>424.55966750448817</v>
      </c>
      <c r="J488" s="306">
        <f t="shared" ca="1" si="217"/>
        <v>338.95440541481258</v>
      </c>
      <c r="K488" s="307">
        <f t="shared" ca="1" si="218"/>
        <v>966.12460425170866</v>
      </c>
      <c r="L488" s="304">
        <f t="shared" ca="1" si="203"/>
        <v>1023.8587988051037</v>
      </c>
      <c r="M488" s="306">
        <f t="shared" ca="1" si="219"/>
        <v>1.2156066956879201</v>
      </c>
      <c r="N488" s="304">
        <f t="shared" ca="1" si="220"/>
        <v>69.649133210761633</v>
      </c>
      <c r="P488" s="310">
        <f t="shared" ca="1" si="221"/>
        <v>14</v>
      </c>
      <c r="Q488" s="304">
        <f t="shared" ca="1" si="222"/>
        <v>2246.745460928656</v>
      </c>
      <c r="R488" s="306">
        <f t="shared" ca="1" si="223"/>
        <v>1.3511346120469125</v>
      </c>
      <c r="S488" s="307">
        <f t="shared" ca="1" si="224"/>
        <v>13.997265044079878</v>
      </c>
      <c r="T488" s="304">
        <f t="shared" ca="1" si="204"/>
        <v>137.3131700824236</v>
      </c>
      <c r="U488" s="311">
        <f t="shared" ca="1" si="205"/>
        <v>0</v>
      </c>
      <c r="V488" s="306">
        <f t="shared" ca="1" si="206"/>
        <v>1.1121033476574549</v>
      </c>
      <c r="W488" s="304">
        <f t="shared" ca="1" si="207"/>
        <v>1134.8784313272627</v>
      </c>
      <c r="Y488" s="314" t="str">
        <f t="shared" ca="1" si="225"/>
        <v/>
      </c>
      <c r="Z488" s="315" t="str">
        <f t="shared" ca="1" si="226"/>
        <v/>
      </c>
      <c r="AA488" s="316" t="str">
        <f t="shared" ca="1" si="227"/>
        <v/>
      </c>
      <c r="AC488" s="310" t="e">
        <f t="shared" ca="1" si="228"/>
        <v>#N/A</v>
      </c>
      <c r="AD488" s="323" t="e">
        <f t="shared" ca="1" si="229"/>
        <v>#N/A</v>
      </c>
      <c r="AE488" s="324">
        <f t="shared" ca="1" si="208"/>
        <v>966.12460425170866</v>
      </c>
      <c r="AG488" s="306">
        <f t="shared" ca="1" si="230"/>
        <v>70.473374554092985</v>
      </c>
      <c r="AH488" s="304">
        <f t="shared" ca="1" si="231"/>
        <v>79.671313883277236</v>
      </c>
    </row>
    <row r="489" spans="1:34" x14ac:dyDescent="0.2">
      <c r="A489" s="347">
        <f t="shared" ca="1" si="209"/>
        <v>0.01</v>
      </c>
      <c r="B489" s="304">
        <f t="shared" ca="1" si="210"/>
        <v>4.849999999999941</v>
      </c>
      <c r="D489" s="306">
        <f t="shared" ca="1" si="211"/>
        <v>27.634352677539301</v>
      </c>
      <c r="E489" s="307">
        <f t="shared" ca="1" si="212"/>
        <v>64.69202273332067</v>
      </c>
      <c r="F489" s="304">
        <f t="shared" ca="1" si="213"/>
        <v>70.347105507157153</v>
      </c>
      <c r="G489" s="306">
        <f t="shared" ca="1" si="214"/>
        <v>147.92468042125179</v>
      </c>
      <c r="H489" s="307">
        <f t="shared" ca="1" si="215"/>
        <v>398.70581019691639</v>
      </c>
      <c r="I489" s="304">
        <f t="shared" ca="1" si="216"/>
        <v>425.26231218215071</v>
      </c>
      <c r="J489" s="306">
        <f t="shared" ca="1" si="217"/>
        <v>340.4322705013912</v>
      </c>
      <c r="K489" s="307">
        <f t="shared" ca="1" si="218"/>
        <v>970.10842775254116</v>
      </c>
      <c r="L489" s="304">
        <f t="shared" ca="1" si="203"/>
        <v>1028.1072377895409</v>
      </c>
      <c r="M489" s="306">
        <f t="shared" ca="1" si="219"/>
        <v>1.2155264721267518</v>
      </c>
      <c r="N489" s="304">
        <f t="shared" ca="1" si="220"/>
        <v>69.64453673928918</v>
      </c>
      <c r="P489" s="310">
        <f t="shared" ca="1" si="221"/>
        <v>14</v>
      </c>
      <c r="Q489" s="304">
        <f t="shared" ca="1" si="222"/>
        <v>2246.0557440543639</v>
      </c>
      <c r="R489" s="306">
        <f t="shared" ca="1" si="223"/>
        <v>1.3507198341570381</v>
      </c>
      <c r="S489" s="307">
        <f t="shared" ca="1" si="224"/>
        <v>13.983757845738308</v>
      </c>
      <c r="T489" s="304">
        <f t="shared" ca="1" si="204"/>
        <v>137.1806644666928</v>
      </c>
      <c r="U489" s="311">
        <f t="shared" ca="1" si="205"/>
        <v>0</v>
      </c>
      <c r="V489" s="306">
        <f t="shared" ca="1" si="206"/>
        <v>1.1116593534228829</v>
      </c>
      <c r="W489" s="304">
        <f t="shared" ca="1" si="207"/>
        <v>1138.1833911016934</v>
      </c>
      <c r="Y489" s="314" t="str">
        <f t="shared" ca="1" si="225"/>
        <v/>
      </c>
      <c r="Z489" s="315" t="str">
        <f t="shared" ca="1" si="226"/>
        <v/>
      </c>
      <c r="AA489" s="316" t="str">
        <f t="shared" ca="1" si="227"/>
        <v/>
      </c>
      <c r="AC489" s="310" t="e">
        <f t="shared" ca="1" si="228"/>
        <v>#N/A</v>
      </c>
      <c r="AD489" s="323" t="e">
        <f t="shared" ca="1" si="229"/>
        <v>#N/A</v>
      </c>
      <c r="AE489" s="324">
        <f t="shared" ca="1" si="208"/>
        <v>970.10842775254116</v>
      </c>
      <c r="AG489" s="306">
        <f t="shared" ca="1" si="230"/>
        <v>70.264330920674198</v>
      </c>
      <c r="AH489" s="304">
        <f t="shared" ca="1" si="231"/>
        <v>79.461996194802794</v>
      </c>
    </row>
    <row r="490" spans="1:34" x14ac:dyDescent="0.2">
      <c r="A490" s="347">
        <f t="shared" ca="1" si="209"/>
        <v>0.01</v>
      </c>
      <c r="B490" s="304">
        <f t="shared" ca="1" si="210"/>
        <v>4.8599999999999408</v>
      </c>
      <c r="D490" s="306">
        <f t="shared" ca="1" si="211"/>
        <v>27.567582482075473</v>
      </c>
      <c r="E490" s="307">
        <f t="shared" ca="1" si="212"/>
        <v>64.493728609625137</v>
      </c>
      <c r="F490" s="304">
        <f t="shared" ca="1" si="213"/>
        <v>70.138524605797173</v>
      </c>
      <c r="G490" s="306">
        <f t="shared" ca="1" si="214"/>
        <v>148.20035624607254</v>
      </c>
      <c r="H490" s="307">
        <f t="shared" ca="1" si="215"/>
        <v>399.35074748301264</v>
      </c>
      <c r="I490" s="304">
        <f t="shared" ca="1" si="216"/>
        <v>425.96286822527583</v>
      </c>
      <c r="J490" s="306">
        <f t="shared" ca="1" si="217"/>
        <v>341.9128956847278</v>
      </c>
      <c r="K490" s="307">
        <f t="shared" ca="1" si="218"/>
        <v>974.09871054094083</v>
      </c>
      <c r="L490" s="304">
        <f t="shared" ca="1" si="203"/>
        <v>1032.3626911667425</v>
      </c>
      <c r="M490" s="306">
        <f t="shared" ca="1" si="219"/>
        <v>1.2154463631824184</v>
      </c>
      <c r="N490" s="304">
        <f t="shared" ca="1" si="220"/>
        <v>69.63994683487762</v>
      </c>
      <c r="P490" s="310">
        <f t="shared" ca="1" si="221"/>
        <v>14</v>
      </c>
      <c r="Q490" s="304">
        <f t="shared" ca="1" si="222"/>
        <v>2245.3660271800718</v>
      </c>
      <c r="R490" s="306">
        <f t="shared" ca="1" si="223"/>
        <v>1.3503050562671637</v>
      </c>
      <c r="S490" s="307">
        <f t="shared" ca="1" si="224"/>
        <v>13.970254795175636</v>
      </c>
      <c r="T490" s="304">
        <f t="shared" ca="1" si="204"/>
        <v>137.04819954067301</v>
      </c>
      <c r="U490" s="311">
        <f t="shared" ca="1" si="205"/>
        <v>0</v>
      </c>
      <c r="V490" s="306">
        <f t="shared" ca="1" si="206"/>
        <v>1.1112148083804956</v>
      </c>
      <c r="W490" s="304">
        <f t="shared" ca="1" si="207"/>
        <v>1141.4798009580193</v>
      </c>
      <c r="Y490" s="314" t="str">
        <f t="shared" ca="1" si="225"/>
        <v/>
      </c>
      <c r="Z490" s="315" t="str">
        <f t="shared" ca="1" si="226"/>
        <v/>
      </c>
      <c r="AA490" s="316" t="str">
        <f t="shared" ca="1" si="227"/>
        <v/>
      </c>
      <c r="AC490" s="310" t="e">
        <f t="shared" ca="1" si="228"/>
        <v>#N/A</v>
      </c>
      <c r="AD490" s="323" t="e">
        <f t="shared" ca="1" si="229"/>
        <v>#N/A</v>
      </c>
      <c r="AE490" s="324">
        <f t="shared" ca="1" si="208"/>
        <v>974.09871054094083</v>
      </c>
      <c r="AG490" s="306">
        <f t="shared" ca="1" si="230"/>
        <v>70.055467632898299</v>
      </c>
      <c r="AH490" s="304">
        <f t="shared" ca="1" si="231"/>
        <v>79.252859186270754</v>
      </c>
    </row>
    <row r="491" spans="1:34" x14ac:dyDescent="0.2">
      <c r="A491" s="347">
        <f t="shared" ca="1" si="209"/>
        <v>0.01</v>
      </c>
      <c r="B491" s="304">
        <f t="shared" ca="1" si="210"/>
        <v>4.8699999999999406</v>
      </c>
      <c r="D491" s="306">
        <f t="shared" ca="1" si="211"/>
        <v>27.500836323142853</v>
      </c>
      <c r="E491" s="307">
        <f t="shared" ca="1" si="212"/>
        <v>64.295621742364276</v>
      </c>
      <c r="F491" s="304">
        <f t="shared" ca="1" si="213"/>
        <v>69.930129227032594</v>
      </c>
      <c r="G491" s="306">
        <f t="shared" ca="1" si="214"/>
        <v>148.47536460930397</v>
      </c>
      <c r="H491" s="307">
        <f t="shared" ca="1" si="215"/>
        <v>399.9937037004363</v>
      </c>
      <c r="I491" s="304">
        <f t="shared" ca="1" si="216"/>
        <v>426.66133747488556</v>
      </c>
      <c r="J491" s="306">
        <f t="shared" ca="1" si="217"/>
        <v>343.39627428900468</v>
      </c>
      <c r="K491" s="307">
        <f t="shared" ca="1" si="218"/>
        <v>978.09543279685806</v>
      </c>
      <c r="L491" s="304">
        <f t="shared" ca="1" si="203"/>
        <v>1036.6251380579397</v>
      </c>
      <c r="M491" s="306">
        <f t="shared" ca="1" si="219"/>
        <v>1.2153663681125009</v>
      </c>
      <c r="N491" s="304">
        <f t="shared" ca="1" si="220"/>
        <v>69.635363454989502</v>
      </c>
      <c r="P491" s="310">
        <f t="shared" ca="1" si="221"/>
        <v>14</v>
      </c>
      <c r="Q491" s="304">
        <f t="shared" ca="1" si="222"/>
        <v>2244.6763103057797</v>
      </c>
      <c r="R491" s="306">
        <f t="shared" ca="1" si="223"/>
        <v>1.3498902783772893</v>
      </c>
      <c r="S491" s="307">
        <f t="shared" ca="1" si="224"/>
        <v>13.956755892391863</v>
      </c>
      <c r="T491" s="304">
        <f t="shared" ca="1" si="204"/>
        <v>136.91577530436419</v>
      </c>
      <c r="U491" s="311">
        <f t="shared" ca="1" si="205"/>
        <v>0</v>
      </c>
      <c r="V491" s="306">
        <f t="shared" ca="1" si="206"/>
        <v>1.1107697154620668</v>
      </c>
      <c r="W491" s="304">
        <f t="shared" ca="1" si="207"/>
        <v>1144.7676189889985</v>
      </c>
      <c r="Y491" s="314" t="str">
        <f t="shared" ca="1" si="225"/>
        <v/>
      </c>
      <c r="Z491" s="315" t="str">
        <f t="shared" ca="1" si="226"/>
        <v/>
      </c>
      <c r="AA491" s="316" t="str">
        <f t="shared" ca="1" si="227"/>
        <v/>
      </c>
      <c r="AC491" s="310" t="e">
        <f t="shared" ca="1" si="228"/>
        <v>#N/A</v>
      </c>
      <c r="AD491" s="323" t="e">
        <f t="shared" ca="1" si="229"/>
        <v>#N/A</v>
      </c>
      <c r="AE491" s="324">
        <f t="shared" ca="1" si="208"/>
        <v>978.09543279685806</v>
      </c>
      <c r="AG491" s="306">
        <f t="shared" ca="1" si="230"/>
        <v>69.846788446165974</v>
      </c>
      <c r="AH491" s="304">
        <f t="shared" ca="1" si="231"/>
        <v>79.043906610786053</v>
      </c>
    </row>
    <row r="492" spans="1:34" x14ac:dyDescent="0.2">
      <c r="A492" s="347">
        <f t="shared" ca="1" si="209"/>
        <v>0.01</v>
      </c>
      <c r="B492" s="304">
        <f t="shared" ca="1" si="210"/>
        <v>4.8799999999999404</v>
      </c>
      <c r="D492" s="306">
        <f t="shared" ca="1" si="211"/>
        <v>27.434115663862023</v>
      </c>
      <c r="E492" s="307">
        <f t="shared" ca="1" si="212"/>
        <v>64.097705571289708</v>
      </c>
      <c r="F492" s="304">
        <f t="shared" ca="1" si="213"/>
        <v>69.721923107168408</v>
      </c>
      <c r="G492" s="306">
        <f t="shared" ca="1" si="214"/>
        <v>148.74970576594259</v>
      </c>
      <c r="H492" s="307">
        <f t="shared" ca="1" si="215"/>
        <v>400.63468075614918</v>
      </c>
      <c r="I492" s="304">
        <f t="shared" ca="1" si="216"/>
        <v>427.35772180930121</v>
      </c>
      <c r="J492" s="306">
        <f t="shared" ca="1" si="217"/>
        <v>344.88239964088092</v>
      </c>
      <c r="K492" s="307">
        <f t="shared" ca="1" si="218"/>
        <v>982.09857471914097</v>
      </c>
      <c r="L492" s="304">
        <f t="shared" ca="1" si="203"/>
        <v>1040.89455760294</v>
      </c>
      <c r="M492" s="306">
        <f t="shared" ca="1" si="219"/>
        <v>1.2152864861800774</v>
      </c>
      <c r="N492" s="304">
        <f t="shared" ca="1" si="220"/>
        <v>69.630786557402288</v>
      </c>
      <c r="P492" s="310">
        <f t="shared" ca="1" si="221"/>
        <v>14</v>
      </c>
      <c r="Q492" s="304">
        <f t="shared" ca="1" si="222"/>
        <v>2243.9865934314876</v>
      </c>
      <c r="R492" s="306">
        <f t="shared" ca="1" si="223"/>
        <v>1.3494755004874148</v>
      </c>
      <c r="S492" s="307">
        <f t="shared" ca="1" si="224"/>
        <v>13.943261137386989</v>
      </c>
      <c r="T492" s="304">
        <f t="shared" ca="1" si="204"/>
        <v>136.78339175776637</v>
      </c>
      <c r="U492" s="311">
        <f t="shared" ca="1" si="205"/>
        <v>0</v>
      </c>
      <c r="V492" s="306">
        <f t="shared" ca="1" si="206"/>
        <v>1.1103240775943644</v>
      </c>
      <c r="W492" s="304">
        <f t="shared" ca="1" si="207"/>
        <v>1148.0468038386659</v>
      </c>
      <c r="Y492" s="314" t="str">
        <f t="shared" ca="1" si="225"/>
        <v/>
      </c>
      <c r="Z492" s="315" t="str">
        <f t="shared" ca="1" si="226"/>
        <v/>
      </c>
      <c r="AA492" s="316" t="str">
        <f t="shared" ca="1" si="227"/>
        <v/>
      </c>
      <c r="AC492" s="310" t="e">
        <f t="shared" ca="1" si="228"/>
        <v>#N/A</v>
      </c>
      <c r="AD492" s="323" t="e">
        <f t="shared" ca="1" si="229"/>
        <v>#N/A</v>
      </c>
      <c r="AE492" s="324">
        <f t="shared" ca="1" si="208"/>
        <v>982.09857471914097</v>
      </c>
      <c r="AG492" s="306">
        <f t="shared" ca="1" si="230"/>
        <v>69.638297090452724</v>
      </c>
      <c r="AH492" s="304">
        <f t="shared" ca="1" si="231"/>
        <v>78.835142196044828</v>
      </c>
    </row>
    <row r="493" spans="1:34" x14ac:dyDescent="0.2">
      <c r="A493" s="347">
        <f t="shared" ca="1" si="209"/>
        <v>0.01</v>
      </c>
      <c r="B493" s="304">
        <f t="shared" ca="1" si="210"/>
        <v>4.8899999999999402</v>
      </c>
      <c r="D493" s="306">
        <f t="shared" ca="1" si="211"/>
        <v>27.367421958484751</v>
      </c>
      <c r="E493" s="307">
        <f t="shared" ca="1" si="212"/>
        <v>63.89998351222782</v>
      </c>
      <c r="F493" s="304">
        <f t="shared" ca="1" si="213"/>
        <v>69.513909957049179</v>
      </c>
      <c r="G493" s="306">
        <f t="shared" ca="1" si="214"/>
        <v>149.02337998552744</v>
      </c>
      <c r="H493" s="307">
        <f t="shared" ca="1" si="215"/>
        <v>401.27368059127144</v>
      </c>
      <c r="I493" s="304">
        <f t="shared" ca="1" si="216"/>
        <v>428.05202314388919</v>
      </c>
      <c r="J493" s="306">
        <f t="shared" ca="1" si="217"/>
        <v>346.3712650696383</v>
      </c>
      <c r="K493" s="307">
        <f t="shared" ca="1" si="218"/>
        <v>986.10811652587802</v>
      </c>
      <c r="L493" s="304">
        <f t="shared" ca="1" si="203"/>
        <v>1045.1709289605008</v>
      </c>
      <c r="M493" s="306">
        <f t="shared" ca="1" si="219"/>
        <v>1.2152067166536724</v>
      </c>
      <c r="N493" s="304">
        <f t="shared" ca="1" si="220"/>
        <v>69.626216100205525</v>
      </c>
      <c r="P493" s="310">
        <f t="shared" ca="1" si="221"/>
        <v>14</v>
      </c>
      <c r="Q493" s="304">
        <f t="shared" ca="1" si="222"/>
        <v>2243.2968765571954</v>
      </c>
      <c r="R493" s="306">
        <f t="shared" ca="1" si="223"/>
        <v>1.3490607225975404</v>
      </c>
      <c r="S493" s="307">
        <f t="shared" ca="1" si="224"/>
        <v>13.929770530161013</v>
      </c>
      <c r="T493" s="304">
        <f t="shared" ca="1" si="204"/>
        <v>136.65104890087954</v>
      </c>
      <c r="U493" s="311">
        <f t="shared" ca="1" si="205"/>
        <v>0</v>
      </c>
      <c r="V493" s="306">
        <f t="shared" ca="1" si="206"/>
        <v>1.1098778976991022</v>
      </c>
      <c r="W493" s="304">
        <f t="shared" ca="1" si="207"/>
        <v>1151.3173147012046</v>
      </c>
      <c r="Y493" s="314" t="str">
        <f t="shared" ca="1" si="225"/>
        <v/>
      </c>
      <c r="Z493" s="315" t="str">
        <f t="shared" ca="1" si="226"/>
        <v/>
      </c>
      <c r="AA493" s="316" t="str">
        <f t="shared" ca="1" si="227"/>
        <v/>
      </c>
      <c r="AC493" s="310" t="e">
        <f t="shared" ca="1" si="228"/>
        <v>#N/A</v>
      </c>
      <c r="AD493" s="323" t="e">
        <f t="shared" ca="1" si="229"/>
        <v>#N/A</v>
      </c>
      <c r="AE493" s="324">
        <f t="shared" ca="1" si="208"/>
        <v>986.10811652587802</v>
      </c>
      <c r="AG493" s="306">
        <f t="shared" ca="1" si="230"/>
        <v>69.429997270253622</v>
      </c>
      <c r="AH493" s="304">
        <f t="shared" ca="1" si="231"/>
        <v>78.626569644278959</v>
      </c>
    </row>
    <row r="494" spans="1:34" x14ac:dyDescent="0.2">
      <c r="A494" s="347">
        <f t="shared" ca="1" si="209"/>
        <v>0.01</v>
      </c>
      <c r="B494" s="304">
        <f t="shared" ca="1" si="210"/>
        <v>4.89999999999994</v>
      </c>
      <c r="D494" s="306">
        <f t="shared" ca="1" si="211"/>
        <v>27.300756652372467</v>
      </c>
      <c r="E494" s="307">
        <f t="shared" ca="1" si="212"/>
        <v>63.702458957031098</v>
      </c>
      <c r="F494" s="304">
        <f t="shared" ca="1" si="213"/>
        <v>69.306093462005862</v>
      </c>
      <c r="G494" s="306">
        <f t="shared" ca="1" si="214"/>
        <v>149.29638755205116</v>
      </c>
      <c r="H494" s="307">
        <f t="shared" ca="1" si="215"/>
        <v>401.91070518084177</v>
      </c>
      <c r="I494" s="304">
        <f t="shared" ca="1" si="216"/>
        <v>428.74424343080545</v>
      </c>
      <c r="J494" s="306">
        <f t="shared" ca="1" si="217"/>
        <v>347.86286390732619</v>
      </c>
      <c r="K494" s="307">
        <f t="shared" ca="1" si="218"/>
        <v>990.12403845473864</v>
      </c>
      <c r="L494" s="304">
        <f t="shared" ca="1" si="203"/>
        <v>1049.4542313086968</v>
      </c>
      <c r="M494" s="306">
        <f t="shared" ca="1" si="219"/>
        <v>1.2151270588072067</v>
      </c>
      <c r="N494" s="304">
        <f t="shared" ca="1" si="220"/>
        <v>69.62165204179793</v>
      </c>
      <c r="P494" s="310">
        <f t="shared" ca="1" si="221"/>
        <v>14</v>
      </c>
      <c r="Q494" s="304">
        <f t="shared" ca="1" si="222"/>
        <v>2242.6071596829033</v>
      </c>
      <c r="R494" s="306">
        <f t="shared" ca="1" si="223"/>
        <v>1.348645944707666</v>
      </c>
      <c r="S494" s="307">
        <f t="shared" ca="1" si="224"/>
        <v>13.916284070713937</v>
      </c>
      <c r="T494" s="304">
        <f t="shared" ca="1" si="204"/>
        <v>136.51874673370372</v>
      </c>
      <c r="U494" s="311">
        <f t="shared" ca="1" si="205"/>
        <v>0</v>
      </c>
      <c r="V494" s="306">
        <f t="shared" ca="1" si="206"/>
        <v>1.1094311786928968</v>
      </c>
      <c r="W494" s="304">
        <f t="shared" ca="1" si="207"/>
        <v>1154.5791113197811</v>
      </c>
      <c r="Y494" s="314" t="str">
        <f t="shared" ca="1" si="225"/>
        <v/>
      </c>
      <c r="Z494" s="315" t="str">
        <f t="shared" ca="1" si="226"/>
        <v/>
      </c>
      <c r="AA494" s="316" t="str">
        <f t="shared" ca="1" si="227"/>
        <v/>
      </c>
      <c r="AC494" s="310" t="e">
        <f t="shared" ca="1" si="228"/>
        <v>#N/A</v>
      </c>
      <c r="AD494" s="323" t="e">
        <f t="shared" ca="1" si="229"/>
        <v>#N/A</v>
      </c>
      <c r="AE494" s="324">
        <f t="shared" ca="1" si="208"/>
        <v>990.12403845473864</v>
      </c>
      <c r="AG494" s="306">
        <f t="shared" ca="1" si="230"/>
        <v>69.221892664529975</v>
      </c>
      <c r="AH494" s="304">
        <f t="shared" ca="1" si="231"/>
        <v>78.418192632202647</v>
      </c>
    </row>
    <row r="495" spans="1:34" x14ac:dyDescent="0.2">
      <c r="A495" s="347">
        <f t="shared" ca="1" si="209"/>
        <v>0.01</v>
      </c>
      <c r="B495" s="304">
        <f t="shared" ca="1" si="210"/>
        <v>4.9099999999999397</v>
      </c>
      <c r="D495" s="306">
        <f t="shared" ca="1" si="211"/>
        <v>27.234121181975507</v>
      </c>
      <c r="E495" s="307">
        <f t="shared" ca="1" si="212"/>
        <v>63.505135273531891</v>
      </c>
      <c r="F495" s="304">
        <f t="shared" ca="1" si="213"/>
        <v>69.098477281804932</v>
      </c>
      <c r="G495" s="306">
        <f t="shared" ca="1" si="214"/>
        <v>149.56872876387092</v>
      </c>
      <c r="H495" s="307">
        <f t="shared" ca="1" si="215"/>
        <v>402.54575653357711</v>
      </c>
      <c r="I495" s="304">
        <f t="shared" ca="1" si="216"/>
        <v>429.43438465873959</v>
      </c>
      <c r="J495" s="306">
        <f t="shared" ca="1" si="217"/>
        <v>349.35718948890582</v>
      </c>
      <c r="K495" s="307">
        <f t="shared" ca="1" si="218"/>
        <v>994.14632076331077</v>
      </c>
      <c r="L495" s="304">
        <f t="shared" ca="1" si="203"/>
        <v>1053.7444438452878</v>
      </c>
      <c r="M495" s="306">
        <f t="shared" ca="1" si="219"/>
        <v>1.215047511919946</v>
      </c>
      <c r="N495" s="304">
        <f t="shared" ca="1" si="220"/>
        <v>69.617094340884492</v>
      </c>
      <c r="P495" s="310">
        <f t="shared" ca="1" si="221"/>
        <v>14</v>
      </c>
      <c r="Q495" s="304">
        <f t="shared" ca="1" si="222"/>
        <v>2241.9174428086108</v>
      </c>
      <c r="R495" s="306">
        <f t="shared" ca="1" si="223"/>
        <v>1.3482311668177913</v>
      </c>
      <c r="S495" s="307">
        <f t="shared" ca="1" si="224"/>
        <v>13.90280175904576</v>
      </c>
      <c r="T495" s="304">
        <f t="shared" ca="1" si="204"/>
        <v>136.3864852562389</v>
      </c>
      <c r="U495" s="311">
        <f t="shared" ca="1" si="205"/>
        <v>0</v>
      </c>
      <c r="V495" s="306">
        <f t="shared" ca="1" si="206"/>
        <v>1.1089839234872232</v>
      </c>
      <c r="W495" s="304">
        <f t="shared" ca="1" si="207"/>
        <v>1157.8321539853432</v>
      </c>
      <c r="Y495" s="314" t="str">
        <f t="shared" ca="1" si="225"/>
        <v/>
      </c>
      <c r="Z495" s="315" t="str">
        <f t="shared" ca="1" si="226"/>
        <v/>
      </c>
      <c r="AA495" s="316" t="str">
        <f t="shared" ca="1" si="227"/>
        <v/>
      </c>
      <c r="AC495" s="310" t="e">
        <f t="shared" ca="1" si="228"/>
        <v>#N/A</v>
      </c>
      <c r="AD495" s="323" t="e">
        <f t="shared" ca="1" si="229"/>
        <v>#N/A</v>
      </c>
      <c r="AE495" s="324">
        <f t="shared" ca="1" si="208"/>
        <v>994.14632076331077</v>
      </c>
      <c r="AG495" s="306">
        <f t="shared" ca="1" si="230"/>
        <v>69.01398692665849</v>
      </c>
      <c r="AH495" s="304">
        <f t="shared" ca="1" si="231"/>
        <v>78.210014810961439</v>
      </c>
    </row>
    <row r="496" spans="1:34" x14ac:dyDescent="0.2">
      <c r="A496" s="347">
        <f t="shared" ca="1" si="209"/>
        <v>0.01</v>
      </c>
      <c r="B496" s="304">
        <f t="shared" ca="1" si="210"/>
        <v>4.9199999999999395</v>
      </c>
      <c r="D496" s="306">
        <f t="shared" ca="1" si="211"/>
        <v>27.167516974813321</v>
      </c>
      <c r="E496" s="307">
        <f t="shared" ca="1" si="212"/>
        <v>63.308015805498442</v>
      </c>
      <c r="F496" s="304">
        <f t="shared" ca="1" si="213"/>
        <v>68.891065050600076</v>
      </c>
      <c r="G496" s="306">
        <f t="shared" ca="1" si="214"/>
        <v>149.84040393361906</v>
      </c>
      <c r="H496" s="307">
        <f t="shared" ca="1" si="215"/>
        <v>403.17883669163211</v>
      </c>
      <c r="I496" s="304">
        <f t="shared" ca="1" si="216"/>
        <v>430.12244885265858</v>
      </c>
      <c r="J496" s="306">
        <f t="shared" ca="1" si="217"/>
        <v>350.85423515239324</v>
      </c>
      <c r="K496" s="307">
        <f t="shared" ca="1" si="218"/>
        <v>998.17494372943679</v>
      </c>
      <c r="L496" s="304">
        <f t="shared" ca="1" si="203"/>
        <v>1058.0415457880827</v>
      </c>
      <c r="M496" s="306">
        <f t="shared" ca="1" si="219"/>
        <v>1.2149680752764525</v>
      </c>
      <c r="N496" s="304">
        <f t="shared" ca="1" si="220"/>
        <v>69.612542956473632</v>
      </c>
      <c r="P496" s="310">
        <f t="shared" ca="1" si="221"/>
        <v>14</v>
      </c>
      <c r="Q496" s="304">
        <f t="shared" ca="1" si="222"/>
        <v>2241.2277259343186</v>
      </c>
      <c r="R496" s="306">
        <f t="shared" ca="1" si="223"/>
        <v>1.3478163889279169</v>
      </c>
      <c r="S496" s="307">
        <f t="shared" ca="1" si="224"/>
        <v>13.88932359515648</v>
      </c>
      <c r="T496" s="304">
        <f t="shared" ca="1" si="204"/>
        <v>136.25426446848508</v>
      </c>
      <c r="U496" s="311">
        <f t="shared" ca="1" si="205"/>
        <v>0</v>
      </c>
      <c r="V496" s="306">
        <f t="shared" ca="1" si="206"/>
        <v>1.1085361349883689</v>
      </c>
      <c r="W496" s="304">
        <f t="shared" ca="1" si="207"/>
        <v>1161.0764035353834</v>
      </c>
      <c r="Y496" s="314" t="str">
        <f t="shared" ca="1" si="225"/>
        <v/>
      </c>
      <c r="Z496" s="315" t="str">
        <f t="shared" ca="1" si="226"/>
        <v/>
      </c>
      <c r="AA496" s="316" t="str">
        <f t="shared" ca="1" si="227"/>
        <v/>
      </c>
      <c r="AC496" s="310" t="e">
        <f t="shared" ca="1" si="228"/>
        <v>#N/A</v>
      </c>
      <c r="AD496" s="323" t="e">
        <f t="shared" ca="1" si="229"/>
        <v>#N/A</v>
      </c>
      <c r="AE496" s="324">
        <f t="shared" ca="1" si="208"/>
        <v>998.17494372943679</v>
      </c>
      <c r="AG496" s="306">
        <f t="shared" ca="1" si="230"/>
        <v>68.806283684383118</v>
      </c>
      <c r="AH496" s="304">
        <f t="shared" ca="1" si="231"/>
        <v>78.002039806083857</v>
      </c>
    </row>
    <row r="497" spans="1:34" x14ac:dyDescent="0.2">
      <c r="A497" s="347">
        <f t="shared" ca="1" si="209"/>
        <v>0.01</v>
      </c>
      <c r="B497" s="304">
        <f t="shared" ca="1" si="210"/>
        <v>4.9299999999999393</v>
      </c>
      <c r="D497" s="306">
        <f t="shared" ca="1" si="211"/>
        <v>27.100945449455171</v>
      </c>
      <c r="E497" s="307">
        <f t="shared" ca="1" si="212"/>
        <v>63.111103872592921</v>
      </c>
      <c r="F497" s="304">
        <f t="shared" ca="1" si="213"/>
        <v>68.683860376885903</v>
      </c>
      <c r="G497" s="306">
        <f t="shared" ca="1" si="214"/>
        <v>150.11141338811362</v>
      </c>
      <c r="H497" s="307">
        <f t="shared" ca="1" si="215"/>
        <v>403.80994773035803</v>
      </c>
      <c r="I497" s="304">
        <f t="shared" ca="1" si="216"/>
        <v>430.80843807354984</v>
      </c>
      <c r="J497" s="306">
        <f t="shared" ca="1" si="217"/>
        <v>352.35399423900191</v>
      </c>
      <c r="K497" s="307">
        <f t="shared" ca="1" si="218"/>
        <v>1002.2098876515468</v>
      </c>
      <c r="L497" s="304">
        <f t="shared" ca="1" si="203"/>
        <v>1062.3455163753008</v>
      </c>
      <c r="M497" s="306">
        <f t="shared" ca="1" si="219"/>
        <v>1.2148887481665356</v>
      </c>
      <c r="N497" s="304">
        <f t="shared" ca="1" si="220"/>
        <v>69.607997847874415</v>
      </c>
      <c r="P497" s="310">
        <f t="shared" ca="1" si="221"/>
        <v>14</v>
      </c>
      <c r="Q497" s="304">
        <f t="shared" ca="1" si="222"/>
        <v>2240.5380090600265</v>
      </c>
      <c r="R497" s="306">
        <f t="shared" ca="1" si="223"/>
        <v>1.3474016110380427</v>
      </c>
      <c r="S497" s="307">
        <f t="shared" ca="1" si="224"/>
        <v>13.875849579046099</v>
      </c>
      <c r="T497" s="304">
        <f t="shared" ca="1" si="204"/>
        <v>136.12208437044222</v>
      </c>
      <c r="U497" s="311">
        <f t="shared" ca="1" si="205"/>
        <v>0</v>
      </c>
      <c r="V497" s="306">
        <f t="shared" ca="1" si="206"/>
        <v>1.1080878160973919</v>
      </c>
      <c r="W497" s="304">
        <f t="shared" ca="1" si="207"/>
        <v>1164.3118213526709</v>
      </c>
      <c r="Y497" s="314" t="str">
        <f t="shared" ca="1" si="225"/>
        <v/>
      </c>
      <c r="Z497" s="315" t="str">
        <f t="shared" ca="1" si="226"/>
        <v/>
      </c>
      <c r="AA497" s="316" t="str">
        <f t="shared" ca="1" si="227"/>
        <v/>
      </c>
      <c r="AC497" s="310" t="e">
        <f t="shared" ca="1" si="228"/>
        <v>#N/A</v>
      </c>
      <c r="AD497" s="323" t="e">
        <f t="shared" ca="1" si="229"/>
        <v>#N/A</v>
      </c>
      <c r="AE497" s="324">
        <f t="shared" ca="1" si="208"/>
        <v>1002.2098876515468</v>
      </c>
      <c r="AG497" s="306">
        <f t="shared" ca="1" si="230"/>
        <v>68.59878653976871</v>
      </c>
      <c r="AH497" s="304">
        <f t="shared" ca="1" si="231"/>
        <v>77.794271217434968</v>
      </c>
    </row>
    <row r="498" spans="1:34" x14ac:dyDescent="0.2">
      <c r="A498" s="347">
        <f t="shared" ca="1" si="209"/>
        <v>0.01</v>
      </c>
      <c r="B498" s="304">
        <f t="shared" ca="1" si="210"/>
        <v>4.9399999999999391</v>
      </c>
      <c r="D498" s="306">
        <f t="shared" ca="1" si="211"/>
        <v>27.034408015501793</v>
      </c>
      <c r="E498" s="307">
        <f t="shared" ca="1" si="212"/>
        <v>62.914402770331805</v>
      </c>
      <c r="F498" s="304">
        <f t="shared" ca="1" si="213"/>
        <v>68.476866843454232</v>
      </c>
      <c r="G498" s="306">
        <f t="shared" ca="1" si="214"/>
        <v>150.38175746826863</v>
      </c>
      <c r="H498" s="307">
        <f t="shared" ca="1" si="215"/>
        <v>404.43909175806135</v>
      </c>
      <c r="I498" s="304">
        <f t="shared" ca="1" si="216"/>
        <v>431.49235441816433</v>
      </c>
      <c r="J498" s="306">
        <f t="shared" ca="1" si="217"/>
        <v>353.85646009328383</v>
      </c>
      <c r="K498" s="307">
        <f t="shared" ca="1" si="218"/>
        <v>1006.2511328489888</v>
      </c>
      <c r="L498" s="304">
        <f t="shared" ca="1" si="203"/>
        <v>1066.656334865932</v>
      </c>
      <c r="M498" s="306">
        <f t="shared" ca="1" si="219"/>
        <v>1.2148095298852037</v>
      </c>
      <c r="N498" s="304">
        <f t="shared" ca="1" si="220"/>
        <v>69.603458974693822</v>
      </c>
      <c r="P498" s="310">
        <f t="shared" ca="1" si="221"/>
        <v>14</v>
      </c>
      <c r="Q498" s="304">
        <f t="shared" ca="1" si="222"/>
        <v>2239.8482921857344</v>
      </c>
      <c r="R498" s="306">
        <f t="shared" ca="1" si="223"/>
        <v>1.3469868331481682</v>
      </c>
      <c r="S498" s="307">
        <f t="shared" ca="1" si="224"/>
        <v>13.862379710714617</v>
      </c>
      <c r="T498" s="304">
        <f t="shared" ca="1" si="204"/>
        <v>135.9899449621104</v>
      </c>
      <c r="U498" s="311">
        <f t="shared" ca="1" si="205"/>
        <v>0</v>
      </c>
      <c r="V498" s="306">
        <f t="shared" ca="1" si="206"/>
        <v>1.107638969710077</v>
      </c>
      <c r="W498" s="304">
        <f t="shared" ca="1" si="207"/>
        <v>1167.5383693639492</v>
      </c>
      <c r="Y498" s="314" t="str">
        <f t="shared" ca="1" si="225"/>
        <v/>
      </c>
      <c r="Z498" s="315" t="str">
        <f t="shared" ca="1" si="226"/>
        <v/>
      </c>
      <c r="AA498" s="316" t="str">
        <f t="shared" ca="1" si="227"/>
        <v/>
      </c>
      <c r="AC498" s="310" t="e">
        <f t="shared" ca="1" si="228"/>
        <v>#N/A</v>
      </c>
      <c r="AD498" s="323" t="e">
        <f t="shared" ca="1" si="229"/>
        <v>#N/A</v>
      </c>
      <c r="AE498" s="324">
        <f t="shared" ca="1" si="208"/>
        <v>1006.2511328489888</v>
      </c>
      <c r="AG498" s="306">
        <f t="shared" ca="1" si="230"/>
        <v>68.391499069157319</v>
      </c>
      <c r="AH498" s="304">
        <f t="shared" ca="1" si="231"/>
        <v>77.586712619172573</v>
      </c>
    </row>
    <row r="499" spans="1:34" x14ac:dyDescent="0.2">
      <c r="A499" s="347">
        <f t="shared" ca="1" si="209"/>
        <v>0.01</v>
      </c>
      <c r="B499" s="304">
        <f t="shared" ca="1" si="210"/>
        <v>4.9499999999999389</v>
      </c>
      <c r="D499" s="306">
        <f t="shared" ca="1" si="211"/>
        <v>26.967906073567651</v>
      </c>
      <c r="E499" s="307">
        <f t="shared" ca="1" si="212"/>
        <v>62.717915770048208</v>
      </c>
      <c r="F499" s="304">
        <f t="shared" ca="1" si="213"/>
        <v>68.2700880073523</v>
      </c>
      <c r="G499" s="306">
        <f t="shared" ca="1" si="214"/>
        <v>150.65143652900431</v>
      </c>
      <c r="H499" s="307">
        <f t="shared" ca="1" si="215"/>
        <v>405.06627091576183</v>
      </c>
      <c r="I499" s="304">
        <f t="shared" ca="1" si="216"/>
        <v>432.1742000187586</v>
      </c>
      <c r="J499" s="306">
        <f t="shared" ca="1" si="217"/>
        <v>355.36162606327019</v>
      </c>
      <c r="K499" s="307">
        <f t="shared" ca="1" si="218"/>
        <v>1010.298659662358</v>
      </c>
      <c r="L499" s="304">
        <f t="shared" ca="1" si="203"/>
        <v>1070.9739805400916</v>
      </c>
      <c r="M499" s="306">
        <f t="shared" ca="1" si="219"/>
        <v>1.214730419732617</v>
      </c>
      <c r="N499" s="304">
        <f t="shared" ca="1" si="220"/>
        <v>69.598926296833966</v>
      </c>
      <c r="P499" s="310">
        <f t="shared" ca="1" si="221"/>
        <v>14</v>
      </c>
      <c r="Q499" s="304">
        <f t="shared" ca="1" si="222"/>
        <v>2239.1585753114423</v>
      </c>
      <c r="R499" s="306">
        <f t="shared" ca="1" si="223"/>
        <v>1.3465720552582938</v>
      </c>
      <c r="S499" s="307">
        <f t="shared" ca="1" si="224"/>
        <v>13.848913990162034</v>
      </c>
      <c r="T499" s="304">
        <f t="shared" ca="1" si="204"/>
        <v>135.85784624348955</v>
      </c>
      <c r="U499" s="311">
        <f t="shared" ca="1" si="205"/>
        <v>0</v>
      </c>
      <c r="V499" s="306">
        <f t="shared" ca="1" si="206"/>
        <v>1.1071895987168916</v>
      </c>
      <c r="W499" s="304">
        <f t="shared" ca="1" si="207"/>
        <v>1170.7560100385949</v>
      </c>
      <c r="Y499" s="314" t="str">
        <f t="shared" ca="1" si="225"/>
        <v/>
      </c>
      <c r="Z499" s="315" t="str">
        <f t="shared" ca="1" si="226"/>
        <v/>
      </c>
      <c r="AA499" s="316" t="str">
        <f t="shared" ca="1" si="227"/>
        <v/>
      </c>
      <c r="AC499" s="310" t="e">
        <f t="shared" ca="1" si="228"/>
        <v>#N/A</v>
      </c>
      <c r="AD499" s="323" t="e">
        <f t="shared" ca="1" si="229"/>
        <v>#N/A</v>
      </c>
      <c r="AE499" s="324">
        <f t="shared" ca="1" si="208"/>
        <v>1010.298659662358</v>
      </c>
      <c r="AG499" s="306">
        <f t="shared" ca="1" si="230"/>
        <v>68.18442482312652</v>
      </c>
      <c r="AH499" s="304">
        <f t="shared" ca="1" si="231"/>
        <v>77.379367559705315</v>
      </c>
    </row>
    <row r="500" spans="1:34" x14ac:dyDescent="0.2">
      <c r="A500" s="347">
        <f t="shared" ca="1" si="209"/>
        <v>0.01</v>
      </c>
      <c r="B500" s="304">
        <f t="shared" ca="1" si="210"/>
        <v>4.9599999999999387</v>
      </c>
      <c r="D500" s="306">
        <f t="shared" ca="1" si="211"/>
        <v>26.901441015264123</v>
      </c>
      <c r="E500" s="307">
        <f t="shared" ca="1" si="212"/>
        <v>62.521646118856864</v>
      </c>
      <c r="F500" s="304">
        <f t="shared" ca="1" si="213"/>
        <v>68.06352739984392</v>
      </c>
      <c r="G500" s="306">
        <f t="shared" ca="1" si="214"/>
        <v>150.92045093915695</v>
      </c>
      <c r="H500" s="307">
        <f t="shared" ca="1" si="215"/>
        <v>405.69148737695042</v>
      </c>
      <c r="I500" s="304">
        <f t="shared" ca="1" si="216"/>
        <v>432.85397704283696</v>
      </c>
      <c r="J500" s="306">
        <f t="shared" ca="1" si="217"/>
        <v>356.86948550061101</v>
      </c>
      <c r="K500" s="307">
        <f t="shared" ca="1" si="218"/>
        <v>1014.3524484538216</v>
      </c>
      <c r="L500" s="304">
        <f t="shared" ca="1" si="203"/>
        <v>1075.2984326993756</v>
      </c>
      <c r="M500" s="306">
        <f t="shared" ca="1" si="219"/>
        <v>1.2146514170140388</v>
      </c>
      <c r="N500" s="304">
        <f t="shared" ca="1" si="220"/>
        <v>69.594399774489375</v>
      </c>
      <c r="P500" s="310">
        <f t="shared" ca="1" si="221"/>
        <v>14</v>
      </c>
      <c r="Q500" s="304">
        <f t="shared" ca="1" si="222"/>
        <v>2238.4688584371502</v>
      </c>
      <c r="R500" s="306">
        <f t="shared" ca="1" si="223"/>
        <v>1.3461572773684194</v>
      </c>
      <c r="S500" s="307">
        <f t="shared" ca="1" si="224"/>
        <v>13.83545241738835</v>
      </c>
      <c r="T500" s="304">
        <f t="shared" ca="1" si="204"/>
        <v>135.72578821457972</v>
      </c>
      <c r="U500" s="311">
        <f t="shared" ca="1" si="205"/>
        <v>0</v>
      </c>
      <c r="V500" s="306">
        <f t="shared" ca="1" si="206"/>
        <v>1.106739706002946</v>
      </c>
      <c r="W500" s="304">
        <f t="shared" ca="1" si="207"/>
        <v>1173.9647063872542</v>
      </c>
      <c r="Y500" s="314" t="str">
        <f t="shared" ca="1" si="225"/>
        <v/>
      </c>
      <c r="Z500" s="315" t="str">
        <f t="shared" ca="1" si="226"/>
        <v/>
      </c>
      <c r="AA500" s="316" t="str">
        <f t="shared" ca="1" si="227"/>
        <v/>
      </c>
      <c r="AC500" s="310" t="e">
        <f t="shared" ca="1" si="228"/>
        <v>#N/A</v>
      </c>
      <c r="AD500" s="323" t="e">
        <f t="shared" ca="1" si="229"/>
        <v>#N/A</v>
      </c>
      <c r="AE500" s="324">
        <f t="shared" ca="1" si="208"/>
        <v>1014.3524484538216</v>
      </c>
      <c r="AG500" s="306">
        <f t="shared" ca="1" si="230"/>
        <v>67.977567326450583</v>
      </c>
      <c r="AH500" s="304">
        <f t="shared" ca="1" si="231"/>
        <v>77.172239561653754</v>
      </c>
    </row>
    <row r="501" spans="1:34" x14ac:dyDescent="0.2">
      <c r="A501" s="347">
        <f t="shared" ca="1" si="209"/>
        <v>0.01</v>
      </c>
      <c r="B501" s="304">
        <f t="shared" ca="1" si="210"/>
        <v>4.9699999999999385</v>
      </c>
      <c r="D501" s="306">
        <f t="shared" ca="1" si="211"/>
        <v>26.825661120031729</v>
      </c>
      <c r="E501" s="307">
        <f t="shared" ca="1" si="212"/>
        <v>62.300454825258385</v>
      </c>
      <c r="F501" s="304">
        <f t="shared" ca="1" si="213"/>
        <v>67.830397064744076</v>
      </c>
      <c r="G501" s="306">
        <f t="shared" ca="1" si="214"/>
        <v>151.18870755035726</v>
      </c>
      <c r="H501" s="307">
        <f t="shared" ca="1" si="215"/>
        <v>406.31449192520301</v>
      </c>
      <c r="I501" s="304">
        <f t="shared" ca="1" si="216"/>
        <v>433.53141943714223</v>
      </c>
      <c r="J501" s="306">
        <f t="shared" ca="1" si="217"/>
        <v>358.38003129305855</v>
      </c>
      <c r="K501" s="307">
        <f t="shared" ca="1" si="218"/>
        <v>1018.4124783503323</v>
      </c>
      <c r="L501" s="304">
        <f t="shared" ca="1" si="203"/>
        <v>1079.6296693261443</v>
      </c>
      <c r="M501" s="306">
        <f t="shared" ca="1" si="219"/>
        <v>1.2145725209909723</v>
      </c>
      <c r="N501" s="304">
        <f t="shared" ca="1" si="220"/>
        <v>69.589879365347301</v>
      </c>
      <c r="P501" s="310">
        <f t="shared" ca="1" si="221"/>
        <v>15</v>
      </c>
      <c r="Q501" s="304">
        <f t="shared" ca="1" si="222"/>
        <v>2237.4085300751967</v>
      </c>
      <c r="R501" s="306">
        <f t="shared" ca="1" si="223"/>
        <v>1.3455196233150857</v>
      </c>
      <c r="S501" s="307">
        <f t="shared" ca="1" si="224"/>
        <v>13.821997221155199</v>
      </c>
      <c r="T501" s="304">
        <f t="shared" ca="1" si="204"/>
        <v>135.59379273953252</v>
      </c>
      <c r="U501" s="311">
        <f t="shared" ca="1" si="205"/>
        <v>0</v>
      </c>
      <c r="V501" s="306">
        <f t="shared" ca="1" si="206"/>
        <v>1.1062892945873832</v>
      </c>
      <c r="W501" s="304">
        <f t="shared" ca="1" si="207"/>
        <v>1177.1629653247335</v>
      </c>
      <c r="Y501" s="314" t="str">
        <f t="shared" ca="1" si="225"/>
        <v/>
      </c>
      <c r="Z501" s="315" t="str">
        <f t="shared" ca="1" si="226"/>
        <v/>
      </c>
      <c r="AA501" s="316" t="str">
        <f t="shared" ca="1" si="227"/>
        <v/>
      </c>
      <c r="AC501" s="310" t="e">
        <f t="shared" ca="1" si="228"/>
        <v>#N/A</v>
      </c>
      <c r="AD501" s="323" t="e">
        <f t="shared" ca="1" si="229"/>
        <v>#N/A</v>
      </c>
      <c r="AE501" s="324">
        <f t="shared" ca="1" si="208"/>
        <v>1018.4124783503323</v>
      </c>
      <c r="AG501" s="306">
        <f t="shared" ca="1" si="230"/>
        <v>67.744104502923008</v>
      </c>
      <c r="AH501" s="304">
        <f t="shared" ca="1" si="231"/>
        <v>76.938506546672798</v>
      </c>
    </row>
    <row r="502" spans="1:34" x14ac:dyDescent="0.2">
      <c r="A502" s="347">
        <f t="shared" ca="1" si="209"/>
        <v>0.01</v>
      </c>
      <c r="B502" s="304">
        <f t="shared" ca="1" si="210"/>
        <v>4.9799999999999383</v>
      </c>
      <c r="D502" s="306">
        <f t="shared" ca="1" si="211"/>
        <v>26.740566986511649</v>
      </c>
      <c r="E502" s="307">
        <f t="shared" ca="1" si="212"/>
        <v>62.054361201033785</v>
      </c>
      <c r="F502" s="304">
        <f t="shared" ca="1" si="213"/>
        <v>67.570716044959028</v>
      </c>
      <c r="G502" s="306">
        <f t="shared" ca="1" si="214"/>
        <v>151.45611322022239</v>
      </c>
      <c r="H502" s="307">
        <f t="shared" ca="1" si="215"/>
        <v>406.93503553721337</v>
      </c>
      <c r="I502" s="304">
        <f t="shared" ca="1" si="216"/>
        <v>434.20626133146669</v>
      </c>
      <c r="J502" s="306">
        <f t="shared" ca="1" si="217"/>
        <v>359.89325539691146</v>
      </c>
      <c r="K502" s="307">
        <f t="shared" ca="1" si="218"/>
        <v>1022.4787259876445</v>
      </c>
      <c r="L502" s="304">
        <f t="shared" ca="1" si="203"/>
        <v>1083.9676657435418</v>
      </c>
      <c r="M502" s="306">
        <f t="shared" ca="1" si="219"/>
        <v>1.2144937308816954</v>
      </c>
      <c r="N502" s="304">
        <f t="shared" ca="1" si="220"/>
        <v>69.585365024618355</v>
      </c>
      <c r="P502" s="310">
        <f t="shared" ca="1" si="221"/>
        <v>15</v>
      </c>
      <c r="Q502" s="304">
        <f t="shared" ca="1" si="222"/>
        <v>2235.9775902255724</v>
      </c>
      <c r="R502" s="306">
        <f t="shared" ca="1" si="223"/>
        <v>1.3446590930982869</v>
      </c>
      <c r="S502" s="307">
        <f t="shared" ca="1" si="224"/>
        <v>13.808550630224216</v>
      </c>
      <c r="T502" s="304">
        <f t="shared" ca="1" si="204"/>
        <v>135.46188168249958</v>
      </c>
      <c r="U502" s="311">
        <f t="shared" ca="1" si="205"/>
        <v>0</v>
      </c>
      <c r="V502" s="306">
        <f t="shared" ca="1" si="206"/>
        <v>1.1058383677623613</v>
      </c>
      <c r="W502" s="304">
        <f t="shared" ca="1" si="207"/>
        <v>1180.3492887125642</v>
      </c>
      <c r="Y502" s="314" t="str">
        <f t="shared" ca="1" si="225"/>
        <v/>
      </c>
      <c r="Z502" s="315" t="str">
        <f t="shared" ca="1" si="226"/>
        <v/>
      </c>
      <c r="AA502" s="316" t="str">
        <f t="shared" ca="1" si="227"/>
        <v/>
      </c>
      <c r="AC502" s="310" t="e">
        <f t="shared" ca="1" si="228"/>
        <v>#N/A</v>
      </c>
      <c r="AD502" s="323" t="e">
        <f t="shared" ca="1" si="229"/>
        <v>#N/A</v>
      </c>
      <c r="AE502" s="324">
        <f t="shared" ca="1" si="208"/>
        <v>1022.4787259876445</v>
      </c>
      <c r="AG502" s="306">
        <f t="shared" ca="1" si="230"/>
        <v>67.48405465739819</v>
      </c>
      <c r="AH502" s="304">
        <f t="shared" ca="1" si="231"/>
        <v>76.678186817326136</v>
      </c>
    </row>
    <row r="503" spans="1:34" x14ac:dyDescent="0.2">
      <c r="A503" s="347">
        <f t="shared" ca="1" si="209"/>
        <v>0.01</v>
      </c>
      <c r="B503" s="304">
        <f t="shared" ca="1" si="210"/>
        <v>4.989999999999938</v>
      </c>
      <c r="D503" s="306">
        <f t="shared" ca="1" si="211"/>
        <v>26.655534751287</v>
      </c>
      <c r="E503" s="307">
        <f t="shared" ca="1" si="212"/>
        <v>61.80857485083078</v>
      </c>
      <c r="F503" s="304">
        <f t="shared" ca="1" si="213"/>
        <v>67.311347170947485</v>
      </c>
      <c r="G503" s="306">
        <f t="shared" ca="1" si="214"/>
        <v>151.72266856773527</v>
      </c>
      <c r="H503" s="307">
        <f t="shared" ca="1" si="215"/>
        <v>407.55312128572166</v>
      </c>
      <c r="I503" s="304">
        <f t="shared" ca="1" si="216"/>
        <v>434.87850582323449</v>
      </c>
      <c r="J503" s="306">
        <f t="shared" ca="1" si="217"/>
        <v>361.40914930585126</v>
      </c>
      <c r="K503" s="307">
        <f t="shared" ca="1" si="218"/>
        <v>1026.5511667717592</v>
      </c>
      <c r="L503" s="304">
        <f t="shared" ca="1" si="203"/>
        <v>1088.3123959610307</v>
      </c>
      <c r="M503" s="306">
        <f t="shared" ca="1" si="219"/>
        <v>1.214415045910419</v>
      </c>
      <c r="N503" s="304">
        <f t="shared" ca="1" si="220"/>
        <v>69.580856707853115</v>
      </c>
      <c r="P503" s="310">
        <f t="shared" ca="1" si="221"/>
        <v>15</v>
      </c>
      <c r="Q503" s="304">
        <f t="shared" ca="1" si="222"/>
        <v>2234.5466503759485</v>
      </c>
      <c r="R503" s="306">
        <f t="shared" ca="1" si="223"/>
        <v>1.3437985628814884</v>
      </c>
      <c r="S503" s="307">
        <f t="shared" ca="1" si="224"/>
        <v>13.795112644595401</v>
      </c>
      <c r="T503" s="304">
        <f t="shared" ca="1" si="204"/>
        <v>135.33005504348088</v>
      </c>
      <c r="U503" s="311">
        <f t="shared" ca="1" si="205"/>
        <v>0</v>
      </c>
      <c r="V503" s="306">
        <f t="shared" ca="1" si="206"/>
        <v>1.1053869289526979</v>
      </c>
      <c r="W503" s="304">
        <f t="shared" ca="1" si="207"/>
        <v>1183.5236363221434</v>
      </c>
      <c r="Y503" s="314" t="str">
        <f t="shared" ca="1" si="225"/>
        <v/>
      </c>
      <c r="Z503" s="315" t="str">
        <f t="shared" ca="1" si="226"/>
        <v/>
      </c>
      <c r="AA503" s="316" t="str">
        <f t="shared" ca="1" si="227"/>
        <v/>
      </c>
      <c r="AC503" s="310" t="e">
        <f t="shared" ca="1" si="228"/>
        <v>#N/A</v>
      </c>
      <c r="AD503" s="323" t="e">
        <f t="shared" ca="1" si="229"/>
        <v>#N/A</v>
      </c>
      <c r="AE503" s="324">
        <f t="shared" ca="1" si="208"/>
        <v>1026.5511667717592</v>
      </c>
      <c r="AG503" s="306">
        <f t="shared" ca="1" si="230"/>
        <v>67.224314553081058</v>
      </c>
      <c r="AH503" s="304">
        <f t="shared" ca="1" si="231"/>
        <v>76.418177134377657</v>
      </c>
    </row>
    <row r="504" spans="1:34" x14ac:dyDescent="0.2">
      <c r="A504" s="347">
        <f t="shared" ca="1" si="209"/>
        <v>0.01</v>
      </c>
      <c r="B504" s="304">
        <f t="shared" ca="1" si="210"/>
        <v>4.9999999999999378</v>
      </c>
      <c r="D504" s="306">
        <f t="shared" ca="1" si="211"/>
        <v>26.570566122898821</v>
      </c>
      <c r="E504" s="307">
        <f t="shared" ca="1" si="212"/>
        <v>61.56309974798917</v>
      </c>
      <c r="F504" s="304">
        <f t="shared" ca="1" si="213"/>
        <v>67.05229477558693</v>
      </c>
      <c r="G504" s="306">
        <f t="shared" ca="1" si="214"/>
        <v>151.98837422896426</v>
      </c>
      <c r="H504" s="307">
        <f t="shared" ca="1" si="215"/>
        <v>408.16875228320157</v>
      </c>
      <c r="I504" s="304">
        <f t="shared" ca="1" si="216"/>
        <v>435.54815605302389</v>
      </c>
      <c r="J504" s="306">
        <f t="shared" ca="1" si="217"/>
        <v>362.92770451983478</v>
      </c>
      <c r="K504" s="307">
        <f t="shared" ca="1" si="218"/>
        <v>1030.6297761396038</v>
      </c>
      <c r="L504" s="304">
        <f t="shared" ca="1" si="203"/>
        <v>1092.6638340192314</v>
      </c>
      <c r="M504" s="306">
        <f t="shared" ca="1" si="219"/>
        <v>1.2143364653072275</v>
      </c>
      <c r="N504" s="304">
        <f t="shared" ca="1" si="220"/>
        <v>69.576354370938645</v>
      </c>
      <c r="P504" s="310">
        <f t="shared" ca="1" si="221"/>
        <v>15</v>
      </c>
      <c r="Q504" s="304">
        <f t="shared" ca="1" si="222"/>
        <v>2233.1157105263246</v>
      </c>
      <c r="R504" s="306">
        <f t="shared" ca="1" si="223"/>
        <v>1.3429380326646898</v>
      </c>
      <c r="S504" s="307">
        <f t="shared" ca="1" si="224"/>
        <v>13.781683264268754</v>
      </c>
      <c r="T504" s="304">
        <f t="shared" ca="1" si="204"/>
        <v>135.19831282247648</v>
      </c>
      <c r="U504" s="311">
        <f t="shared" ca="1" si="205"/>
        <v>0</v>
      </c>
      <c r="V504" s="306">
        <f t="shared" ca="1" si="206"/>
        <v>1.1049349815759282</v>
      </c>
      <c r="W504" s="304">
        <f t="shared" ca="1" si="207"/>
        <v>1186.685968658694</v>
      </c>
      <c r="Y504" s="314" t="str">
        <f t="shared" ca="1" si="225"/>
        <v/>
      </c>
      <c r="Z504" s="315" t="str">
        <f t="shared" ca="1" si="226"/>
        <v/>
      </c>
      <c r="AA504" s="316" t="str">
        <f t="shared" ca="1" si="227"/>
        <v/>
      </c>
      <c r="AC504" s="310">
        <f t="shared" ca="1" si="228"/>
        <v>4.9999999999999378</v>
      </c>
      <c r="AD504" s="323">
        <f t="shared" ca="1" si="229"/>
        <v>362.92770451983478</v>
      </c>
      <c r="AE504" s="324">
        <f t="shared" ca="1" si="208"/>
        <v>1030.6297761396038</v>
      </c>
      <c r="AG504" s="306">
        <f t="shared" ca="1" si="230"/>
        <v>66.964888505379406</v>
      </c>
      <c r="AH504" s="304">
        <f t="shared" ca="1" si="231"/>
        <v>76.158481810811793</v>
      </c>
    </row>
    <row r="505" spans="1:34" x14ac:dyDescent="0.2">
      <c r="A505" s="347">
        <f t="shared" ca="1" si="209"/>
        <v>0.01</v>
      </c>
      <c r="B505" s="304">
        <f t="shared" ca="1" si="210"/>
        <v>5.0099999999999376</v>
      </c>
      <c r="D505" s="306">
        <f t="shared" ca="1" si="211"/>
        <v>26.485662796645769</v>
      </c>
      <c r="E505" s="307">
        <f t="shared" ca="1" si="212"/>
        <v>61.317939830547544</v>
      </c>
      <c r="F505" s="304">
        <f t="shared" ca="1" si="213"/>
        <v>66.7935631542462</v>
      </c>
      <c r="G505" s="306">
        <f t="shared" ca="1" si="214"/>
        <v>152.25323085693071</v>
      </c>
      <c r="H505" s="307">
        <f t="shared" ca="1" si="215"/>
        <v>408.78193168150705</v>
      </c>
      <c r="I505" s="304">
        <f t="shared" ca="1" si="216"/>
        <v>436.21521520419043</v>
      </c>
      <c r="J505" s="306">
        <f t="shared" ca="1" si="217"/>
        <v>364.44891254526425</v>
      </c>
      <c r="K505" s="307">
        <f t="shared" ca="1" si="218"/>
        <v>1034.7145295594273</v>
      </c>
      <c r="L505" s="304">
        <f t="shared" ca="1" si="203"/>
        <v>1097.0219539903533</v>
      </c>
      <c r="M505" s="306">
        <f t="shared" ca="1" si="219"/>
        <v>1.2142579883080225</v>
      </c>
      <c r="N505" s="304">
        <f t="shared" ca="1" si="220"/>
        <v>69.571857970095351</v>
      </c>
      <c r="P505" s="310">
        <f t="shared" ca="1" si="221"/>
        <v>15</v>
      </c>
      <c r="Q505" s="304">
        <f t="shared" ca="1" si="222"/>
        <v>2231.6847706767003</v>
      </c>
      <c r="R505" s="306">
        <f t="shared" ca="1" si="223"/>
        <v>1.342077502447891</v>
      </c>
      <c r="S505" s="307">
        <f t="shared" ca="1" si="224"/>
        <v>13.768262489244275</v>
      </c>
      <c r="T505" s="304">
        <f t="shared" ca="1" si="204"/>
        <v>135.06665501948635</v>
      </c>
      <c r="U505" s="311">
        <f t="shared" ca="1" si="205"/>
        <v>0</v>
      </c>
      <c r="V505" s="306">
        <f t="shared" ca="1" si="206"/>
        <v>1.1044825290422569</v>
      </c>
      <c r="W505" s="304">
        <f t="shared" ca="1" si="207"/>
        <v>1189.836246958582</v>
      </c>
      <c r="Y505" s="314" t="str">
        <f t="shared" ca="1" si="225"/>
        <v/>
      </c>
      <c r="Z505" s="315" t="str">
        <f t="shared" ca="1" si="226"/>
        <v/>
      </c>
      <c r="AA505" s="316" t="str">
        <f t="shared" ca="1" si="227"/>
        <v/>
      </c>
      <c r="AC505" s="310" t="e">
        <f t="shared" ca="1" si="228"/>
        <v>#N/A</v>
      </c>
      <c r="AD505" s="323" t="e">
        <f t="shared" ca="1" si="229"/>
        <v>#N/A</v>
      </c>
      <c r="AE505" s="324">
        <f t="shared" ca="1" si="208"/>
        <v>1034.7145295594273</v>
      </c>
      <c r="AG505" s="306">
        <f t="shared" ca="1" si="230"/>
        <v>66.705780792038922</v>
      </c>
      <c r="AH505" s="304">
        <f t="shared" ca="1" si="231"/>
        <v>75.899105121968446</v>
      </c>
    </row>
    <row r="506" spans="1:34" x14ac:dyDescent="0.2">
      <c r="A506" s="347">
        <f t="shared" ca="1" si="209"/>
        <v>0.01</v>
      </c>
      <c r="B506" s="304">
        <f t="shared" ca="1" si="210"/>
        <v>5.0199999999999374</v>
      </c>
      <c r="D506" s="306">
        <f t="shared" ca="1" si="211"/>
        <v>26.400826454574222</v>
      </c>
      <c r="E506" s="307">
        <f t="shared" ca="1" si="212"/>
        <v>61.073099001230929</v>
      </c>
      <c r="F506" s="304">
        <f t="shared" ca="1" si="213"/>
        <v>66.535156564771839</v>
      </c>
      <c r="G506" s="306">
        <f t="shared" ca="1" si="214"/>
        <v>152.51723912147645</v>
      </c>
      <c r="H506" s="307">
        <f t="shared" ca="1" si="215"/>
        <v>409.39266267151936</v>
      </c>
      <c r="I506" s="304">
        <f t="shared" ca="1" si="216"/>
        <v>436.87968650249013</v>
      </c>
      <c r="J506" s="306">
        <f t="shared" ca="1" si="217"/>
        <v>365.97276489515627</v>
      </c>
      <c r="K506" s="307">
        <f t="shared" ca="1" si="218"/>
        <v>1038.8054025311924</v>
      </c>
      <c r="L506" s="304">
        <f t="shared" ca="1" si="203"/>
        <v>1101.3867299786202</v>
      </c>
      <c r="M506" s="306">
        <f t="shared" ca="1" si="219"/>
        <v>1.2141796141544641</v>
      </c>
      <c r="N506" s="304">
        <f t="shared" ca="1" si="220"/>
        <v>69.567367461873545</v>
      </c>
      <c r="P506" s="310">
        <f t="shared" ca="1" si="221"/>
        <v>15</v>
      </c>
      <c r="Q506" s="304">
        <f t="shared" ca="1" si="222"/>
        <v>2230.2538308270764</v>
      </c>
      <c r="R506" s="306">
        <f t="shared" ca="1" si="223"/>
        <v>1.3412169722310925</v>
      </c>
      <c r="S506" s="307">
        <f t="shared" ca="1" si="224"/>
        <v>13.754850319521964</v>
      </c>
      <c r="T506" s="304">
        <f t="shared" ca="1" si="204"/>
        <v>134.93508163451048</v>
      </c>
      <c r="U506" s="311">
        <f t="shared" ca="1" si="205"/>
        <v>0</v>
      </c>
      <c r="V506" s="306">
        <f t="shared" ca="1" si="206"/>
        <v>1.1040295747545046</v>
      </c>
      <c r="W506" s="304">
        <f t="shared" ca="1" si="207"/>
        <v>1192.9744331865863</v>
      </c>
      <c r="Y506" s="314" t="str">
        <f t="shared" ca="1" si="225"/>
        <v/>
      </c>
      <c r="Z506" s="315" t="str">
        <f t="shared" ca="1" si="226"/>
        <v/>
      </c>
      <c r="AA506" s="316" t="str">
        <f t="shared" ca="1" si="227"/>
        <v/>
      </c>
      <c r="AC506" s="310" t="e">
        <f t="shared" ca="1" si="228"/>
        <v>#N/A</v>
      </c>
      <c r="AD506" s="323" t="e">
        <f t="shared" ca="1" si="229"/>
        <v>#N/A</v>
      </c>
      <c r="AE506" s="324">
        <f t="shared" ca="1" si="208"/>
        <v>1038.8054025311924</v>
      </c>
      <c r="AG506" s="306">
        <f t="shared" ca="1" si="230"/>
        <v>66.446995653128027</v>
      </c>
      <c r="AH506" s="304">
        <f t="shared" ca="1" si="231"/>
        <v>75.640051305527621</v>
      </c>
    </row>
    <row r="507" spans="1:34" x14ac:dyDescent="0.2">
      <c r="A507" s="347">
        <f t="shared" ca="1" si="209"/>
        <v>0.01</v>
      </c>
      <c r="B507" s="304">
        <f t="shared" ca="1" si="210"/>
        <v>5.0299999999999372</v>
      </c>
      <c r="D507" s="306">
        <f t="shared" ca="1" si="211"/>
        <v>26.316058765469748</v>
      </c>
      <c r="E507" s="307">
        <f t="shared" ca="1" si="212"/>
        <v>60.828581127441666</v>
      </c>
      <c r="F507" s="304">
        <f t="shared" ca="1" si="213"/>
        <v>66.277079227478097</v>
      </c>
      <c r="G507" s="306">
        <f t="shared" ca="1" si="214"/>
        <v>152.78039970913116</v>
      </c>
      <c r="H507" s="307">
        <f t="shared" ca="1" si="215"/>
        <v>410.00094848279377</v>
      </c>
      <c r="I507" s="304">
        <f t="shared" ca="1" si="216"/>
        <v>437.54157321570301</v>
      </c>
      <c r="J507" s="306">
        <f t="shared" ca="1" si="217"/>
        <v>367.49925308930932</v>
      </c>
      <c r="K507" s="307">
        <f t="shared" ca="1" si="218"/>
        <v>1042.902370586964</v>
      </c>
      <c r="L507" s="304">
        <f t="shared" ca="1" si="203"/>
        <v>1105.7581361206933</v>
      </c>
      <c r="M507" s="306">
        <f t="shared" ca="1" si="219"/>
        <v>1.2141013420939166</v>
      </c>
      <c r="N507" s="304">
        <f t="shared" ca="1" si="220"/>
        <v>69.562882803150387</v>
      </c>
      <c r="P507" s="310">
        <f t="shared" ca="1" si="221"/>
        <v>15</v>
      </c>
      <c r="Q507" s="304">
        <f t="shared" ca="1" si="222"/>
        <v>2228.8228909774525</v>
      </c>
      <c r="R507" s="306">
        <f t="shared" ca="1" si="223"/>
        <v>1.3403564420142939</v>
      </c>
      <c r="S507" s="307">
        <f t="shared" ca="1" si="224"/>
        <v>13.741446755101821</v>
      </c>
      <c r="T507" s="304">
        <f t="shared" ca="1" si="204"/>
        <v>134.80359266754888</v>
      </c>
      <c r="U507" s="311">
        <f t="shared" ca="1" si="205"/>
        <v>0</v>
      </c>
      <c r="V507" s="306">
        <f t="shared" ca="1" si="206"/>
        <v>1.1035761221080651</v>
      </c>
      <c r="W507" s="304">
        <f t="shared" ca="1" si="207"/>
        <v>1196.1004900331391</v>
      </c>
      <c r="Y507" s="314" t="str">
        <f t="shared" ca="1" si="225"/>
        <v/>
      </c>
      <c r="Z507" s="315" t="str">
        <f t="shared" ca="1" si="226"/>
        <v/>
      </c>
      <c r="AA507" s="316" t="str">
        <f t="shared" ca="1" si="227"/>
        <v/>
      </c>
      <c r="AC507" s="310" t="e">
        <f t="shared" ca="1" si="228"/>
        <v>#N/A</v>
      </c>
      <c r="AD507" s="323" t="e">
        <f t="shared" ca="1" si="229"/>
        <v>#N/A</v>
      </c>
      <c r="AE507" s="324">
        <f t="shared" ca="1" si="208"/>
        <v>1042.902370586964</v>
      </c>
      <c r="AG507" s="306">
        <f t="shared" ca="1" si="230"/>
        <v>66.18853729102608</v>
      </c>
      <c r="AH507" s="304">
        <f t="shared" ca="1" si="231"/>
        <v>75.381324561497436</v>
      </c>
    </row>
    <row r="508" spans="1:34" x14ac:dyDescent="0.2">
      <c r="A508" s="347">
        <f t="shared" ca="1" si="209"/>
        <v>0.01</v>
      </c>
      <c r="B508" s="304">
        <f t="shared" ca="1" si="210"/>
        <v>5.039999999999937</v>
      </c>
      <c r="D508" s="306">
        <f t="shared" ca="1" si="211"/>
        <v>26.23136138484923</v>
      </c>
      <c r="E508" s="307">
        <f t="shared" ca="1" si="212"/>
        <v>60.584390041252988</v>
      </c>
      <c r="F508" s="304">
        <f t="shared" ca="1" si="213"/>
        <v>66.019335325139664</v>
      </c>
      <c r="G508" s="306">
        <f t="shared" ca="1" si="214"/>
        <v>153.04271332297967</v>
      </c>
      <c r="H508" s="307">
        <f t="shared" ca="1" si="215"/>
        <v>410.60679238320631</v>
      </c>
      <c r="I508" s="304">
        <f t="shared" ca="1" si="216"/>
        <v>438.20087865325559</v>
      </c>
      <c r="J508" s="306">
        <f t="shared" ca="1" si="217"/>
        <v>369.02836865446989</v>
      </c>
      <c r="K508" s="307">
        <f t="shared" ca="1" si="218"/>
        <v>1047.005409291294</v>
      </c>
      <c r="L508" s="304">
        <f t="shared" ca="1" si="203"/>
        <v>1110.1361465860884</v>
      </c>
      <c r="M508" s="306">
        <f t="shared" ca="1" si="219"/>
        <v>1.2140231713793919</v>
      </c>
      <c r="N508" s="304">
        <f t="shared" ca="1" si="220"/>
        <v>69.558403951126593</v>
      </c>
      <c r="P508" s="310">
        <f t="shared" ca="1" si="221"/>
        <v>15</v>
      </c>
      <c r="Q508" s="304">
        <f t="shared" ca="1" si="222"/>
        <v>2227.3919511278282</v>
      </c>
      <c r="R508" s="306">
        <f t="shared" ca="1" si="223"/>
        <v>1.3394959117974952</v>
      </c>
      <c r="S508" s="307">
        <f t="shared" ca="1" si="224"/>
        <v>13.728051795983847</v>
      </c>
      <c r="T508" s="304">
        <f t="shared" ca="1" si="204"/>
        <v>134.67218811860155</v>
      </c>
      <c r="U508" s="311">
        <f t="shared" ca="1" si="205"/>
        <v>0</v>
      </c>
      <c r="V508" s="306">
        <f t="shared" ca="1" si="206"/>
        <v>1.1031221744908535</v>
      </c>
      <c r="W508" s="304">
        <f t="shared" ca="1" si="207"/>
        <v>1199.2143809115089</v>
      </c>
      <c r="Y508" s="314" t="str">
        <f t="shared" ca="1" si="225"/>
        <v/>
      </c>
      <c r="Z508" s="315" t="str">
        <f t="shared" ca="1" si="226"/>
        <v/>
      </c>
      <c r="AA508" s="316" t="str">
        <f t="shared" ca="1" si="227"/>
        <v/>
      </c>
      <c r="AC508" s="310" t="e">
        <f t="shared" ca="1" si="228"/>
        <v>#N/A</v>
      </c>
      <c r="AD508" s="323" t="e">
        <f t="shared" ca="1" si="229"/>
        <v>#N/A</v>
      </c>
      <c r="AE508" s="324">
        <f t="shared" ca="1" si="208"/>
        <v>1047.005409291294</v>
      </c>
      <c r="AG508" s="306">
        <f t="shared" ca="1" si="230"/>
        <v>65.930409870414294</v>
      </c>
      <c r="AH508" s="304">
        <f t="shared" ca="1" si="231"/>
        <v>75.122929052204938</v>
      </c>
    </row>
    <row r="509" spans="1:34" x14ac:dyDescent="0.2">
      <c r="A509" s="347">
        <f t="shared" ca="1" si="209"/>
        <v>0.01</v>
      </c>
      <c r="B509" s="304">
        <f t="shared" ca="1" si="210"/>
        <v>5.0499999999999368</v>
      </c>
      <c r="D509" s="306">
        <f t="shared" ca="1" si="211"/>
        <v>26.14673595495471</v>
      </c>
      <c r="E509" s="307">
        <f t="shared" ca="1" si="212"/>
        <v>60.340529539406504</v>
      </c>
      <c r="F509" s="304">
        <f t="shared" ca="1" si="213"/>
        <v>65.76192900298858</v>
      </c>
      <c r="G509" s="306">
        <f t="shared" ca="1" si="214"/>
        <v>153.30418068252922</v>
      </c>
      <c r="H509" s="307">
        <f t="shared" ca="1" si="215"/>
        <v>411.21019767860037</v>
      </c>
      <c r="I509" s="304">
        <f t="shared" ca="1" si="216"/>
        <v>438.85760616584412</v>
      </c>
      <c r="J509" s="306">
        <f t="shared" ca="1" si="217"/>
        <v>370.56010312449746</v>
      </c>
      <c r="K509" s="307">
        <f t="shared" ca="1" si="218"/>
        <v>1051.1144942416031</v>
      </c>
      <c r="L509" s="304">
        <f t="shared" ca="1" si="203"/>
        <v>1114.5207355775931</v>
      </c>
      <c r="M509" s="306">
        <f t="shared" ca="1" si="219"/>
        <v>1.2139451012694937</v>
      </c>
      <c r="N509" s="304">
        <f t="shared" ca="1" si="220"/>
        <v>69.553930863323302</v>
      </c>
      <c r="P509" s="310">
        <f t="shared" ca="1" si="221"/>
        <v>15</v>
      </c>
      <c r="Q509" s="304">
        <f t="shared" ca="1" si="222"/>
        <v>2225.9610112782043</v>
      </c>
      <c r="R509" s="306">
        <f t="shared" ca="1" si="223"/>
        <v>1.3386353815806966</v>
      </c>
      <c r="S509" s="307">
        <f t="shared" ca="1" si="224"/>
        <v>13.714665442168039</v>
      </c>
      <c r="T509" s="304">
        <f t="shared" ca="1" si="204"/>
        <v>134.54086798766846</v>
      </c>
      <c r="U509" s="311">
        <f t="shared" ca="1" si="205"/>
        <v>0</v>
      </c>
      <c r="V509" s="306">
        <f t="shared" ca="1" si="206"/>
        <v>1.1026677352832619</v>
      </c>
      <c r="W509" s="304">
        <f t="shared" ca="1" si="207"/>
        <v>1202.3160699549571</v>
      </c>
      <c r="Y509" s="314" t="str">
        <f t="shared" ca="1" si="225"/>
        <v/>
      </c>
      <c r="Z509" s="315" t="str">
        <f t="shared" ca="1" si="226"/>
        <v/>
      </c>
      <c r="AA509" s="316" t="str">
        <f t="shared" ca="1" si="227"/>
        <v/>
      </c>
      <c r="AC509" s="310" t="e">
        <f t="shared" ca="1" si="228"/>
        <v>#N/A</v>
      </c>
      <c r="AD509" s="323" t="e">
        <f t="shared" ca="1" si="229"/>
        <v>#N/A</v>
      </c>
      <c r="AE509" s="324">
        <f t="shared" ca="1" si="208"/>
        <v>1051.1144942416031</v>
      </c>
      <c r="AG509" s="306">
        <f t="shared" ca="1" si="230"/>
        <v>65.672617518271124</v>
      </c>
      <c r="AH509" s="304">
        <f t="shared" ca="1" si="231"/>
        <v>74.86486890229132</v>
      </c>
    </row>
    <row r="510" spans="1:34" x14ac:dyDescent="0.2">
      <c r="A510" s="347">
        <f t="shared" ca="1" si="209"/>
        <v>0.01</v>
      </c>
      <c r="B510" s="304">
        <f t="shared" ca="1" si="210"/>
        <v>5.0599999999999365</v>
      </c>
      <c r="D510" s="306">
        <f t="shared" ca="1" si="211"/>
        <v>26.062184104747807</v>
      </c>
      <c r="E510" s="307">
        <f t="shared" ca="1" si="212"/>
        <v>60.097003383311858</v>
      </c>
      <c r="F510" s="304">
        <f t="shared" ca="1" si="213"/>
        <v>65.504864368713612</v>
      </c>
      <c r="G510" s="306">
        <f t="shared" ca="1" si="214"/>
        <v>153.5648025235767</v>
      </c>
      <c r="H510" s="307">
        <f t="shared" ca="1" si="215"/>
        <v>411.81116771243347</v>
      </c>
      <c r="I510" s="304">
        <f t="shared" ca="1" si="216"/>
        <v>439.51175914505762</v>
      </c>
      <c r="J510" s="306">
        <f t="shared" ca="1" si="217"/>
        <v>372.09444804052799</v>
      </c>
      <c r="K510" s="307">
        <f t="shared" ca="1" si="218"/>
        <v>1055.2296010685582</v>
      </c>
      <c r="L510" s="304">
        <f t="shared" ca="1" si="203"/>
        <v>1118.9118773316752</v>
      </c>
      <c r="M510" s="306">
        <f t="shared" ca="1" si="219"/>
        <v>1.2138671310283655</v>
      </c>
      <c r="N510" s="304">
        <f t="shared" ca="1" si="220"/>
        <v>69.54946349757904</v>
      </c>
      <c r="P510" s="310">
        <f t="shared" ca="1" si="221"/>
        <v>15</v>
      </c>
      <c r="Q510" s="304">
        <f t="shared" ca="1" si="222"/>
        <v>2224.5300714285804</v>
      </c>
      <c r="R510" s="306">
        <f t="shared" ca="1" si="223"/>
        <v>1.3377748513638981</v>
      </c>
      <c r="S510" s="307">
        <f t="shared" ca="1" si="224"/>
        <v>13.7012876936544</v>
      </c>
      <c r="T510" s="304">
        <f t="shared" ca="1" si="204"/>
        <v>134.40963227474967</v>
      </c>
      <c r="U510" s="311">
        <f t="shared" ca="1" si="205"/>
        <v>0</v>
      </c>
      <c r="V510" s="306">
        <f t="shared" ca="1" si="206"/>
        <v>1.1022128078581124</v>
      </c>
      <c r="W510" s="304">
        <f t="shared" ca="1" si="207"/>
        <v>1205.405522013845</v>
      </c>
      <c r="Y510" s="314" t="str">
        <f t="shared" ca="1" si="225"/>
        <v/>
      </c>
      <c r="Z510" s="315" t="str">
        <f t="shared" ca="1" si="226"/>
        <v/>
      </c>
      <c r="AA510" s="316" t="str">
        <f t="shared" ca="1" si="227"/>
        <v/>
      </c>
      <c r="AC510" s="310" t="e">
        <f t="shared" ca="1" si="228"/>
        <v>#N/A</v>
      </c>
      <c r="AD510" s="323" t="e">
        <f t="shared" ca="1" si="229"/>
        <v>#N/A</v>
      </c>
      <c r="AE510" s="324">
        <f t="shared" ca="1" si="208"/>
        <v>1055.2296010685582</v>
      </c>
      <c r="AG510" s="306">
        <f t="shared" ca="1" si="230"/>
        <v>65.415164323869689</v>
      </c>
      <c r="AH510" s="304">
        <f t="shared" ca="1" si="231"/>
        <v>74.607148198709112</v>
      </c>
    </row>
    <row r="511" spans="1:34" x14ac:dyDescent="0.2">
      <c r="A511" s="347">
        <f t="shared" ca="1" si="209"/>
        <v>0.01</v>
      </c>
      <c r="B511" s="304">
        <f t="shared" ca="1" si="210"/>
        <v>5.0699999999999363</v>
      </c>
      <c r="D511" s="306">
        <f t="shared" ca="1" si="211"/>
        <v>25.977707449905537</v>
      </c>
      <c r="E511" s="307">
        <f t="shared" ca="1" si="212"/>
        <v>59.853815299050282</v>
      </c>
      <c r="F511" s="304">
        <f t="shared" ca="1" si="213"/>
        <v>65.248145492463635</v>
      </c>
      <c r="G511" s="306">
        <f t="shared" ca="1" si="214"/>
        <v>153.82457959807576</v>
      </c>
      <c r="H511" s="307">
        <f t="shared" ca="1" si="215"/>
        <v>412.40970586542397</v>
      </c>
      <c r="I511" s="304">
        <f t="shared" ca="1" si="216"/>
        <v>440.1633410230005</v>
      </c>
      <c r="J511" s="306">
        <f t="shared" ca="1" si="217"/>
        <v>373.63139495113626</v>
      </c>
      <c r="K511" s="307">
        <f t="shared" ca="1" si="218"/>
        <v>1059.3507054364475</v>
      </c>
      <c r="L511" s="304">
        <f t="shared" ca="1" si="203"/>
        <v>1123.3095461188918</v>
      </c>
      <c r="M511" s="306">
        <f t="shared" ca="1" si="219"/>
        <v>1.2137892599256352</v>
      </c>
      <c r="N511" s="304">
        <f t="shared" ca="1" si="220"/>
        <v>69.545001812046564</v>
      </c>
      <c r="P511" s="310">
        <f t="shared" ca="1" si="221"/>
        <v>15</v>
      </c>
      <c r="Q511" s="304">
        <f t="shared" ca="1" si="222"/>
        <v>2223.0991315789565</v>
      </c>
      <c r="R511" s="306">
        <f t="shared" ca="1" si="223"/>
        <v>1.3369143211470995</v>
      </c>
      <c r="S511" s="307">
        <f t="shared" ca="1" si="224"/>
        <v>13.68791855044293</v>
      </c>
      <c r="T511" s="304">
        <f t="shared" ca="1" si="204"/>
        <v>134.27848097984514</v>
      </c>
      <c r="U511" s="311">
        <f t="shared" ca="1" si="205"/>
        <v>0</v>
      </c>
      <c r="V511" s="306">
        <f t="shared" ca="1" si="206"/>
        <v>1.1017573955806104</v>
      </c>
      <c r="W511" s="304">
        <f t="shared" ca="1" si="207"/>
        <v>1208.4827026527053</v>
      </c>
      <c r="Y511" s="314" t="str">
        <f t="shared" ca="1" si="225"/>
        <v/>
      </c>
      <c r="Z511" s="315" t="str">
        <f t="shared" ca="1" si="226"/>
        <v/>
      </c>
      <c r="AA511" s="316" t="str">
        <f t="shared" ca="1" si="227"/>
        <v/>
      </c>
      <c r="AC511" s="310" t="e">
        <f t="shared" ca="1" si="228"/>
        <v>#N/A</v>
      </c>
      <c r="AD511" s="323" t="e">
        <f t="shared" ca="1" si="229"/>
        <v>#N/A</v>
      </c>
      <c r="AE511" s="324">
        <f t="shared" ca="1" si="208"/>
        <v>1059.3507054364475</v>
      </c>
      <c r="AG511" s="306">
        <f t="shared" ca="1" si="230"/>
        <v>65.158054338779436</v>
      </c>
      <c r="AH511" s="304">
        <f t="shared" ca="1" si="231"/>
        <v>74.349770990723769</v>
      </c>
    </row>
    <row r="512" spans="1:34" x14ac:dyDescent="0.2">
      <c r="A512" s="347">
        <f t="shared" ca="1" si="209"/>
        <v>0.01</v>
      </c>
      <c r="B512" s="304">
        <f t="shared" ca="1" si="210"/>
        <v>5.0799999999999361</v>
      </c>
      <c r="D512" s="306">
        <f t="shared" ca="1" si="211"/>
        <v>25.893307592817095</v>
      </c>
      <c r="E512" s="307">
        <f t="shared" ca="1" si="212"/>
        <v>59.610968977380693</v>
      </c>
      <c r="F512" s="304">
        <f t="shared" ca="1" si="213"/>
        <v>64.991776406853845</v>
      </c>
      <c r="G512" s="306">
        <f t="shared" ca="1" si="214"/>
        <v>154.08351267400394</v>
      </c>
      <c r="H512" s="307">
        <f t="shared" ca="1" si="215"/>
        <v>413.00581555519778</v>
      </c>
      <c r="I512" s="304">
        <f t="shared" ca="1" si="216"/>
        <v>440.81235527191615</v>
      </c>
      <c r="J512" s="306">
        <f t="shared" ca="1" si="217"/>
        <v>375.17093541249665</v>
      </c>
      <c r="K512" s="307">
        <f t="shared" ca="1" si="218"/>
        <v>1063.4777830435505</v>
      </c>
      <c r="L512" s="304">
        <f t="shared" ca="1" si="203"/>
        <v>1127.7137162442925</v>
      </c>
      <c r="M512" s="306">
        <f t="shared" ca="1" si="219"/>
        <v>1.2137114872363628</v>
      </c>
      <c r="N512" s="304">
        <f t="shared" ca="1" si="220"/>
        <v>69.540545765189876</v>
      </c>
      <c r="P512" s="310">
        <f t="shared" ca="1" si="221"/>
        <v>15</v>
      </c>
      <c r="Q512" s="304">
        <f t="shared" ca="1" si="222"/>
        <v>2221.6681917293322</v>
      </c>
      <c r="R512" s="306">
        <f t="shared" ca="1" si="223"/>
        <v>1.3360537909303007</v>
      </c>
      <c r="S512" s="307">
        <f t="shared" ca="1" si="224"/>
        <v>13.674558012533627</v>
      </c>
      <c r="T512" s="304">
        <f t="shared" ca="1" si="204"/>
        <v>134.14741410295488</v>
      </c>
      <c r="U512" s="311">
        <f t="shared" ca="1" si="205"/>
        <v>0</v>
      </c>
      <c r="V512" s="306">
        <f t="shared" ca="1" si="206"/>
        <v>1.1013015018083017</v>
      </c>
      <c r="W512" s="304">
        <f t="shared" ca="1" si="207"/>
        <v>1211.5475781472796</v>
      </c>
      <c r="Y512" s="314" t="str">
        <f t="shared" ca="1" si="225"/>
        <v/>
      </c>
      <c r="Z512" s="315" t="str">
        <f t="shared" ca="1" si="226"/>
        <v/>
      </c>
      <c r="AA512" s="316" t="str">
        <f t="shared" ca="1" si="227"/>
        <v/>
      </c>
      <c r="AC512" s="310" t="e">
        <f t="shared" ca="1" si="228"/>
        <v>#N/A</v>
      </c>
      <c r="AD512" s="323" t="e">
        <f t="shared" ca="1" si="229"/>
        <v>#N/A</v>
      </c>
      <c r="AE512" s="324">
        <f t="shared" ca="1" si="208"/>
        <v>1063.4777830435505</v>
      </c>
      <c r="AG512" s="306">
        <f t="shared" ca="1" si="230"/>
        <v>64.901291576870506</v>
      </c>
      <c r="AH512" s="304">
        <f t="shared" ca="1" si="231"/>
        <v>74.092741289917825</v>
      </c>
    </row>
    <row r="513" spans="1:34" x14ac:dyDescent="0.2">
      <c r="A513" s="347">
        <f t="shared" ca="1" si="209"/>
        <v>0.01</v>
      </c>
      <c r="B513" s="304">
        <f t="shared" ca="1" si="210"/>
        <v>5.0899999999999359</v>
      </c>
      <c r="D513" s="306">
        <f t="shared" ca="1" si="211"/>
        <v>25.808986122581729</v>
      </c>
      <c r="E513" s="307">
        <f t="shared" ca="1" si="212"/>
        <v>59.368468073748801</v>
      </c>
      <c r="F513" s="304">
        <f t="shared" ca="1" si="213"/>
        <v>64.735761106975076</v>
      </c>
      <c r="G513" s="306">
        <f t="shared" ca="1" si="214"/>
        <v>154.34160253522975</v>
      </c>
      <c r="H513" s="307">
        <f t="shared" ca="1" si="215"/>
        <v>413.5995002359353</v>
      </c>
      <c r="I513" s="304">
        <f t="shared" ca="1" si="216"/>
        <v>441.45880540380921</v>
      </c>
      <c r="J513" s="306">
        <f t="shared" ca="1" si="217"/>
        <v>376.71306098854279</v>
      </c>
      <c r="K513" s="307">
        <f t="shared" ca="1" si="218"/>
        <v>1067.6108096225062</v>
      </c>
      <c r="L513" s="304">
        <f t="shared" ca="1" si="203"/>
        <v>1132.1243620478187</v>
      </c>
      <c r="M513" s="306">
        <f t="shared" ca="1" si="219"/>
        <v>1.213633812240988</v>
      </c>
      <c r="N513" s="304">
        <f t="shared" ca="1" si="220"/>
        <v>69.536095315781196</v>
      </c>
      <c r="P513" s="310">
        <f t="shared" ca="1" si="221"/>
        <v>15</v>
      </c>
      <c r="Q513" s="304">
        <f t="shared" ca="1" si="222"/>
        <v>2220.2372518797083</v>
      </c>
      <c r="R513" s="306">
        <f t="shared" ca="1" si="223"/>
        <v>1.3351932607135022</v>
      </c>
      <c r="S513" s="307">
        <f t="shared" ca="1" si="224"/>
        <v>13.661206079926492</v>
      </c>
      <c r="T513" s="304">
        <f t="shared" ca="1" si="204"/>
        <v>134.01643164407889</v>
      </c>
      <c r="U513" s="311">
        <f t="shared" ca="1" si="205"/>
        <v>0</v>
      </c>
      <c r="V513" s="306">
        <f t="shared" ca="1" si="206"/>
        <v>1.100845129891024</v>
      </c>
      <c r="W513" s="304">
        <f t="shared" ca="1" si="207"/>
        <v>1214.6001154815028</v>
      </c>
      <c r="Y513" s="314" t="str">
        <f t="shared" ca="1" si="225"/>
        <v/>
      </c>
      <c r="Z513" s="315" t="str">
        <f t="shared" ca="1" si="226"/>
        <v/>
      </c>
      <c r="AA513" s="316" t="str">
        <f t="shared" ca="1" si="227"/>
        <v/>
      </c>
      <c r="AC513" s="310" t="e">
        <f t="shared" ca="1" si="228"/>
        <v>#N/A</v>
      </c>
      <c r="AD513" s="323" t="e">
        <f t="shared" ca="1" si="229"/>
        <v>#N/A</v>
      </c>
      <c r="AE513" s="324">
        <f t="shared" ca="1" si="208"/>
        <v>1067.6108096225062</v>
      </c>
      <c r="AG513" s="306">
        <f t="shared" ca="1" si="230"/>
        <v>64.644880014321231</v>
      </c>
      <c r="AH513" s="304">
        <f t="shared" ca="1" si="231"/>
        <v>73.836063070198279</v>
      </c>
    </row>
    <row r="514" spans="1:34" x14ac:dyDescent="0.2">
      <c r="A514" s="347">
        <f t="shared" ca="1" si="209"/>
        <v>0.01</v>
      </c>
      <c r="B514" s="304">
        <f t="shared" ca="1" si="210"/>
        <v>5.0999999999999357</v>
      </c>
      <c r="D514" s="306">
        <f t="shared" ca="1" si="211"/>
        <v>25.724744615007872</v>
      </c>
      <c r="E514" s="307">
        <f t="shared" ca="1" si="212"/>
        <v>59.126316208299784</v>
      </c>
      <c r="F514" s="304">
        <f t="shared" ca="1" si="213"/>
        <v>64.480103550407165</v>
      </c>
      <c r="G514" s="306">
        <f t="shared" ca="1" si="214"/>
        <v>154.59884998137983</v>
      </c>
      <c r="H514" s="307">
        <f t="shared" ca="1" si="215"/>
        <v>414.1907633980183</v>
      </c>
      <c r="I514" s="304">
        <f t="shared" ca="1" si="216"/>
        <v>442.10269497006954</v>
      </c>
      <c r="J514" s="306">
        <f t="shared" ca="1" si="217"/>
        <v>378.25776325112582</v>
      </c>
      <c r="K514" s="307">
        <f t="shared" ca="1" si="218"/>
        <v>1071.749760940676</v>
      </c>
      <c r="L514" s="304">
        <f t="shared" ca="1" si="203"/>
        <v>1136.5414579046999</v>
      </c>
      <c r="M514" s="306">
        <f t="shared" ca="1" si="219"/>
        <v>1.213556234225279</v>
      </c>
      <c r="N514" s="304">
        <f t="shared" ca="1" si="220"/>
        <v>69.531650422898082</v>
      </c>
      <c r="P514" s="310">
        <f t="shared" ca="1" si="221"/>
        <v>15</v>
      </c>
      <c r="Q514" s="304">
        <f t="shared" ca="1" si="222"/>
        <v>2218.8063120300844</v>
      </c>
      <c r="R514" s="306">
        <f t="shared" ca="1" si="223"/>
        <v>1.3343327304967036</v>
      </c>
      <c r="S514" s="307">
        <f t="shared" ca="1" si="224"/>
        <v>13.647862752621524</v>
      </c>
      <c r="T514" s="304">
        <f t="shared" ca="1" si="204"/>
        <v>133.88553360321717</v>
      </c>
      <c r="U514" s="311">
        <f t="shared" ca="1" si="205"/>
        <v>0</v>
      </c>
      <c r="V514" s="306">
        <f t="shared" ca="1" si="206"/>
        <v>1.1003882831708689</v>
      </c>
      <c r="W514" s="304">
        <f t="shared" ca="1" si="207"/>
        <v>1217.6402823444735</v>
      </c>
      <c r="Y514" s="314" t="str">
        <f t="shared" ca="1" si="225"/>
        <v/>
      </c>
      <c r="Z514" s="315" t="str">
        <f t="shared" ca="1" si="226"/>
        <v/>
      </c>
      <c r="AA514" s="316" t="str">
        <f t="shared" ca="1" si="227"/>
        <v/>
      </c>
      <c r="AC514" s="310" t="e">
        <f t="shared" ca="1" si="228"/>
        <v>#N/A</v>
      </c>
      <c r="AD514" s="323" t="e">
        <f t="shared" ca="1" si="229"/>
        <v>#N/A</v>
      </c>
      <c r="AE514" s="324">
        <f t="shared" ca="1" si="208"/>
        <v>1071.749760940676</v>
      </c>
      <c r="AG514" s="306">
        <f t="shared" ca="1" si="230"/>
        <v>64.388823589629638</v>
      </c>
      <c r="AH514" s="304">
        <f t="shared" ca="1" si="231"/>
        <v>73.579740267807907</v>
      </c>
    </row>
    <row r="515" spans="1:34" x14ac:dyDescent="0.2">
      <c r="A515" s="347">
        <f t="shared" ca="1" si="209"/>
        <v>0.01</v>
      </c>
      <c r="B515" s="304">
        <f t="shared" ca="1" si="210"/>
        <v>5.1099999999999355</v>
      </c>
      <c r="D515" s="306">
        <f t="shared" ca="1" si="211"/>
        <v>25.64058463261285</v>
      </c>
      <c r="E515" s="307">
        <f t="shared" ca="1" si="212"/>
        <v>58.8845169658928</v>
      </c>
      <c r="F515" s="304">
        <f t="shared" ca="1" si="213"/>
        <v>64.224807657233967</v>
      </c>
      <c r="G515" s="306">
        <f t="shared" ca="1" si="214"/>
        <v>154.85525582770595</v>
      </c>
      <c r="H515" s="307">
        <f t="shared" ca="1" si="215"/>
        <v>414.77960856767726</v>
      </c>
      <c r="I515" s="304">
        <f t="shared" ca="1" si="216"/>
        <v>442.74402756109521</v>
      </c>
      <c r="J515" s="306">
        <f t="shared" ca="1" si="217"/>
        <v>379.80503378017124</v>
      </c>
      <c r="K515" s="307">
        <f t="shared" ca="1" si="218"/>
        <v>1075.8946128005045</v>
      </c>
      <c r="L515" s="304">
        <f t="shared" ca="1" si="203"/>
        <v>1140.9649782258457</v>
      </c>
      <c r="M515" s="306">
        <f t="shared" ca="1" si="219"/>
        <v>1.213478752480281</v>
      </c>
      <c r="N515" s="304">
        <f t="shared" ca="1" si="220"/>
        <v>69.527211045920382</v>
      </c>
      <c r="P515" s="310">
        <f t="shared" ca="1" si="221"/>
        <v>15</v>
      </c>
      <c r="Q515" s="304">
        <f t="shared" ca="1" si="222"/>
        <v>2217.3753721804601</v>
      </c>
      <c r="R515" s="306">
        <f t="shared" ca="1" si="223"/>
        <v>1.3334722002799049</v>
      </c>
      <c r="S515" s="307">
        <f t="shared" ca="1" si="224"/>
        <v>13.634528030618725</v>
      </c>
      <c r="T515" s="304">
        <f t="shared" ca="1" si="204"/>
        <v>133.75471998036969</v>
      </c>
      <c r="U515" s="311">
        <f t="shared" ca="1" si="205"/>
        <v>0</v>
      </c>
      <c r="V515" s="306">
        <f t="shared" ca="1" si="206"/>
        <v>1.0999309649821325</v>
      </c>
      <c r="W515" s="304">
        <f t="shared" ca="1" si="207"/>
        <v>1220.6680471273667</v>
      </c>
      <c r="Y515" s="314" t="str">
        <f t="shared" ca="1" si="225"/>
        <v/>
      </c>
      <c r="Z515" s="315" t="str">
        <f t="shared" ca="1" si="226"/>
        <v/>
      </c>
      <c r="AA515" s="316" t="str">
        <f t="shared" ca="1" si="227"/>
        <v/>
      </c>
      <c r="AC515" s="310" t="e">
        <f t="shared" ca="1" si="228"/>
        <v>#N/A</v>
      </c>
      <c r="AD515" s="323" t="e">
        <f t="shared" ca="1" si="229"/>
        <v>#N/A</v>
      </c>
      <c r="AE515" s="324">
        <f t="shared" ca="1" si="208"/>
        <v>1075.8946128005045</v>
      </c>
      <c r="AG515" s="306">
        <f t="shared" ca="1" si="230"/>
        <v>64.13312620362656</v>
      </c>
      <c r="AH515" s="304">
        <f t="shared" ca="1" si="231"/>
        <v>73.323776781338239</v>
      </c>
    </row>
    <row r="516" spans="1:34" x14ac:dyDescent="0.2">
      <c r="A516" s="347">
        <f t="shared" ca="1" si="209"/>
        <v>0.01</v>
      </c>
      <c r="B516" s="304">
        <f t="shared" ca="1" si="210"/>
        <v>5.1199999999999353</v>
      </c>
      <c r="D516" s="306">
        <f t="shared" ca="1" si="211"/>
        <v>25.556507724624282</v>
      </c>
      <c r="E516" s="307">
        <f t="shared" ca="1" si="212"/>
        <v>58.643073896119702</v>
      </c>
      <c r="F516" s="304">
        <f t="shared" ca="1" si="213"/>
        <v>63.969877310063183</v>
      </c>
      <c r="G516" s="306">
        <f t="shared" ca="1" si="214"/>
        <v>155.11082090495219</v>
      </c>
      <c r="H516" s="307">
        <f t="shared" ca="1" si="215"/>
        <v>415.36603930663847</v>
      </c>
      <c r="I516" s="304">
        <f t="shared" ca="1" si="216"/>
        <v>443.38280680591583</v>
      </c>
      <c r="J516" s="306">
        <f t="shared" ca="1" si="217"/>
        <v>381.35486416383452</v>
      </c>
      <c r="K516" s="307">
        <f t="shared" ca="1" si="218"/>
        <v>1080.0453410398761</v>
      </c>
      <c r="L516" s="304">
        <f t="shared" ref="L516:L579" ca="1" si="232">SQRT(pos_x^2+pos_z^2)</f>
        <v>1145.3948974582343</v>
      </c>
      <c r="M516" s="306">
        <f t="shared" ca="1" si="219"/>
        <v>1.213401366302266</v>
      </c>
      <c r="N516" s="304">
        <f t="shared" ca="1" si="220"/>
        <v>69.522777144527467</v>
      </c>
      <c r="P516" s="310">
        <f t="shared" ca="1" si="221"/>
        <v>15</v>
      </c>
      <c r="Q516" s="304">
        <f t="shared" ca="1" si="222"/>
        <v>2215.9444323308362</v>
      </c>
      <c r="R516" s="306">
        <f t="shared" ca="1" si="223"/>
        <v>1.3326116700631063</v>
      </c>
      <c r="S516" s="307">
        <f t="shared" ca="1" si="224"/>
        <v>13.621201913918094</v>
      </c>
      <c r="T516" s="304">
        <f t="shared" ref="T516:T579" ca="1" si="233">m*g</f>
        <v>133.6239907755365</v>
      </c>
      <c r="U516" s="311">
        <f t="shared" ref="U516:U579" ca="1" si="234">IF(pos_xz&lt;L_rampe,Poids*COS(Beta),0)</f>
        <v>0</v>
      </c>
      <c r="V516" s="306">
        <f t="shared" ref="V516:V579" ca="1" si="235">Rho_moyen*(20000-Alt_rampe-pos_z)/(20000+Alt_rampe+pos_z)</f>
        <v>1.0994731786512768</v>
      </c>
      <c r="W516" s="304">
        <f t="shared" ref="W516:W579" ca="1" si="236">1/2*Rho*Sref*Cx*vit_xz^2</f>
        <v>1223.6833789203213</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1080.0453410398761</v>
      </c>
      <c r="AG516" s="306">
        <f t="shared" ca="1" si="230"/>
        <v>63.877791719493537</v>
      </c>
      <c r="AH516" s="304">
        <f t="shared" ca="1" si="231"/>
        <v>73.068176471747307</v>
      </c>
    </row>
    <row r="517" spans="1:34" x14ac:dyDescent="0.2">
      <c r="A517" s="347">
        <f t="shared" ref="A517:A580" ca="1" si="238">IF(B516+0.01&lt;=T_ini+ROUNDUP(Temps_fin_propu,0), 0.01, IF(K516&gt;0, 0.1, 0.0001))</f>
        <v>0.01</v>
      </c>
      <c r="B517" s="304">
        <f t="shared" ref="B517:B580" ca="1" si="239">B516+pas</f>
        <v>5.1299999999999351</v>
      </c>
      <c r="D517" s="306">
        <f t="shared" ref="D517:D580" ca="1" si="240">IF(AND(L516&lt;L_rampe,Poussee&lt;Poids*SIN(M516)),0,(-W516+Poussee)/m*COS(M516)-U516/m*SIN(M516))</f>
        <v>25.47251542698206</v>
      </c>
      <c r="E517" s="307">
        <f t="shared" ref="E517:E580" ca="1" si="241">IF(AND(L516&lt;L_rampe,Poussee&lt;Poids*SIN(M516)),0,(-W516+Poussee)/m*SIN(M516)+U516/m*COS(M516)-Poids/m)</f>
        <v>58.401990513325828</v>
      </c>
      <c r="F517" s="304">
        <f t="shared" ref="F517:F580" ca="1" si="242">SQRT(acc_x^2+acc_z^2)</f>
        <v>63.715316354048177</v>
      </c>
      <c r="G517" s="306">
        <f t="shared" ref="G517:G580" ca="1" si="243">G516+acc_x*pas</f>
        <v>155.36554605922203</v>
      </c>
      <c r="H517" s="307">
        <f t="shared" ref="H517:H580" ca="1" si="244">H516+acc_z*pas</f>
        <v>415.9500592117717</v>
      </c>
      <c r="I517" s="304">
        <f t="shared" ref="I517:I580" ca="1" si="245">SQRT(vit_x^2+vit_z^2)</f>
        <v>444.01903637181664</v>
      </c>
      <c r="J517" s="306">
        <f t="shared" ref="J517:J580" ca="1" si="246">J516+0.5*(vit_x+G516)*pas*(K516&gt;=0)</f>
        <v>382.90724599865541</v>
      </c>
      <c r="K517" s="307">
        <f t="shared" ref="K517:K580" ca="1" si="247">K516+0.5*(vit_z+H516)*pas</f>
        <v>1084.2019215324681</v>
      </c>
      <c r="L517" s="304">
        <f t="shared" ca="1" si="232"/>
        <v>1149.8311900852973</v>
      </c>
      <c r="M517" s="306">
        <f t="shared" ref="M517:M580" ca="1" si="248">IF(AND(L516&gt;L_rampe,G517&gt;0),ATAN2(G517,H517),$M$4)</f>
        <v>1.2133240749926832</v>
      </c>
      <c r="N517" s="304">
        <f t="shared" ref="N517:N580" ca="1" si="249">DEGREES(Beta)</f>
        <v>69.518348678695347</v>
      </c>
      <c r="P517" s="310">
        <f t="shared" ref="P517:P580" ca="1" si="250">MATCH(t-pas/2-T_ini,CdP_t)</f>
        <v>15</v>
      </c>
      <c r="Q517" s="304">
        <f t="shared" ref="Q517:Q580" ca="1" si="251">(INDEX(CdP,2,i_P+1)-INDEX(CdP,2,i_P+0))/(INDEX(CdP,1,i_P+1)-INDEX(CdP,1,i_P+0))*(t-pas/2-T_ini-INDEX(CdP,1,i_P+0))+INDEX(CdP,2,i_P+0)</f>
        <v>2214.5134924812123</v>
      </c>
      <c r="R517" s="306">
        <f t="shared" ref="R517:R580" ca="1" si="252">Poussee/(g*ISP)</f>
        <v>1.331751139846308</v>
      </c>
      <c r="S517" s="307">
        <f t="shared" ref="S517:S580" ca="1" si="253">S516-Débit*pas</f>
        <v>13.60788440251963</v>
      </c>
      <c r="T517" s="304">
        <f t="shared" ca="1" si="233"/>
        <v>133.49334598871758</v>
      </c>
      <c r="U517" s="311">
        <f t="shared" ca="1" si="234"/>
        <v>0</v>
      </c>
      <c r="V517" s="306">
        <f t="shared" ca="1" si="235"/>
        <v>1.0990149274968868</v>
      </c>
      <c r="W517" s="304">
        <f t="shared" ca="1" si="236"/>
        <v>1226.6862475092946</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1084.2019215324681</v>
      </c>
      <c r="AG517" s="306">
        <f t="shared" ref="AG517:AG580" ca="1" si="259">IF(AND(L516&lt;L_rampe,Poussee&lt;Poids*SIN(M516)),0,(-W516+Poussee)/m-Poids*SIN(M516)/m)</f>
        <v>63.622823962782689</v>
      </c>
      <c r="AH517" s="304">
        <f t="shared" ref="AH517:AH580" ca="1" si="260">IF(AND(L516&lt;L_rampe,Poussee&lt;Poids*SIN(M516)), g*SIN(M516), (-W516+Poussee)/m)</f>
        <v>72.812943162379398</v>
      </c>
    </row>
    <row r="518" spans="1:34" x14ac:dyDescent="0.2">
      <c r="A518" s="347">
        <f t="shared" ca="1" si="238"/>
        <v>0.01</v>
      </c>
      <c r="B518" s="304">
        <f t="shared" ca="1" si="239"/>
        <v>5.1399999999999348</v>
      </c>
      <c r="D518" s="306">
        <f t="shared" ca="1" si="240"/>
        <v>25.388609262341426</v>
      </c>
      <c r="E518" s="307">
        <f t="shared" ca="1" si="241"/>
        <v>58.161270296633575</v>
      </c>
      <c r="F518" s="304">
        <f t="shared" ca="1" si="242"/>
        <v>63.461128596912928</v>
      </c>
      <c r="G518" s="306">
        <f t="shared" ca="1" si="243"/>
        <v>155.61943215184544</v>
      </c>
      <c r="H518" s="307">
        <f t="shared" ca="1" si="244"/>
        <v>416.53167191473801</v>
      </c>
      <c r="I518" s="304">
        <f t="shared" ca="1" si="245"/>
        <v>444.65271996396217</v>
      </c>
      <c r="J518" s="306">
        <f t="shared" ca="1" si="246"/>
        <v>384.46217088971076</v>
      </c>
      <c r="K518" s="307">
        <f t="shared" ca="1" si="247"/>
        <v>1088.3643301881007</v>
      </c>
      <c r="L518" s="304">
        <f t="shared" ca="1" si="232"/>
        <v>1154.2738306273006</v>
      </c>
      <c r="M518" s="306">
        <f t="shared" ca="1" si="248"/>
        <v>1.2132468778581089</v>
      </c>
      <c r="N518" s="304">
        <f t="shared" ca="1" si="249"/>
        <v>69.513925608693725</v>
      </c>
      <c r="P518" s="310">
        <f t="shared" ca="1" si="250"/>
        <v>15</v>
      </c>
      <c r="Q518" s="304">
        <f t="shared" ca="1" si="251"/>
        <v>2213.082552631588</v>
      </c>
      <c r="R518" s="306">
        <f t="shared" ca="1" si="252"/>
        <v>1.330890609629509</v>
      </c>
      <c r="S518" s="307">
        <f t="shared" ca="1" si="253"/>
        <v>13.594575496423335</v>
      </c>
      <c r="T518" s="304">
        <f t="shared" ca="1" si="233"/>
        <v>133.36278561991293</v>
      </c>
      <c r="U518" s="311">
        <f t="shared" ca="1" si="234"/>
        <v>0</v>
      </c>
      <c r="V518" s="306">
        <f t="shared" ca="1" si="235"/>
        <v>1.0985562148296275</v>
      </c>
      <c r="W518" s="304">
        <f t="shared" ca="1" si="236"/>
        <v>1229.6766233728733</v>
      </c>
      <c r="Y518" s="314" t="str">
        <f t="shared" ca="1" si="254"/>
        <v/>
      </c>
      <c r="Z518" s="315" t="str">
        <f t="shared" ca="1" si="255"/>
        <v/>
      </c>
      <c r="AA518" s="316" t="str">
        <f t="shared" ca="1" si="256"/>
        <v/>
      </c>
      <c r="AC518" s="310" t="e">
        <f t="shared" ca="1" si="257"/>
        <v>#N/A</v>
      </c>
      <c r="AD518" s="323" t="e">
        <f t="shared" ca="1" si="258"/>
        <v>#N/A</v>
      </c>
      <c r="AE518" s="324">
        <f t="shared" ca="1" si="237"/>
        <v>1088.3643301881007</v>
      </c>
      <c r="AG518" s="306">
        <f t="shared" ca="1" si="259"/>
        <v>63.368226721439783</v>
      </c>
      <c r="AH518" s="304">
        <f t="shared" ca="1" si="260"/>
        <v>72.558080638987903</v>
      </c>
    </row>
    <row r="519" spans="1:34" x14ac:dyDescent="0.2">
      <c r="A519" s="347">
        <f t="shared" ca="1" si="238"/>
        <v>0.01</v>
      </c>
      <c r="B519" s="304">
        <f t="shared" ca="1" si="239"/>
        <v>5.1499999999999346</v>
      </c>
      <c r="D519" s="306">
        <f t="shared" ca="1" si="240"/>
        <v>25.304790740077415</v>
      </c>
      <c r="E519" s="307">
        <f t="shared" ca="1" si="241"/>
        <v>57.92091668996963</v>
      </c>
      <c r="F519" s="304">
        <f t="shared" ca="1" si="242"/>
        <v>63.207317808980868</v>
      </c>
      <c r="G519" s="306">
        <f t="shared" ca="1" si="243"/>
        <v>155.87248005924621</v>
      </c>
      <c r="H519" s="307">
        <f t="shared" ca="1" si="244"/>
        <v>417.11088108163773</v>
      </c>
      <c r="I519" s="304">
        <f t="shared" ca="1" si="245"/>
        <v>445.28386132502067</v>
      </c>
      <c r="J519" s="306">
        <f t="shared" ca="1" si="246"/>
        <v>386.01963045076621</v>
      </c>
      <c r="K519" s="307">
        <f t="shared" ca="1" si="247"/>
        <v>1092.5325429530826</v>
      </c>
      <c r="L519" s="304">
        <f t="shared" ca="1" si="232"/>
        <v>1158.7227936417214</v>
      </c>
      <c r="M519" s="306">
        <f t="shared" ca="1" si="248"/>
        <v>1.2131697742101994</v>
      </c>
      <c r="N519" s="304">
        <f t="shared" ca="1" si="249"/>
        <v>69.509507895083459</v>
      </c>
      <c r="P519" s="310">
        <f t="shared" ca="1" si="250"/>
        <v>15</v>
      </c>
      <c r="Q519" s="304">
        <f t="shared" ca="1" si="251"/>
        <v>2211.6516127819641</v>
      </c>
      <c r="R519" s="306">
        <f t="shared" ca="1" si="252"/>
        <v>1.3300300794127107</v>
      </c>
      <c r="S519" s="307">
        <f t="shared" ca="1" si="253"/>
        <v>13.581275195629209</v>
      </c>
      <c r="T519" s="304">
        <f t="shared" ca="1" si="233"/>
        <v>133.23230966912254</v>
      </c>
      <c r="U519" s="311">
        <f t="shared" ca="1" si="234"/>
        <v>0</v>
      </c>
      <c r="V519" s="306">
        <f t="shared" ca="1" si="235"/>
        <v>1.0980970439522055</v>
      </c>
      <c r="W519" s="304">
        <f t="shared" ca="1" si="236"/>
        <v>1232.6544776790606</v>
      </c>
      <c r="Y519" s="314" t="str">
        <f t="shared" ca="1" si="254"/>
        <v/>
      </c>
      <c r="Z519" s="315" t="str">
        <f t="shared" ca="1" si="255"/>
        <v/>
      </c>
      <c r="AA519" s="316" t="str">
        <f t="shared" ca="1" si="256"/>
        <v/>
      </c>
      <c r="AC519" s="310" t="e">
        <f t="shared" ca="1" si="257"/>
        <v>#N/A</v>
      </c>
      <c r="AD519" s="323" t="e">
        <f t="shared" ca="1" si="258"/>
        <v>#N/A</v>
      </c>
      <c r="AE519" s="324">
        <f t="shared" ca="1" si="237"/>
        <v>1092.5325429530826</v>
      </c>
      <c r="AG519" s="306">
        <f t="shared" ca="1" si="259"/>
        <v>63.114003745830949</v>
      </c>
      <c r="AH519" s="304">
        <f t="shared" ca="1" si="260"/>
        <v>72.303592649761981</v>
      </c>
    </row>
    <row r="520" spans="1:34" x14ac:dyDescent="0.2">
      <c r="A520" s="347">
        <f t="shared" ca="1" si="238"/>
        <v>0.01</v>
      </c>
      <c r="B520" s="304">
        <f t="shared" ca="1" si="239"/>
        <v>5.1599999999999344</v>
      </c>
      <c r="D520" s="306">
        <f t="shared" ca="1" si="240"/>
        <v>25.221061356289781</v>
      </c>
      <c r="E520" s="307">
        <f t="shared" ca="1" si="241"/>
        <v>57.680933102094031</v>
      </c>
      <c r="F520" s="304">
        <f t="shared" ca="1" si="242"/>
        <v>62.953887723205632</v>
      </c>
      <c r="G520" s="306">
        <f t="shared" ca="1" si="243"/>
        <v>156.12469067280912</v>
      </c>
      <c r="H520" s="307">
        <f t="shared" ca="1" si="244"/>
        <v>417.6876904126587</v>
      </c>
      <c r="I520" s="304">
        <f t="shared" ca="1" si="245"/>
        <v>445.91246423478827</v>
      </c>
      <c r="J520" s="306">
        <f t="shared" ca="1" si="246"/>
        <v>387.57961630442651</v>
      </c>
      <c r="K520" s="307">
        <f t="shared" ca="1" si="247"/>
        <v>1096.706535810554</v>
      </c>
      <c r="L520" s="304">
        <f t="shared" ca="1" si="232"/>
        <v>1163.1780537236216</v>
      </c>
      <c r="M520" s="306">
        <f t="shared" ca="1" si="248"/>
        <v>1.2130927633656419</v>
      </c>
      <c r="N520" s="304">
        <f t="shared" ca="1" si="249"/>
        <v>69.505095498713573</v>
      </c>
      <c r="P520" s="310">
        <f t="shared" ca="1" si="250"/>
        <v>15</v>
      </c>
      <c r="Q520" s="304">
        <f t="shared" ca="1" si="251"/>
        <v>2210.2206729323402</v>
      </c>
      <c r="R520" s="306">
        <f t="shared" ca="1" si="252"/>
        <v>1.3291695491959121</v>
      </c>
      <c r="S520" s="307">
        <f t="shared" ca="1" si="253"/>
        <v>13.567983500137249</v>
      </c>
      <c r="T520" s="304">
        <f t="shared" ca="1" si="233"/>
        <v>133.10191813634643</v>
      </c>
      <c r="U520" s="311">
        <f t="shared" ca="1" si="234"/>
        <v>0</v>
      </c>
      <c r="V520" s="306">
        <f t="shared" ca="1" si="235"/>
        <v>1.0976374181593258</v>
      </c>
      <c r="W520" s="304">
        <f t="shared" ca="1" si="236"/>
        <v>1235.6197822820222</v>
      </c>
      <c r="Y520" s="314" t="str">
        <f t="shared" ca="1" si="254"/>
        <v/>
      </c>
      <c r="Z520" s="315" t="str">
        <f t="shared" ca="1" si="255"/>
        <v/>
      </c>
      <c r="AA520" s="316" t="str">
        <f t="shared" ca="1" si="256"/>
        <v/>
      </c>
      <c r="AC520" s="310" t="e">
        <f t="shared" ca="1" si="257"/>
        <v>#N/A</v>
      </c>
      <c r="AD520" s="323" t="e">
        <f t="shared" ca="1" si="258"/>
        <v>#N/A</v>
      </c>
      <c r="AE520" s="324">
        <f t="shared" ca="1" si="237"/>
        <v>1096.706535810554</v>
      </c>
      <c r="AG520" s="306">
        <f t="shared" ca="1" si="259"/>
        <v>62.860158748771489</v>
      </c>
      <c r="AH520" s="304">
        <f t="shared" ca="1" si="260"/>
        <v>72.049482905355163</v>
      </c>
    </row>
    <row r="521" spans="1:34" x14ac:dyDescent="0.2">
      <c r="A521" s="347">
        <f t="shared" ca="1" si="238"/>
        <v>0.01</v>
      </c>
      <c r="B521" s="304">
        <f t="shared" ca="1" si="239"/>
        <v>5.1699999999999342</v>
      </c>
      <c r="D521" s="306">
        <f t="shared" ca="1" si="240"/>
        <v>25.137422593809411</v>
      </c>
      <c r="E521" s="307">
        <f t="shared" ca="1" si="241"/>
        <v>57.44132290663272</v>
      </c>
      <c r="F521" s="304">
        <f t="shared" ca="1" si="242"/>
        <v>62.700842035205625</v>
      </c>
      <c r="G521" s="306">
        <f t="shared" ca="1" si="243"/>
        <v>156.37606489874722</v>
      </c>
      <c r="H521" s="307">
        <f t="shared" ca="1" si="244"/>
        <v>418.26210364172505</v>
      </c>
      <c r="I521" s="304">
        <f t="shared" ca="1" si="245"/>
        <v>446.53853250981416</v>
      </c>
      <c r="J521" s="306">
        <f t="shared" ca="1" si="246"/>
        <v>389.14212008228429</v>
      </c>
      <c r="K521" s="307">
        <f t="shared" ca="1" si="247"/>
        <v>1100.8862847808259</v>
      </c>
      <c r="L521" s="304">
        <f t="shared" ca="1" si="232"/>
        <v>1167.6395855060177</v>
      </c>
      <c r="M521" s="306">
        <f t="shared" ca="1" si="248"/>
        <v>1.2130158446461068</v>
      </c>
      <c r="N521" s="304">
        <f t="shared" ca="1" si="249"/>
        <v>69.500688380718657</v>
      </c>
      <c r="P521" s="310">
        <f t="shared" ca="1" si="250"/>
        <v>15</v>
      </c>
      <c r="Q521" s="304">
        <f t="shared" ca="1" si="251"/>
        <v>2208.7897330827159</v>
      </c>
      <c r="R521" s="306">
        <f t="shared" ca="1" si="252"/>
        <v>1.3283090189791134</v>
      </c>
      <c r="S521" s="307">
        <f t="shared" ca="1" si="253"/>
        <v>13.554700409947458</v>
      </c>
      <c r="T521" s="304">
        <f t="shared" ca="1" si="233"/>
        <v>132.97161102158458</v>
      </c>
      <c r="U521" s="311">
        <f t="shared" ca="1" si="234"/>
        <v>0</v>
      </c>
      <c r="V521" s="306">
        <f t="shared" ca="1" si="235"/>
        <v>1.0971773407376553</v>
      </c>
      <c r="W521" s="304">
        <f t="shared" ca="1" si="236"/>
        <v>1238.5725097188076</v>
      </c>
      <c r="Y521" s="314" t="str">
        <f t="shared" ca="1" si="254"/>
        <v/>
      </c>
      <c r="Z521" s="315" t="str">
        <f t="shared" ca="1" si="255"/>
        <v/>
      </c>
      <c r="AA521" s="316" t="str">
        <f t="shared" ca="1" si="256"/>
        <v/>
      </c>
      <c r="AC521" s="310" t="e">
        <f t="shared" ca="1" si="257"/>
        <v>#N/A</v>
      </c>
      <c r="AD521" s="323" t="e">
        <f t="shared" ca="1" si="258"/>
        <v>#N/A</v>
      </c>
      <c r="AE521" s="324">
        <f t="shared" ca="1" si="237"/>
        <v>1100.8862847808259</v>
      </c>
      <c r="AG521" s="306">
        <f t="shared" ca="1" si="259"/>
        <v>62.606695405558412</v>
      </c>
      <c r="AH521" s="304">
        <f t="shared" ca="1" si="260"/>
        <v>71.79575507891775</v>
      </c>
    </row>
    <row r="522" spans="1:34" x14ac:dyDescent="0.2">
      <c r="A522" s="347">
        <f t="shared" ca="1" si="238"/>
        <v>0.01</v>
      </c>
      <c r="B522" s="304">
        <f t="shared" ca="1" si="239"/>
        <v>5.179999999999934</v>
      </c>
      <c r="D522" s="306">
        <f t="shared" ca="1" si="240"/>
        <v>25.05387592220551</v>
      </c>
      <c r="E522" s="307">
        <f t="shared" ca="1" si="241"/>
        <v>57.202089442112509</v>
      </c>
      <c r="F522" s="304">
        <f t="shared" ca="1" si="242"/>
        <v>62.448184403301177</v>
      </c>
      <c r="G522" s="306">
        <f t="shared" ca="1" si="243"/>
        <v>156.62660365796927</v>
      </c>
      <c r="H522" s="307">
        <f t="shared" ca="1" si="244"/>
        <v>418.83412453614619</v>
      </c>
      <c r="I522" s="304">
        <f t="shared" ca="1" si="245"/>
        <v>447.16207000302541</v>
      </c>
      <c r="J522" s="306">
        <f t="shared" ca="1" si="246"/>
        <v>390.70713342506787</v>
      </c>
      <c r="K522" s="307">
        <f t="shared" ca="1" si="247"/>
        <v>1105.0717659217153</v>
      </c>
      <c r="L522" s="304">
        <f t="shared" ca="1" si="232"/>
        <v>1172.1073636602459</v>
      </c>
      <c r="M522" s="306">
        <f t="shared" ca="1" si="248"/>
        <v>1.212939017378202</v>
      </c>
      <c r="N522" s="304">
        <f t="shared" ca="1" si="249"/>
        <v>69.496286502516185</v>
      </c>
      <c r="P522" s="310">
        <f t="shared" ca="1" si="250"/>
        <v>15</v>
      </c>
      <c r="Q522" s="304">
        <f t="shared" ca="1" si="251"/>
        <v>2207.358793233092</v>
      </c>
      <c r="R522" s="306">
        <f t="shared" ca="1" si="252"/>
        <v>1.3274484887623148</v>
      </c>
      <c r="S522" s="307">
        <f t="shared" ca="1" si="253"/>
        <v>13.541425925059835</v>
      </c>
      <c r="T522" s="304">
        <f t="shared" ca="1" si="233"/>
        <v>132.841388324837</v>
      </c>
      <c r="U522" s="311">
        <f t="shared" ca="1" si="234"/>
        <v>0</v>
      </c>
      <c r="V522" s="306">
        <f t="shared" ca="1" si="235"/>
        <v>1.0967168149657811</v>
      </c>
      <c r="W522" s="304">
        <f t="shared" ca="1" si="236"/>
        <v>1241.5126332060318</v>
      </c>
      <c r="Y522" s="314" t="str">
        <f t="shared" ca="1" si="254"/>
        <v/>
      </c>
      <c r="Z522" s="315" t="str">
        <f t="shared" ca="1" si="255"/>
        <v/>
      </c>
      <c r="AA522" s="316" t="str">
        <f t="shared" ca="1" si="256"/>
        <v/>
      </c>
      <c r="AC522" s="310" t="e">
        <f t="shared" ca="1" si="257"/>
        <v>#N/A</v>
      </c>
      <c r="AD522" s="323" t="e">
        <f t="shared" ca="1" si="258"/>
        <v>#N/A</v>
      </c>
      <c r="AE522" s="324">
        <f t="shared" ca="1" si="237"/>
        <v>1105.0717659217153</v>
      </c>
      <c r="AG522" s="306">
        <f t="shared" ca="1" si="259"/>
        <v>62.353617354005415</v>
      </c>
      <c r="AH522" s="304">
        <f t="shared" ca="1" si="260"/>
        <v>71.542412806131694</v>
      </c>
    </row>
    <row r="523" spans="1:34" x14ac:dyDescent="0.2">
      <c r="A523" s="347">
        <f t="shared" ca="1" si="238"/>
        <v>0.01</v>
      </c>
      <c r="B523" s="304">
        <f t="shared" ca="1" si="239"/>
        <v>5.1899999999999338</v>
      </c>
      <c r="D523" s="306">
        <f t="shared" ca="1" si="240"/>
        <v>24.970422797793777</v>
      </c>
      <c r="E523" s="307">
        <f t="shared" ca="1" si="241"/>
        <v>56.963236011998873</v>
      </c>
      <c r="F523" s="304">
        <f t="shared" ca="1" si="242"/>
        <v>62.195918448554686</v>
      </c>
      <c r="G523" s="306">
        <f t="shared" ca="1" si="243"/>
        <v>156.8763078859472</v>
      </c>
      <c r="H523" s="307">
        <f t="shared" ca="1" si="244"/>
        <v>419.4037568962662</v>
      </c>
      <c r="I523" s="304">
        <f t="shared" ca="1" si="245"/>
        <v>447.78308060335291</v>
      </c>
      <c r="J523" s="306">
        <f t="shared" ca="1" si="246"/>
        <v>392.27464798278743</v>
      </c>
      <c r="K523" s="307">
        <f t="shared" ca="1" si="247"/>
        <v>1109.2629553288773</v>
      </c>
      <c r="L523" s="304">
        <f t="shared" ca="1" si="232"/>
        <v>1176.5813628963253</v>
      </c>
      <c r="M523" s="306">
        <f t="shared" ca="1" si="248"/>
        <v>1.2128622808934248</v>
      </c>
      <c r="N523" s="304">
        <f t="shared" ca="1" si="249"/>
        <v>69.491889825803796</v>
      </c>
      <c r="P523" s="310">
        <f t="shared" ca="1" si="250"/>
        <v>15</v>
      </c>
      <c r="Q523" s="304">
        <f t="shared" ca="1" si="251"/>
        <v>2205.9278533834681</v>
      </c>
      <c r="R523" s="306">
        <f t="shared" ca="1" si="252"/>
        <v>1.3265879585455163</v>
      </c>
      <c r="S523" s="307">
        <f t="shared" ca="1" si="253"/>
        <v>13.52816004547438</v>
      </c>
      <c r="T523" s="304">
        <f t="shared" ca="1" si="233"/>
        <v>132.71125004610366</v>
      </c>
      <c r="U523" s="311">
        <f t="shared" ca="1" si="234"/>
        <v>0</v>
      </c>
      <c r="V523" s="306">
        <f t="shared" ca="1" si="235"/>
        <v>1.0962558441141741</v>
      </c>
      <c r="W523" s="304">
        <f t="shared" ca="1" si="236"/>
        <v>1244.4401266365355</v>
      </c>
      <c r="Y523" s="314" t="str">
        <f t="shared" ca="1" si="254"/>
        <v/>
      </c>
      <c r="Z523" s="315" t="str">
        <f t="shared" ca="1" si="255"/>
        <v/>
      </c>
      <c r="AA523" s="316" t="str">
        <f t="shared" ca="1" si="256"/>
        <v/>
      </c>
      <c r="AC523" s="310" t="e">
        <f t="shared" ca="1" si="257"/>
        <v>#N/A</v>
      </c>
      <c r="AD523" s="323" t="e">
        <f t="shared" ca="1" si="258"/>
        <v>#N/A</v>
      </c>
      <c r="AE523" s="324">
        <f t="shared" ca="1" si="237"/>
        <v>1109.2629553288773</v>
      </c>
      <c r="AG523" s="306">
        <f t="shared" ca="1" si="259"/>
        <v>62.100928194481043</v>
      </c>
      <c r="AH523" s="304">
        <f t="shared" ca="1" si="260"/>
        <v>71.289459685248573</v>
      </c>
    </row>
    <row r="524" spans="1:34" x14ac:dyDescent="0.2">
      <c r="A524" s="347">
        <f t="shared" ca="1" si="238"/>
        <v>0.01</v>
      </c>
      <c r="B524" s="304">
        <f t="shared" ca="1" si="239"/>
        <v>5.1999999999999336</v>
      </c>
      <c r="D524" s="306">
        <f t="shared" ca="1" si="240"/>
        <v>24.887064663645628</v>
      </c>
      <c r="E524" s="307">
        <f t="shared" ca="1" si="241"/>
        <v>56.724765884736158</v>
      </c>
      <c r="F524" s="304">
        <f t="shared" ca="1" si="242"/>
        <v>61.944047754813425</v>
      </c>
      <c r="G524" s="306">
        <f t="shared" ca="1" si="243"/>
        <v>157.12517853258365</v>
      </c>
      <c r="H524" s="307">
        <f t="shared" ca="1" si="244"/>
        <v>419.97100455511355</v>
      </c>
      <c r="I524" s="304">
        <f t="shared" ca="1" si="245"/>
        <v>448.40156823535699</v>
      </c>
      <c r="J524" s="306">
        <f t="shared" ca="1" si="246"/>
        <v>393.84465541488009</v>
      </c>
      <c r="K524" s="307">
        <f t="shared" ca="1" si="247"/>
        <v>1113.4598291361342</v>
      </c>
      <c r="L524" s="304">
        <f t="shared" ca="1" si="232"/>
        <v>1181.0615579633159</v>
      </c>
      <c r="M524" s="306">
        <f t="shared" ca="1" si="248"/>
        <v>1.2127856345281185</v>
      </c>
      <c r="N524" s="304">
        <f t="shared" ca="1" si="249"/>
        <v>69.487498312556724</v>
      </c>
      <c r="P524" s="310">
        <f t="shared" ca="1" si="250"/>
        <v>15</v>
      </c>
      <c r="Q524" s="304">
        <f t="shared" ca="1" si="251"/>
        <v>2204.4969135338438</v>
      </c>
      <c r="R524" s="306">
        <f t="shared" ca="1" si="252"/>
        <v>1.3257274283287175</v>
      </c>
      <c r="S524" s="307">
        <f t="shared" ca="1" si="253"/>
        <v>13.514902771191093</v>
      </c>
      <c r="T524" s="304">
        <f t="shared" ca="1" si="233"/>
        <v>132.58119618538461</v>
      </c>
      <c r="U524" s="311">
        <f t="shared" ca="1" si="234"/>
        <v>0</v>
      </c>
      <c r="V524" s="306">
        <f t="shared" ca="1" si="235"/>
        <v>1.09579443144515</v>
      </c>
      <c r="W524" s="304">
        <f t="shared" ca="1" si="236"/>
        <v>1247.3549645760068</v>
      </c>
      <c r="Y524" s="314" t="str">
        <f t="shared" ca="1" si="254"/>
        <v/>
      </c>
      <c r="Z524" s="315" t="str">
        <f t="shared" ca="1" si="255"/>
        <v/>
      </c>
      <c r="AA524" s="316" t="str">
        <f t="shared" ca="1" si="256"/>
        <v/>
      </c>
      <c r="AC524" s="310" t="e">
        <f t="shared" ca="1" si="257"/>
        <v>#N/A</v>
      </c>
      <c r="AD524" s="323" t="e">
        <f t="shared" ca="1" si="258"/>
        <v>#N/A</v>
      </c>
      <c r="AE524" s="324">
        <f t="shared" ca="1" si="237"/>
        <v>1113.4598291361342</v>
      </c>
      <c r="AG524" s="306">
        <f t="shared" ca="1" si="259"/>
        <v>61.848631489949319</v>
      </c>
      <c r="AH524" s="304">
        <f t="shared" ca="1" si="260"/>
        <v>71.036899277130118</v>
      </c>
    </row>
    <row r="525" spans="1:34" x14ac:dyDescent="0.2">
      <c r="A525" s="347">
        <f t="shared" ca="1" si="238"/>
        <v>0.01</v>
      </c>
      <c r="B525" s="304">
        <f t="shared" ca="1" si="239"/>
        <v>5.2099999999999334</v>
      </c>
      <c r="D525" s="306">
        <f t="shared" ca="1" si="240"/>
        <v>24.803802949598317</v>
      </c>
      <c r="E525" s="307">
        <f t="shared" ca="1" si="241"/>
        <v>56.486682293791034</v>
      </c>
      <c r="F525" s="304">
        <f t="shared" ca="1" si="242"/>
        <v>61.692575868755782</v>
      </c>
      <c r="G525" s="306">
        <f t="shared" ca="1" si="243"/>
        <v>157.37321656207962</v>
      </c>
      <c r="H525" s="307">
        <f t="shared" ca="1" si="244"/>
        <v>420.53587137805147</v>
      </c>
      <c r="I525" s="304">
        <f t="shared" ca="1" si="245"/>
        <v>449.01753685885393</v>
      </c>
      <c r="J525" s="306">
        <f t="shared" ca="1" si="246"/>
        <v>395.41714739035342</v>
      </c>
      <c r="K525" s="307">
        <f t="shared" ca="1" si="247"/>
        <v>1117.6623635158001</v>
      </c>
      <c r="L525" s="304">
        <f t="shared" ca="1" si="232"/>
        <v>1185.5479236496722</v>
      </c>
      <c r="M525" s="306">
        <f t="shared" ca="1" si="248"/>
        <v>1.2127090776234246</v>
      </c>
      <c r="N525" s="304">
        <f t="shared" ca="1" si="249"/>
        <v>69.48311192502517</v>
      </c>
      <c r="P525" s="310">
        <f t="shared" ca="1" si="250"/>
        <v>15</v>
      </c>
      <c r="Q525" s="304">
        <f t="shared" ca="1" si="251"/>
        <v>2203.0659736842199</v>
      </c>
      <c r="R525" s="306">
        <f t="shared" ca="1" si="252"/>
        <v>1.3248668981119189</v>
      </c>
      <c r="S525" s="307">
        <f t="shared" ca="1" si="253"/>
        <v>13.501654102209974</v>
      </c>
      <c r="T525" s="304">
        <f t="shared" ca="1" si="233"/>
        <v>132.45122674267986</v>
      </c>
      <c r="U525" s="311">
        <f t="shared" ca="1" si="234"/>
        <v>0</v>
      </c>
      <c r="V525" s="306">
        <f t="shared" ca="1" si="235"/>
        <v>1.0953325802128306</v>
      </c>
      <c r="W525" s="304">
        <f t="shared" ca="1" si="236"/>
        <v>1250.2571222595736</v>
      </c>
      <c r="Y525" s="314" t="str">
        <f t="shared" ca="1" si="254"/>
        <v/>
      </c>
      <c r="Z525" s="315" t="str">
        <f t="shared" ca="1" si="255"/>
        <v/>
      </c>
      <c r="AA525" s="316" t="str">
        <f t="shared" ca="1" si="256"/>
        <v/>
      </c>
      <c r="AC525" s="310" t="e">
        <f t="shared" ca="1" si="257"/>
        <v>#N/A</v>
      </c>
      <c r="AD525" s="323" t="e">
        <f t="shared" ca="1" si="258"/>
        <v>#N/A</v>
      </c>
      <c r="AE525" s="324">
        <f t="shared" ca="1" si="237"/>
        <v>1117.6623635158001</v>
      </c>
      <c r="AG525" s="306">
        <f t="shared" ca="1" si="259"/>
        <v>61.596730766013749</v>
      </c>
      <c r="AH525" s="304">
        <f t="shared" ca="1" si="260"/>
        <v>70.784735105292071</v>
      </c>
    </row>
    <row r="526" spans="1:34" x14ac:dyDescent="0.2">
      <c r="A526" s="347">
        <f t="shared" ca="1" si="238"/>
        <v>0.01</v>
      </c>
      <c r="B526" s="304">
        <f t="shared" ca="1" si="239"/>
        <v>5.2199999999999331</v>
      </c>
      <c r="D526" s="306">
        <f t="shared" ca="1" si="240"/>
        <v>24.720639072266263</v>
      </c>
      <c r="E526" s="307">
        <f t="shared" ca="1" si="241"/>
        <v>56.24898843769823</v>
      </c>
      <c r="F526" s="304">
        <f t="shared" ca="1" si="242"/>
        <v>61.441506299939995</v>
      </c>
      <c r="G526" s="306">
        <f t="shared" ca="1" si="243"/>
        <v>157.62042295280227</v>
      </c>
      <c r="H526" s="307">
        <f t="shared" ca="1" si="244"/>
        <v>421.09836126242845</v>
      </c>
      <c r="I526" s="304">
        <f t="shared" ca="1" si="245"/>
        <v>449.63099046854302</v>
      </c>
      <c r="J526" s="306">
        <f t="shared" ca="1" si="246"/>
        <v>396.99211558792786</v>
      </c>
      <c r="K526" s="307">
        <f t="shared" ca="1" si="247"/>
        <v>1121.8705346790025</v>
      </c>
      <c r="L526" s="304">
        <f t="shared" ca="1" si="232"/>
        <v>1190.0404347835959</v>
      </c>
      <c r="M526" s="306">
        <f t="shared" ca="1" si="248"/>
        <v>1.2126326095252398</v>
      </c>
      <c r="N526" s="304">
        <f t="shared" ca="1" si="249"/>
        <v>69.478730625731785</v>
      </c>
      <c r="P526" s="310">
        <f t="shared" ca="1" si="250"/>
        <v>15</v>
      </c>
      <c r="Q526" s="304">
        <f t="shared" ca="1" si="251"/>
        <v>2201.635033834596</v>
      </c>
      <c r="R526" s="306">
        <f t="shared" ca="1" si="252"/>
        <v>1.3240063678951204</v>
      </c>
      <c r="S526" s="307">
        <f t="shared" ca="1" si="253"/>
        <v>13.488414038531022</v>
      </c>
      <c r="T526" s="304">
        <f t="shared" ca="1" si="233"/>
        <v>132.32134171798933</v>
      </c>
      <c r="U526" s="311">
        <f t="shared" ca="1" si="234"/>
        <v>0</v>
      </c>
      <c r="V526" s="306">
        <f t="shared" ca="1" si="235"/>
        <v>1.0948702936631118</v>
      </c>
      <c r="W526" s="304">
        <f t="shared" ca="1" si="236"/>
        <v>1253.1465755883805</v>
      </c>
      <c r="Y526" s="314" t="str">
        <f t="shared" ca="1" si="254"/>
        <v/>
      </c>
      <c r="Z526" s="315" t="str">
        <f t="shared" ca="1" si="255"/>
        <v/>
      </c>
      <c r="AA526" s="316" t="str">
        <f t="shared" ca="1" si="256"/>
        <v/>
      </c>
      <c r="AC526" s="310" t="e">
        <f t="shared" ca="1" si="257"/>
        <v>#N/A</v>
      </c>
      <c r="AD526" s="323" t="e">
        <f t="shared" ca="1" si="258"/>
        <v>#N/A</v>
      </c>
      <c r="AE526" s="324">
        <f t="shared" ca="1" si="237"/>
        <v>1121.8705346790025</v>
      </c>
      <c r="AG526" s="306">
        <f t="shared" ca="1" si="259"/>
        <v>61.345229510963996</v>
      </c>
      <c r="AH526" s="304">
        <f t="shared" ca="1" si="260"/>
        <v>70.53297065595072</v>
      </c>
    </row>
    <row r="527" spans="1:34" x14ac:dyDescent="0.2">
      <c r="A527" s="347">
        <f t="shared" ca="1" si="238"/>
        <v>0.01</v>
      </c>
      <c r="B527" s="304">
        <f t="shared" ca="1" si="239"/>
        <v>5.2299999999999329</v>
      </c>
      <c r="D527" s="306">
        <f t="shared" ca="1" si="240"/>
        <v>24.637574435052787</v>
      </c>
      <c r="E527" s="307">
        <f t="shared" ca="1" si="241"/>
        <v>56.011687480108222</v>
      </c>
      <c r="F527" s="304">
        <f t="shared" ca="1" si="242"/>
        <v>61.190842520855021</v>
      </c>
      <c r="G527" s="306">
        <f t="shared" ca="1" si="243"/>
        <v>157.8667986971528</v>
      </c>
      <c r="H527" s="307">
        <f t="shared" ca="1" si="244"/>
        <v>421.65847813722957</v>
      </c>
      <c r="I527" s="304">
        <f t="shared" ca="1" si="245"/>
        <v>450.24193309363341</v>
      </c>
      <c r="J527" s="306">
        <f t="shared" ca="1" si="246"/>
        <v>398.56955169617765</v>
      </c>
      <c r="K527" s="307">
        <f t="shared" ca="1" si="247"/>
        <v>1126.0843188760009</v>
      </c>
      <c r="L527" s="304">
        <f t="shared" ca="1" si="232"/>
        <v>1194.5390662333814</v>
      </c>
      <c r="M527" s="306">
        <f t="shared" ca="1" si="248"/>
        <v>1.212556229584171</v>
      </c>
      <c r="N527" s="304">
        <f t="shared" ca="1" si="249"/>
        <v>69.474354377469083</v>
      </c>
      <c r="P527" s="310">
        <f t="shared" ca="1" si="250"/>
        <v>15</v>
      </c>
      <c r="Q527" s="304">
        <f t="shared" ca="1" si="251"/>
        <v>2200.2040939849721</v>
      </c>
      <c r="R527" s="306">
        <f t="shared" ca="1" si="252"/>
        <v>1.3231458376783218</v>
      </c>
      <c r="S527" s="307">
        <f t="shared" ca="1" si="253"/>
        <v>13.47518258015424</v>
      </c>
      <c r="T527" s="304">
        <f t="shared" ca="1" si="233"/>
        <v>132.19154111131309</v>
      </c>
      <c r="U527" s="311">
        <f t="shared" ca="1" si="234"/>
        <v>0</v>
      </c>
      <c r="V527" s="306">
        <f t="shared" ca="1" si="235"/>
        <v>1.0944075750336215</v>
      </c>
      <c r="W527" s="304">
        <f t="shared" ca="1" si="236"/>
        <v>1256.0233011261128</v>
      </c>
      <c r="Y527" s="314" t="str">
        <f t="shared" ca="1" si="254"/>
        <v/>
      </c>
      <c r="Z527" s="315" t="str">
        <f t="shared" ca="1" si="255"/>
        <v/>
      </c>
      <c r="AA527" s="316" t="str">
        <f t="shared" ca="1" si="256"/>
        <v/>
      </c>
      <c r="AC527" s="310" t="e">
        <f t="shared" ca="1" si="257"/>
        <v>#N/A</v>
      </c>
      <c r="AD527" s="323" t="e">
        <f t="shared" ca="1" si="258"/>
        <v>#N/A</v>
      </c>
      <c r="AE527" s="324">
        <f t="shared" ca="1" si="237"/>
        <v>1126.0843188760009</v>
      </c>
      <c r="AG527" s="306">
        <f t="shared" ca="1" si="259"/>
        <v>61.094131175824423</v>
      </c>
      <c r="AH527" s="304">
        <f t="shared" ca="1" si="260"/>
        <v>70.281609378071323</v>
      </c>
    </row>
    <row r="528" spans="1:34" x14ac:dyDescent="0.2">
      <c r="A528" s="347">
        <f t="shared" ca="1" si="238"/>
        <v>0.01</v>
      </c>
      <c r="B528" s="304">
        <f t="shared" ca="1" si="239"/>
        <v>5.2399999999999327</v>
      </c>
      <c r="D528" s="306">
        <f t="shared" ca="1" si="240"/>
        <v>24.554610428163581</v>
      </c>
      <c r="E528" s="307">
        <f t="shared" ca="1" si="241"/>
        <v>55.774782549839188</v>
      </c>
      <c r="F528" s="304">
        <f t="shared" ca="1" si="242"/>
        <v>60.940587966975876</v>
      </c>
      <c r="G528" s="306">
        <f t="shared" ca="1" si="243"/>
        <v>158.11234480143443</v>
      </c>
      <c r="H528" s="307">
        <f t="shared" ca="1" si="244"/>
        <v>422.21622596272795</v>
      </c>
      <c r="I528" s="304">
        <f t="shared" ca="1" si="245"/>
        <v>450.85036879747258</v>
      </c>
      <c r="J528" s="306">
        <f t="shared" ca="1" si="246"/>
        <v>400.1494474136706</v>
      </c>
      <c r="K528" s="307">
        <f t="shared" ca="1" si="247"/>
        <v>1130.3036923965008</v>
      </c>
      <c r="L528" s="304">
        <f t="shared" ca="1" si="232"/>
        <v>1199.0437929077609</v>
      </c>
      <c r="M528" s="306">
        <f t="shared" ca="1" si="248"/>
        <v>1.2124799371554917</v>
      </c>
      <c r="N528" s="304">
        <f t="shared" ca="1" si="249"/>
        <v>69.469983143296972</v>
      </c>
      <c r="P528" s="310">
        <f t="shared" ca="1" si="250"/>
        <v>15</v>
      </c>
      <c r="Q528" s="304">
        <f t="shared" ca="1" si="251"/>
        <v>2198.7731541353478</v>
      </c>
      <c r="R528" s="306">
        <f t="shared" ca="1" si="252"/>
        <v>1.3222853074615231</v>
      </c>
      <c r="S528" s="307">
        <f t="shared" ca="1" si="253"/>
        <v>13.461959727079625</v>
      </c>
      <c r="T528" s="304">
        <f t="shared" ca="1" si="233"/>
        <v>132.06182492265114</v>
      </c>
      <c r="U528" s="311">
        <f t="shared" ca="1" si="234"/>
        <v>0</v>
      </c>
      <c r="V528" s="306">
        <f t="shared" ca="1" si="235"/>
        <v>1.0939444275536889</v>
      </c>
      <c r="W528" s="304">
        <f t="shared" ca="1" si="236"/>
        <v>1258.8872760955207</v>
      </c>
      <c r="Y528" s="314" t="str">
        <f t="shared" ca="1" si="254"/>
        <v/>
      </c>
      <c r="Z528" s="315" t="str">
        <f t="shared" ca="1" si="255"/>
        <v/>
      </c>
      <c r="AA528" s="316" t="str">
        <f t="shared" ca="1" si="256"/>
        <v/>
      </c>
      <c r="AC528" s="310" t="e">
        <f t="shared" ca="1" si="257"/>
        <v>#N/A</v>
      </c>
      <c r="AD528" s="323" t="e">
        <f t="shared" ca="1" si="258"/>
        <v>#N/A</v>
      </c>
      <c r="AE528" s="324">
        <f t="shared" ca="1" si="237"/>
        <v>1130.3036923965008</v>
      </c>
      <c r="AG528" s="306">
        <f t="shared" ca="1" si="259"/>
        <v>60.843439174407216</v>
      </c>
      <c r="AH528" s="304">
        <f t="shared" ca="1" si="260"/>
        <v>70.030654683421105</v>
      </c>
    </row>
    <row r="529" spans="1:34" x14ac:dyDescent="0.2">
      <c r="A529" s="347">
        <f t="shared" ca="1" si="238"/>
        <v>0.01</v>
      </c>
      <c r="B529" s="304">
        <f t="shared" ca="1" si="239"/>
        <v>5.2499999999999325</v>
      </c>
      <c r="D529" s="306">
        <f t="shared" ca="1" si="240"/>
        <v>24.471748428620344</v>
      </c>
      <c r="E529" s="307">
        <f t="shared" ca="1" si="241"/>
        <v>55.538276740929476</v>
      </c>
      <c r="F529" s="304">
        <f t="shared" ca="1" si="242"/>
        <v>60.690746036819732</v>
      </c>
      <c r="G529" s="306">
        <f t="shared" ca="1" si="243"/>
        <v>158.35706228572064</v>
      </c>
      <c r="H529" s="307">
        <f t="shared" ca="1" si="244"/>
        <v>422.77160873013725</v>
      </c>
      <c r="I529" s="304">
        <f t="shared" ca="1" si="245"/>
        <v>451.45630167717439</v>
      </c>
      <c r="J529" s="306">
        <f t="shared" ca="1" si="246"/>
        <v>401.73179444910636</v>
      </c>
      <c r="K529" s="307">
        <f t="shared" ca="1" si="247"/>
        <v>1134.528631569965</v>
      </c>
      <c r="L529" s="304">
        <f t="shared" ca="1" si="232"/>
        <v>1203.5545897562422</v>
      </c>
      <c r="M529" s="306">
        <f t="shared" ca="1" si="248"/>
        <v>1.2124037315990994</v>
      </c>
      <c r="N529" s="304">
        <f t="shared" ca="1" si="249"/>
        <v>69.465616886540246</v>
      </c>
      <c r="P529" s="310">
        <f t="shared" ca="1" si="250"/>
        <v>15</v>
      </c>
      <c r="Q529" s="304">
        <f t="shared" ca="1" si="251"/>
        <v>2197.3422142857239</v>
      </c>
      <c r="R529" s="306">
        <f t="shared" ca="1" si="252"/>
        <v>1.3214247772447245</v>
      </c>
      <c r="S529" s="307">
        <f t="shared" ca="1" si="253"/>
        <v>13.448745479307178</v>
      </c>
      <c r="T529" s="304">
        <f t="shared" ca="1" si="233"/>
        <v>131.93219315200341</v>
      </c>
      <c r="U529" s="311">
        <f t="shared" ca="1" si="234"/>
        <v>0</v>
      </c>
      <c r="V529" s="306">
        <f t="shared" ca="1" si="235"/>
        <v>1.0934808544443071</v>
      </c>
      <c r="W529" s="304">
        <f t="shared" ca="1" si="236"/>
        <v>1261.7384783748948</v>
      </c>
      <c r="Y529" s="314" t="str">
        <f t="shared" ca="1" si="254"/>
        <v/>
      </c>
      <c r="Z529" s="315" t="str">
        <f t="shared" ca="1" si="255"/>
        <v/>
      </c>
      <c r="AA529" s="316" t="str">
        <f t="shared" ca="1" si="256"/>
        <v/>
      </c>
      <c r="AC529" s="310" t="e">
        <f t="shared" ca="1" si="257"/>
        <v>#N/A</v>
      </c>
      <c r="AD529" s="323" t="e">
        <f t="shared" ca="1" si="258"/>
        <v>#N/A</v>
      </c>
      <c r="AE529" s="324">
        <f t="shared" ca="1" si="237"/>
        <v>1134.528631569965</v>
      </c>
      <c r="AG529" s="306">
        <f t="shared" ca="1" si="259"/>
        <v>60.593156883366227</v>
      </c>
      <c r="AH529" s="304">
        <f t="shared" ca="1" si="260"/>
        <v>69.780109946622943</v>
      </c>
    </row>
    <row r="530" spans="1:34" x14ac:dyDescent="0.2">
      <c r="A530" s="347">
        <f t="shared" ca="1" si="238"/>
        <v>0.01</v>
      </c>
      <c r="B530" s="304">
        <f t="shared" ca="1" si="239"/>
        <v>5.2599999999999323</v>
      </c>
      <c r="D530" s="306">
        <f t="shared" ca="1" si="240"/>
        <v>24.388989800275851</v>
      </c>
      <c r="E530" s="307">
        <f t="shared" ca="1" si="241"/>
        <v>55.302173112694135</v>
      </c>
      <c r="F530" s="304">
        <f t="shared" ca="1" si="242"/>
        <v>60.441320092006173</v>
      </c>
      <c r="G530" s="306">
        <f t="shared" ca="1" si="243"/>
        <v>158.60095218372339</v>
      </c>
      <c r="H530" s="307">
        <f t="shared" ca="1" si="244"/>
        <v>423.32463046126418</v>
      </c>
      <c r="I530" s="304">
        <f t="shared" ca="1" si="245"/>
        <v>452.05973586324802</v>
      </c>
      <c r="J530" s="306">
        <f t="shared" ca="1" si="246"/>
        <v>403.31658452145359</v>
      </c>
      <c r="K530" s="307">
        <f t="shared" ca="1" si="247"/>
        <v>1138.7591127659221</v>
      </c>
      <c r="L530" s="304">
        <f t="shared" ca="1" si="232"/>
        <v>1208.0714317694467</v>
      </c>
      <c r="M530" s="306">
        <f t="shared" ca="1" si="248"/>
        <v>1.2123276122794719</v>
      </c>
      <c r="N530" s="304">
        <f t="shared" ca="1" si="249"/>
        <v>69.461255570786179</v>
      </c>
      <c r="P530" s="310">
        <f t="shared" ca="1" si="250"/>
        <v>15</v>
      </c>
      <c r="Q530" s="304">
        <f t="shared" ca="1" si="251"/>
        <v>2195.9112744361</v>
      </c>
      <c r="R530" s="306">
        <f t="shared" ca="1" si="252"/>
        <v>1.320564247027926</v>
      </c>
      <c r="S530" s="307">
        <f t="shared" ca="1" si="253"/>
        <v>13.435539836836899</v>
      </c>
      <c r="T530" s="304">
        <f t="shared" ca="1" si="233"/>
        <v>131.80264579937</v>
      </c>
      <c r="U530" s="311">
        <f t="shared" ca="1" si="234"/>
        <v>0</v>
      </c>
      <c r="V530" s="306">
        <f t="shared" ca="1" si="235"/>
        <v>1.0930168589180989</v>
      </c>
      <c r="W530" s="304">
        <f t="shared" ca="1" si="236"/>
        <v>1264.5768864945255</v>
      </c>
      <c r="Y530" s="314" t="str">
        <f t="shared" ca="1" si="254"/>
        <v/>
      </c>
      <c r="Z530" s="315" t="str">
        <f t="shared" ca="1" si="255"/>
        <v/>
      </c>
      <c r="AA530" s="316" t="str">
        <f t="shared" ca="1" si="256"/>
        <v/>
      </c>
      <c r="AC530" s="310" t="e">
        <f t="shared" ca="1" si="257"/>
        <v>#N/A</v>
      </c>
      <c r="AD530" s="323" t="e">
        <f t="shared" ca="1" si="258"/>
        <v>#N/A</v>
      </c>
      <c r="AE530" s="324">
        <f t="shared" ca="1" si="237"/>
        <v>1138.7591127659221</v>
      </c>
      <c r="AG530" s="306">
        <f t="shared" ca="1" si="259"/>
        <v>60.343287642254886</v>
      </c>
      <c r="AH530" s="304">
        <f t="shared" ca="1" si="260"/>
        <v>69.529978505213194</v>
      </c>
    </row>
    <row r="531" spans="1:34" x14ac:dyDescent="0.2">
      <c r="A531" s="347">
        <f t="shared" ca="1" si="238"/>
        <v>0.01</v>
      </c>
      <c r="B531" s="304">
        <f t="shared" ca="1" si="239"/>
        <v>5.2699999999999321</v>
      </c>
      <c r="D531" s="306">
        <f t="shared" ca="1" si="240"/>
        <v>24.306335893829786</v>
      </c>
      <c r="E531" s="307">
        <f t="shared" ca="1" si="241"/>
        <v>55.066474689783234</v>
      </c>
      <c r="F531" s="304">
        <f t="shared" ca="1" si="242"/>
        <v>60.192313457319578</v>
      </c>
      <c r="G531" s="306">
        <f t="shared" ca="1" si="243"/>
        <v>158.84401554266168</v>
      </c>
      <c r="H531" s="307">
        <f t="shared" ca="1" si="244"/>
        <v>423.87529520816202</v>
      </c>
      <c r="I531" s="304">
        <f t="shared" ca="1" si="245"/>
        <v>452.66067551922799</v>
      </c>
      <c r="J531" s="306">
        <f t="shared" ca="1" si="246"/>
        <v>404.90380936008552</v>
      </c>
      <c r="K531" s="307">
        <f t="shared" ca="1" si="247"/>
        <v>1142.9951123942692</v>
      </c>
      <c r="L531" s="304">
        <f t="shared" ca="1" si="232"/>
        <v>1212.59429397944</v>
      </c>
      <c r="M531" s="306">
        <f t="shared" ca="1" si="248"/>
        <v>1.2122515785656263</v>
      </c>
      <c r="N531" s="304">
        <f t="shared" ca="1" si="249"/>
        <v>69.456899159882113</v>
      </c>
      <c r="P531" s="310">
        <f t="shared" ca="1" si="250"/>
        <v>15</v>
      </c>
      <c r="Q531" s="304">
        <f t="shared" ca="1" si="251"/>
        <v>2194.4803345864757</v>
      </c>
      <c r="R531" s="306">
        <f t="shared" ca="1" si="252"/>
        <v>1.3197037168111272</v>
      </c>
      <c r="S531" s="307">
        <f t="shared" ca="1" si="253"/>
        <v>13.422342799668787</v>
      </c>
      <c r="T531" s="304">
        <f t="shared" ca="1" si="233"/>
        <v>131.6731828647508</v>
      </c>
      <c r="U531" s="311">
        <f t="shared" ca="1" si="234"/>
        <v>0</v>
      </c>
      <c r="V531" s="306">
        <f t="shared" ca="1" si="235"/>
        <v>1.0925524441792842</v>
      </c>
      <c r="W531" s="304">
        <f t="shared" ca="1" si="236"/>
        <v>1267.4024796331396</v>
      </c>
      <c r="Y531" s="314" t="str">
        <f t="shared" ca="1" si="254"/>
        <v/>
      </c>
      <c r="Z531" s="315" t="str">
        <f t="shared" ca="1" si="255"/>
        <v/>
      </c>
      <c r="AA531" s="316" t="str">
        <f t="shared" ca="1" si="256"/>
        <v/>
      </c>
      <c r="AC531" s="310" t="e">
        <f t="shared" ca="1" si="257"/>
        <v>#N/A</v>
      </c>
      <c r="AD531" s="323" t="e">
        <f t="shared" ca="1" si="258"/>
        <v>#N/A</v>
      </c>
      <c r="AE531" s="324">
        <f t="shared" ca="1" si="237"/>
        <v>1142.9951123942692</v>
      </c>
      <c r="AG531" s="306">
        <f t="shared" ca="1" si="259"/>
        <v>60.093834753586222</v>
      </c>
      <c r="AH531" s="304">
        <f t="shared" ca="1" si="260"/>
        <v>69.280263659701546</v>
      </c>
    </row>
    <row r="532" spans="1:34" x14ac:dyDescent="0.2">
      <c r="A532" s="347">
        <f t="shared" ca="1" si="238"/>
        <v>0.01</v>
      </c>
      <c r="B532" s="304">
        <f t="shared" ca="1" si="239"/>
        <v>5.2799999999999319</v>
      </c>
      <c r="D532" s="306">
        <f t="shared" ca="1" si="240"/>
        <v>24.223788046845339</v>
      </c>
      <c r="E532" s="307">
        <f t="shared" ca="1" si="241"/>
        <v>54.831184462242533</v>
      </c>
      <c r="F532" s="304">
        <f t="shared" ca="1" si="242"/>
        <v>59.943729420773899</v>
      </c>
      <c r="G532" s="306">
        <f t="shared" ca="1" si="243"/>
        <v>159.08625342313013</v>
      </c>
      <c r="H532" s="307">
        <f t="shared" ca="1" si="244"/>
        <v>424.42360705278446</v>
      </c>
      <c r="I532" s="304">
        <f t="shared" ca="1" si="245"/>
        <v>453.25912484130396</v>
      </c>
      <c r="J532" s="306">
        <f t="shared" ca="1" si="246"/>
        <v>406.49346070491447</v>
      </c>
      <c r="K532" s="307">
        <f t="shared" ca="1" si="247"/>
        <v>1147.236606905574</v>
      </c>
      <c r="L532" s="304">
        <f t="shared" ca="1" si="232"/>
        <v>1217.1231514600618</v>
      </c>
      <c r="M532" s="306">
        <f t="shared" ca="1" si="248"/>
        <v>1.2121756298310757</v>
      </c>
      <c r="N532" s="304">
        <f t="shared" ca="1" si="249"/>
        <v>69.452547617933007</v>
      </c>
      <c r="P532" s="310">
        <f t="shared" ca="1" si="250"/>
        <v>15</v>
      </c>
      <c r="Q532" s="304">
        <f t="shared" ca="1" si="251"/>
        <v>2193.0493947368518</v>
      </c>
      <c r="R532" s="306">
        <f t="shared" ca="1" si="252"/>
        <v>1.3188431865943286</v>
      </c>
      <c r="S532" s="307">
        <f t="shared" ca="1" si="253"/>
        <v>13.409154367802843</v>
      </c>
      <c r="T532" s="304">
        <f t="shared" ca="1" si="233"/>
        <v>131.5438043481459</v>
      </c>
      <c r="U532" s="311">
        <f t="shared" ca="1" si="234"/>
        <v>0</v>
      </c>
      <c r="V532" s="306">
        <f t="shared" ca="1" si="235"/>
        <v>1.0920876134236461</v>
      </c>
      <c r="W532" s="304">
        <f t="shared" ca="1" si="236"/>
        <v>1270.2152376143026</v>
      </c>
      <c r="Y532" s="314" t="str">
        <f t="shared" ca="1" si="254"/>
        <v/>
      </c>
      <c r="Z532" s="315" t="str">
        <f t="shared" ca="1" si="255"/>
        <v/>
      </c>
      <c r="AA532" s="316" t="str">
        <f t="shared" ca="1" si="256"/>
        <v/>
      </c>
      <c r="AC532" s="310" t="e">
        <f t="shared" ca="1" si="257"/>
        <v>#N/A</v>
      </c>
      <c r="AD532" s="323" t="e">
        <f t="shared" ca="1" si="258"/>
        <v>#N/A</v>
      </c>
      <c r="AE532" s="324">
        <f t="shared" ca="1" si="237"/>
        <v>1147.236606905574</v>
      </c>
      <c r="AG532" s="306">
        <f t="shared" ca="1" si="259"/>
        <v>59.844801482895299</v>
      </c>
      <c r="AH532" s="304">
        <f t="shared" ca="1" si="260"/>
        <v>69.030968673633382</v>
      </c>
    </row>
    <row r="533" spans="1:34" x14ac:dyDescent="0.2">
      <c r="A533" s="347">
        <f t="shared" ca="1" si="238"/>
        <v>0.01</v>
      </c>
      <c r="B533" s="304">
        <f t="shared" ca="1" si="239"/>
        <v>5.2899999999999316</v>
      </c>
      <c r="D533" s="306">
        <f t="shared" ca="1" si="240"/>
        <v>24.14134758376699</v>
      </c>
      <c r="E533" s="307">
        <f t="shared" ca="1" si="241"/>
        <v>54.596305385576969</v>
      </c>
      <c r="F533" s="304">
        <f t="shared" ca="1" si="242"/>
        <v>59.695571233680589</v>
      </c>
      <c r="G533" s="306">
        <f t="shared" ca="1" si="243"/>
        <v>159.32766689896781</v>
      </c>
      <c r="H533" s="307">
        <f t="shared" ca="1" si="244"/>
        <v>424.96957010664022</v>
      </c>
      <c r="I533" s="304">
        <f t="shared" ca="1" si="245"/>
        <v>453.85508805795166</v>
      </c>
      <c r="J533" s="306">
        <f t="shared" ca="1" si="246"/>
        <v>408.08553030652496</v>
      </c>
      <c r="K533" s="307">
        <f t="shared" ca="1" si="247"/>
        <v>1151.4835727913712</v>
      </c>
      <c r="L533" s="304">
        <f t="shared" ca="1" si="232"/>
        <v>1221.6579793272497</v>
      </c>
      <c r="M533" s="306">
        <f t="shared" ca="1" si="248"/>
        <v>1.2120997654537897</v>
      </c>
      <c r="N533" s="304">
        <f t="shared" ca="1" si="249"/>
        <v>69.448200909299132</v>
      </c>
      <c r="P533" s="310">
        <f t="shared" ca="1" si="250"/>
        <v>15</v>
      </c>
      <c r="Q533" s="304">
        <f t="shared" ca="1" si="251"/>
        <v>2191.6184548872279</v>
      </c>
      <c r="R533" s="306">
        <f t="shared" ca="1" si="252"/>
        <v>1.3179826563775301</v>
      </c>
      <c r="S533" s="307">
        <f t="shared" ca="1" si="253"/>
        <v>13.395974541239069</v>
      </c>
      <c r="T533" s="304">
        <f t="shared" ca="1" si="233"/>
        <v>131.41451024955526</v>
      </c>
      <c r="U533" s="311">
        <f t="shared" ca="1" si="234"/>
        <v>0</v>
      </c>
      <c r="V533" s="306">
        <f t="shared" ca="1" si="235"/>
        <v>1.0916223698384979</v>
      </c>
      <c r="W533" s="304">
        <f t="shared" ca="1" si="236"/>
        <v>1273.0151409028033</v>
      </c>
      <c r="Y533" s="314" t="str">
        <f t="shared" ca="1" si="254"/>
        <v/>
      </c>
      <c r="Z533" s="315" t="str">
        <f t="shared" ca="1" si="255"/>
        <v/>
      </c>
      <c r="AA533" s="316" t="str">
        <f t="shared" ca="1" si="256"/>
        <v/>
      </c>
      <c r="AC533" s="310" t="e">
        <f t="shared" ca="1" si="257"/>
        <v>#N/A</v>
      </c>
      <c r="AD533" s="323" t="e">
        <f t="shared" ca="1" si="258"/>
        <v>#N/A</v>
      </c>
      <c r="AE533" s="324">
        <f t="shared" ca="1" si="237"/>
        <v>1151.4835727913712</v>
      </c>
      <c r="AG533" s="306">
        <f t="shared" ca="1" si="259"/>
        <v>59.596191058804706</v>
      </c>
      <c r="AH533" s="304">
        <f t="shared" ca="1" si="260"/>
        <v>68.782096773655084</v>
      </c>
    </row>
    <row r="534" spans="1:34" x14ac:dyDescent="0.2">
      <c r="A534" s="347">
        <f t="shared" ca="1" si="238"/>
        <v>0.01</v>
      </c>
      <c r="B534" s="304">
        <f t="shared" ca="1" si="239"/>
        <v>5.2999999999999314</v>
      </c>
      <c r="D534" s="306">
        <f t="shared" ca="1" si="240"/>
        <v>24.059015815938967</v>
      </c>
      <c r="E534" s="307">
        <f t="shared" ca="1" si="241"/>
        <v>54.361840380816346</v>
      </c>
      <c r="F534" s="304">
        <f t="shared" ca="1" si="242"/>
        <v>59.447842110718838</v>
      </c>
      <c r="G534" s="306">
        <f t="shared" ca="1" si="243"/>
        <v>159.5682570571272</v>
      </c>
      <c r="H534" s="307">
        <f t="shared" ca="1" si="244"/>
        <v>425.5131885104484</v>
      </c>
      <c r="I534" s="304">
        <f t="shared" ca="1" si="245"/>
        <v>454.44856942956466</v>
      </c>
      <c r="J534" s="306">
        <f t="shared" ca="1" si="246"/>
        <v>409.68000992630544</v>
      </c>
      <c r="K534" s="307">
        <f t="shared" ca="1" si="247"/>
        <v>1155.7359865844567</v>
      </c>
      <c r="L534" s="304">
        <f t="shared" ca="1" si="232"/>
        <v>1226.1987527393612</v>
      </c>
      <c r="M534" s="306">
        <f t="shared" ca="1" si="248"/>
        <v>1.2120239848161529</v>
      </c>
      <c r="N534" s="304">
        <f t="shared" ca="1" si="249"/>
        <v>69.44385899859374</v>
      </c>
      <c r="P534" s="310">
        <f t="shared" ca="1" si="250"/>
        <v>15</v>
      </c>
      <c r="Q534" s="304">
        <f t="shared" ca="1" si="251"/>
        <v>2190.1875150376036</v>
      </c>
      <c r="R534" s="306">
        <f t="shared" ca="1" si="252"/>
        <v>1.3171221261607313</v>
      </c>
      <c r="S534" s="307">
        <f t="shared" ca="1" si="253"/>
        <v>13.382803319977461</v>
      </c>
      <c r="T534" s="304">
        <f t="shared" ca="1" si="233"/>
        <v>131.2853005689789</v>
      </c>
      <c r="U534" s="311">
        <f t="shared" ca="1" si="234"/>
        <v>0</v>
      </c>
      <c r="V534" s="306">
        <f t="shared" ca="1" si="235"/>
        <v>1.0911567166026512</v>
      </c>
      <c r="W534" s="304">
        <f t="shared" ca="1" si="236"/>
        <v>1275.8021706010147</v>
      </c>
      <c r="Y534" s="314" t="str">
        <f t="shared" ca="1" si="254"/>
        <v/>
      </c>
      <c r="Z534" s="315" t="str">
        <f t="shared" ca="1" si="255"/>
        <v/>
      </c>
      <c r="AA534" s="316" t="str">
        <f t="shared" ca="1" si="256"/>
        <v/>
      </c>
      <c r="AC534" s="310" t="e">
        <f t="shared" ca="1" si="257"/>
        <v>#N/A</v>
      </c>
      <c r="AD534" s="323" t="e">
        <f t="shared" ca="1" si="258"/>
        <v>#N/A</v>
      </c>
      <c r="AE534" s="324">
        <f t="shared" ca="1" si="237"/>
        <v>1155.7359865844567</v>
      </c>
      <c r="AG534" s="306">
        <f t="shared" ca="1" si="259"/>
        <v>59.348006673092371</v>
      </c>
      <c r="AH534" s="304">
        <f t="shared" ca="1" si="260"/>
        <v>68.533651149581786</v>
      </c>
    </row>
    <row r="535" spans="1:34" x14ac:dyDescent="0.2">
      <c r="A535" s="347">
        <f t="shared" ca="1" si="238"/>
        <v>0.01</v>
      </c>
      <c r="B535" s="304">
        <f t="shared" ca="1" si="239"/>
        <v>5.3099999999999312</v>
      </c>
      <c r="D535" s="306">
        <f t="shared" ca="1" si="240"/>
        <v>23.976794041624636</v>
      </c>
      <c r="E535" s="307">
        <f t="shared" ca="1" si="241"/>
        <v>54.127792334583404</v>
      </c>
      <c r="F535" s="304">
        <f t="shared" ca="1" si="242"/>
        <v>59.200545230008416</v>
      </c>
      <c r="G535" s="306">
        <f t="shared" ca="1" si="243"/>
        <v>159.80802499754344</v>
      </c>
      <c r="H535" s="307">
        <f t="shared" ca="1" si="244"/>
        <v>426.05446643379423</v>
      </c>
      <c r="I535" s="304">
        <f t="shared" ca="1" si="245"/>
        <v>455.03957324808636</v>
      </c>
      <c r="J535" s="306">
        <f t="shared" ca="1" si="246"/>
        <v>411.27689133657879</v>
      </c>
      <c r="K535" s="307">
        <f t="shared" ca="1" si="247"/>
        <v>1159.9938248591779</v>
      </c>
      <c r="L535" s="304">
        <f t="shared" ca="1" si="232"/>
        <v>1230.7454468974911</v>
      </c>
      <c r="M535" s="306">
        <f t="shared" ca="1" si="248"/>
        <v>1.2119482873049239</v>
      </c>
      <c r="N535" s="304">
        <f t="shared" ca="1" si="249"/>
        <v>69.439521850680663</v>
      </c>
      <c r="P535" s="310">
        <f t="shared" ca="1" si="250"/>
        <v>15</v>
      </c>
      <c r="Q535" s="304">
        <f t="shared" ca="1" si="251"/>
        <v>2188.7565751879797</v>
      </c>
      <c r="R535" s="306">
        <f t="shared" ca="1" si="252"/>
        <v>1.3162615959439328</v>
      </c>
      <c r="S535" s="307">
        <f t="shared" ca="1" si="253"/>
        <v>13.369640704018021</v>
      </c>
      <c r="T535" s="304">
        <f t="shared" ca="1" si="233"/>
        <v>131.1561753064168</v>
      </c>
      <c r="U535" s="311">
        <f t="shared" ca="1" si="234"/>
        <v>0</v>
      </c>
      <c r="V535" s="306">
        <f t="shared" ca="1" si="235"/>
        <v>1.090690656886385</v>
      </c>
      <c r="W535" s="304">
        <f t="shared" ca="1" si="236"/>
        <v>1278.5763084452296</v>
      </c>
      <c r="Y535" s="314" t="str">
        <f t="shared" ca="1" si="254"/>
        <v/>
      </c>
      <c r="Z535" s="315" t="str">
        <f t="shared" ca="1" si="255"/>
        <v/>
      </c>
      <c r="AA535" s="316" t="str">
        <f t="shared" ca="1" si="256"/>
        <v/>
      </c>
      <c r="AC535" s="310" t="e">
        <f t="shared" ca="1" si="257"/>
        <v>#N/A</v>
      </c>
      <c r="AD535" s="323" t="e">
        <f t="shared" ca="1" si="258"/>
        <v>#N/A</v>
      </c>
      <c r="AE535" s="324">
        <f t="shared" ca="1" si="237"/>
        <v>1159.9938248591779</v>
      </c>
      <c r="AG535" s="306">
        <f t="shared" ca="1" si="259"/>
        <v>59.100251480761884</v>
      </c>
      <c r="AH535" s="304">
        <f t="shared" ca="1" si="260"/>
        <v>68.28563495446754</v>
      </c>
    </row>
    <row r="536" spans="1:34" x14ac:dyDescent="0.2">
      <c r="A536" s="347">
        <f t="shared" ca="1" si="238"/>
        <v>0.01</v>
      </c>
      <c r="B536" s="304">
        <f t="shared" ca="1" si="239"/>
        <v>5.319999999999931</v>
      </c>
      <c r="D536" s="306">
        <f t="shared" ca="1" si="240"/>
        <v>23.894683546026801</v>
      </c>
      <c r="E536" s="307">
        <f t="shared" ca="1" si="241"/>
        <v>53.894164099164001</v>
      </c>
      <c r="F536" s="304">
        <f t="shared" ca="1" si="242"/>
        <v>58.953683733184832</v>
      </c>
      <c r="G536" s="306">
        <f t="shared" ca="1" si="243"/>
        <v>160.04697183300371</v>
      </c>
      <c r="H536" s="307">
        <f t="shared" ca="1" si="244"/>
        <v>426.59340807478588</v>
      </c>
      <c r="I536" s="304">
        <f t="shared" ca="1" si="245"/>
        <v>455.62810383664333</v>
      </c>
      <c r="J536" s="306">
        <f t="shared" ca="1" si="246"/>
        <v>412.8761663207315</v>
      </c>
      <c r="K536" s="307">
        <f t="shared" ca="1" si="247"/>
        <v>1164.257064231721</v>
      </c>
      <c r="L536" s="304">
        <f t="shared" ca="1" si="232"/>
        <v>1235.2980370457851</v>
      </c>
      <c r="M536" s="306">
        <f t="shared" ca="1" si="248"/>
        <v>1.2118726723111968</v>
      </c>
      <c r="N536" s="304">
        <f t="shared" ca="1" si="249"/>
        <v>69.435189430672196</v>
      </c>
      <c r="P536" s="310">
        <f t="shared" ca="1" si="250"/>
        <v>15</v>
      </c>
      <c r="Q536" s="304">
        <f t="shared" ca="1" si="251"/>
        <v>2187.3256353383558</v>
      </c>
      <c r="R536" s="306">
        <f t="shared" ca="1" si="252"/>
        <v>1.3154010657271344</v>
      </c>
      <c r="S536" s="307">
        <f t="shared" ca="1" si="253"/>
        <v>13.35648669336075</v>
      </c>
      <c r="T536" s="304">
        <f t="shared" ca="1" si="233"/>
        <v>131.02713446186897</v>
      </c>
      <c r="U536" s="311">
        <f t="shared" ca="1" si="234"/>
        <v>0</v>
      </c>
      <c r="V536" s="306">
        <f t="shared" ca="1" si="235"/>
        <v>1.090224193851415</v>
      </c>
      <c r="W536" s="304">
        <f t="shared" ca="1" si="236"/>
        <v>1281.3375368019765</v>
      </c>
      <c r="Y536" s="314" t="str">
        <f t="shared" ca="1" si="254"/>
        <v/>
      </c>
      <c r="Z536" s="315" t="str">
        <f t="shared" ca="1" si="255"/>
        <v/>
      </c>
      <c r="AA536" s="316" t="str">
        <f t="shared" ca="1" si="256"/>
        <v/>
      </c>
      <c r="AC536" s="310" t="e">
        <f t="shared" ca="1" si="257"/>
        <v>#N/A</v>
      </c>
      <c r="AD536" s="323" t="e">
        <f t="shared" ca="1" si="258"/>
        <v>#N/A</v>
      </c>
      <c r="AE536" s="324">
        <f t="shared" ca="1" si="237"/>
        <v>1164.257064231721</v>
      </c>
      <c r="AG536" s="306">
        <f t="shared" ca="1" si="259"/>
        <v>58.852928600115177</v>
      </c>
      <c r="AH536" s="304">
        <f t="shared" ca="1" si="260"/>
        <v>68.038051304677879</v>
      </c>
    </row>
    <row r="537" spans="1:34" x14ac:dyDescent="0.2">
      <c r="A537" s="347">
        <f t="shared" ca="1" si="238"/>
        <v>0.01</v>
      </c>
      <c r="B537" s="304">
        <f t="shared" ca="1" si="239"/>
        <v>5.3299999999999308</v>
      </c>
      <c r="D537" s="306">
        <f t="shared" ca="1" si="240"/>
        <v>23.81268560130875</v>
      </c>
      <c r="E537" s="307">
        <f t="shared" ca="1" si="241"/>
        <v>53.660958492579887</v>
      </c>
      <c r="F537" s="304">
        <f t="shared" ca="1" si="242"/>
        <v>58.707260725477205</v>
      </c>
      <c r="G537" s="306">
        <f t="shared" ca="1" si="243"/>
        <v>160.28509868901679</v>
      </c>
      <c r="H537" s="307">
        <f t="shared" ca="1" si="244"/>
        <v>427.13001765971171</v>
      </c>
      <c r="I537" s="304">
        <f t="shared" ca="1" si="245"/>
        <v>456.21416554917874</v>
      </c>
      <c r="J537" s="306">
        <f t="shared" ca="1" si="246"/>
        <v>414.47782667334161</v>
      </c>
      <c r="K537" s="307">
        <f t="shared" ca="1" si="247"/>
        <v>1168.5256813603935</v>
      </c>
      <c r="L537" s="304">
        <f t="shared" ca="1" si="232"/>
        <v>1239.85649847175</v>
      </c>
      <c r="M537" s="306">
        <f t="shared" ca="1" si="248"/>
        <v>1.211797139230361</v>
      </c>
      <c r="N537" s="304">
        <f t="shared" ca="1" si="249"/>
        <v>69.430861703926681</v>
      </c>
      <c r="P537" s="310">
        <f t="shared" ca="1" si="250"/>
        <v>15</v>
      </c>
      <c r="Q537" s="304">
        <f t="shared" ca="1" si="251"/>
        <v>2185.8946954887315</v>
      </c>
      <c r="R537" s="306">
        <f t="shared" ca="1" si="252"/>
        <v>1.3145405355103355</v>
      </c>
      <c r="S537" s="307">
        <f t="shared" ca="1" si="253"/>
        <v>13.343341288005647</v>
      </c>
      <c r="T537" s="304">
        <f t="shared" ca="1" si="233"/>
        <v>130.89817803533541</v>
      </c>
      <c r="U537" s="311">
        <f t="shared" ca="1" si="234"/>
        <v>0</v>
      </c>
      <c r="V537" s="306">
        <f t="shared" ca="1" si="235"/>
        <v>1.0897573306508621</v>
      </c>
      <c r="W537" s="304">
        <f t="shared" ca="1" si="236"/>
        <v>1284.085838664311</v>
      </c>
      <c r="Y537" s="314" t="str">
        <f t="shared" ca="1" si="254"/>
        <v/>
      </c>
      <c r="Z537" s="315" t="str">
        <f t="shared" ca="1" si="255"/>
        <v/>
      </c>
      <c r="AA537" s="316" t="str">
        <f t="shared" ca="1" si="256"/>
        <v/>
      </c>
      <c r="AC537" s="310" t="e">
        <f t="shared" ca="1" si="257"/>
        <v>#N/A</v>
      </c>
      <c r="AD537" s="323" t="e">
        <f t="shared" ca="1" si="258"/>
        <v>#N/A</v>
      </c>
      <c r="AE537" s="324">
        <f t="shared" ca="1" si="237"/>
        <v>1168.5256813603935</v>
      </c>
      <c r="AG537" s="306">
        <f t="shared" ca="1" si="259"/>
        <v>58.606041112827839</v>
      </c>
      <c r="AH537" s="304">
        <f t="shared" ca="1" si="260"/>
        <v>67.79090327996505</v>
      </c>
    </row>
    <row r="538" spans="1:34" x14ac:dyDescent="0.2">
      <c r="A538" s="347">
        <f t="shared" ca="1" si="238"/>
        <v>0.01</v>
      </c>
      <c r="B538" s="304">
        <f t="shared" ca="1" si="239"/>
        <v>5.3399999999999306</v>
      </c>
      <c r="D538" s="306">
        <f t="shared" ca="1" si="240"/>
        <v>23.730801466616345</v>
      </c>
      <c r="E538" s="307">
        <f t="shared" ca="1" si="241"/>
        <v>53.42817829866371</v>
      </c>
      <c r="F538" s="304">
        <f t="shared" ca="1" si="242"/>
        <v>58.461279275788691</v>
      </c>
      <c r="G538" s="306">
        <f t="shared" ca="1" si="243"/>
        <v>160.52240670368295</v>
      </c>
      <c r="H538" s="307">
        <f t="shared" ca="1" si="244"/>
        <v>427.66429944269834</v>
      </c>
      <c r="I538" s="304">
        <f t="shared" ca="1" si="245"/>
        <v>456.79776277008682</v>
      </c>
      <c r="J538" s="306">
        <f t="shared" ca="1" si="246"/>
        <v>416.08186420030512</v>
      </c>
      <c r="K538" s="307">
        <f t="shared" ca="1" si="247"/>
        <v>1172.7996529459056</v>
      </c>
      <c r="L538" s="304">
        <f t="shared" ca="1" si="232"/>
        <v>1244.4208065065602</v>
      </c>
      <c r="M538" s="306">
        <f t="shared" ca="1" si="248"/>
        <v>1.2117216874620622</v>
      </c>
      <c r="N538" s="304">
        <f t="shared" ca="1" si="249"/>
        <v>69.426538636046359</v>
      </c>
      <c r="P538" s="310">
        <f t="shared" ca="1" si="250"/>
        <v>15</v>
      </c>
      <c r="Q538" s="304">
        <f t="shared" ca="1" si="251"/>
        <v>2184.4637556391076</v>
      </c>
      <c r="R538" s="306">
        <f t="shared" ca="1" si="252"/>
        <v>1.3136800052935371</v>
      </c>
      <c r="S538" s="307">
        <f t="shared" ca="1" si="253"/>
        <v>13.330204487952711</v>
      </c>
      <c r="T538" s="304">
        <f t="shared" ca="1" si="233"/>
        <v>130.76930602681611</v>
      </c>
      <c r="U538" s="311">
        <f t="shared" ca="1" si="234"/>
        <v>0</v>
      </c>
      <c r="V538" s="306">
        <f t="shared" ca="1" si="235"/>
        <v>1.0892900704292228</v>
      </c>
      <c r="W538" s="304">
        <f t="shared" ca="1" si="236"/>
        <v>1286.8211976480859</v>
      </c>
      <c r="Y538" s="314" t="str">
        <f t="shared" ca="1" si="254"/>
        <v/>
      </c>
      <c r="Z538" s="315" t="str">
        <f t="shared" ca="1" si="255"/>
        <v/>
      </c>
      <c r="AA538" s="316" t="str">
        <f t="shared" ca="1" si="256"/>
        <v/>
      </c>
      <c r="AC538" s="310" t="e">
        <f t="shared" ca="1" si="257"/>
        <v>#N/A</v>
      </c>
      <c r="AD538" s="323" t="e">
        <f t="shared" ca="1" si="258"/>
        <v>#N/A</v>
      </c>
      <c r="AE538" s="324">
        <f t="shared" ca="1" si="237"/>
        <v>1172.7996529459056</v>
      </c>
      <c r="AG538" s="306">
        <f t="shared" ca="1" si="259"/>
        <v>58.359592064026934</v>
      </c>
      <c r="AH538" s="304">
        <f t="shared" ca="1" si="260"/>
        <v>67.544193923545663</v>
      </c>
    </row>
    <row r="539" spans="1:34" x14ac:dyDescent="0.2">
      <c r="A539" s="347">
        <f t="shared" ca="1" si="238"/>
        <v>0.01</v>
      </c>
      <c r="B539" s="304">
        <f t="shared" ca="1" si="239"/>
        <v>5.3499999999999304</v>
      </c>
      <c r="D539" s="306">
        <f t="shared" ca="1" si="240"/>
        <v>23.649032388100846</v>
      </c>
      <c r="E539" s="307">
        <f t="shared" ca="1" si="241"/>
        <v>53.195826267136212</v>
      </c>
      <c r="F539" s="304">
        <f t="shared" ca="1" si="242"/>
        <v>58.215742416779172</v>
      </c>
      <c r="G539" s="306">
        <f t="shared" ca="1" si="243"/>
        <v>160.75889702756396</v>
      </c>
      <c r="H539" s="307">
        <f t="shared" ca="1" si="244"/>
        <v>428.1962577053697</v>
      </c>
      <c r="I539" s="304">
        <f t="shared" ca="1" si="245"/>
        <v>457.37889991384856</v>
      </c>
      <c r="J539" s="306">
        <f t="shared" ca="1" si="246"/>
        <v>417.68827071896135</v>
      </c>
      <c r="K539" s="307">
        <f t="shared" ca="1" si="247"/>
        <v>1177.0789557316459</v>
      </c>
      <c r="L539" s="304">
        <f t="shared" ca="1" si="232"/>
        <v>1248.9909365253609</v>
      </c>
      <c r="M539" s="306">
        <f t="shared" ca="1" si="248"/>
        <v>1.2116463164101647</v>
      </c>
      <c r="N539" s="304">
        <f t="shared" ca="1" si="249"/>
        <v>69.422220192875173</v>
      </c>
      <c r="P539" s="310">
        <f t="shared" ca="1" si="250"/>
        <v>15</v>
      </c>
      <c r="Q539" s="304">
        <f t="shared" ca="1" si="251"/>
        <v>2183.0328157894837</v>
      </c>
      <c r="R539" s="306">
        <f t="shared" ca="1" si="252"/>
        <v>1.3128194750767386</v>
      </c>
      <c r="S539" s="307">
        <f t="shared" ca="1" si="253"/>
        <v>13.317076293201945</v>
      </c>
      <c r="T539" s="304">
        <f t="shared" ca="1" si="233"/>
        <v>130.64051843631108</v>
      </c>
      <c r="U539" s="311">
        <f t="shared" ca="1" si="234"/>
        <v>0</v>
      </c>
      <c r="V539" s="306">
        <f t="shared" ca="1" si="235"/>
        <v>1.0888224163223414</v>
      </c>
      <c r="W539" s="304">
        <f t="shared" ca="1" si="236"/>
        <v>1289.5435979882079</v>
      </c>
      <c r="Y539" s="314" t="str">
        <f t="shared" ca="1" si="254"/>
        <v/>
      </c>
      <c r="Z539" s="315" t="str">
        <f t="shared" ca="1" si="255"/>
        <v/>
      </c>
      <c r="AA539" s="316" t="str">
        <f t="shared" ca="1" si="256"/>
        <v/>
      </c>
      <c r="AC539" s="310" t="e">
        <f t="shared" ca="1" si="257"/>
        <v>#N/A</v>
      </c>
      <c r="AD539" s="323" t="e">
        <f t="shared" ca="1" si="258"/>
        <v>#N/A</v>
      </c>
      <c r="AE539" s="324">
        <f t="shared" ca="1" si="237"/>
        <v>1177.0789557316459</v>
      </c>
      <c r="AG539" s="306">
        <f t="shared" ca="1" si="259"/>
        <v>58.113584462371094</v>
      </c>
      <c r="AH539" s="304">
        <f t="shared" ca="1" si="260"/>
        <v>67.297926242180708</v>
      </c>
    </row>
    <row r="540" spans="1:34" x14ac:dyDescent="0.2">
      <c r="A540" s="347">
        <f t="shared" ca="1" si="238"/>
        <v>0.01</v>
      </c>
      <c r="B540" s="304">
        <f t="shared" ca="1" si="239"/>
        <v>5.3599999999999302</v>
      </c>
      <c r="D540" s="306">
        <f t="shared" ca="1" si="240"/>
        <v>23.567379598942402</v>
      </c>
      <c r="E540" s="307">
        <f t="shared" ca="1" si="241"/>
        <v>52.963905113685335</v>
      </c>
      <c r="F540" s="304">
        <f t="shared" ca="1" si="242"/>
        <v>57.970653144950077</v>
      </c>
      <c r="G540" s="306">
        <f t="shared" ca="1" si="243"/>
        <v>160.99457082355337</v>
      </c>
      <c r="H540" s="307">
        <f t="shared" ca="1" si="244"/>
        <v>428.72589675650653</v>
      </c>
      <c r="I540" s="304">
        <f t="shared" ca="1" si="245"/>
        <v>457.95758142466735</v>
      </c>
      <c r="J540" s="306">
        <f t="shared" ca="1" si="246"/>
        <v>419.29703805821691</v>
      </c>
      <c r="K540" s="307">
        <f t="shared" ca="1" si="247"/>
        <v>1181.3635665039553</v>
      </c>
      <c r="L540" s="304">
        <f t="shared" ca="1" si="232"/>
        <v>1253.5668639475675</v>
      </c>
      <c r="M540" s="306">
        <f t="shared" ca="1" si="248"/>
        <v>1.2115710254827126</v>
      </c>
      <c r="N540" s="304">
        <f t="shared" ca="1" si="249"/>
        <v>69.417906340496543</v>
      </c>
      <c r="P540" s="310">
        <f t="shared" ca="1" si="250"/>
        <v>15</v>
      </c>
      <c r="Q540" s="304">
        <f t="shared" ca="1" si="251"/>
        <v>2181.6018759398594</v>
      </c>
      <c r="R540" s="306">
        <f t="shared" ca="1" si="252"/>
        <v>1.3119589448599398</v>
      </c>
      <c r="S540" s="307">
        <f t="shared" ca="1" si="253"/>
        <v>13.303956703753345</v>
      </c>
      <c r="T540" s="304">
        <f t="shared" ca="1" si="233"/>
        <v>130.51181526382032</v>
      </c>
      <c r="U540" s="311">
        <f t="shared" ca="1" si="234"/>
        <v>0</v>
      </c>
      <c r="V540" s="306">
        <f t="shared" ca="1" si="235"/>
        <v>1.08835437145738</v>
      </c>
      <c r="W540" s="304">
        <f t="shared" ca="1" si="236"/>
        <v>1292.253024534863</v>
      </c>
      <c r="Y540" s="314" t="str">
        <f t="shared" ca="1" si="254"/>
        <v/>
      </c>
      <c r="Z540" s="315" t="str">
        <f t="shared" ca="1" si="255"/>
        <v/>
      </c>
      <c r="AA540" s="316" t="str">
        <f t="shared" ca="1" si="256"/>
        <v/>
      </c>
      <c r="AC540" s="310" t="e">
        <f t="shared" ca="1" si="257"/>
        <v>#N/A</v>
      </c>
      <c r="AD540" s="323" t="e">
        <f t="shared" ca="1" si="258"/>
        <v>#N/A</v>
      </c>
      <c r="AE540" s="324">
        <f t="shared" ca="1" si="237"/>
        <v>1181.3635665039553</v>
      </c>
      <c r="AG540" s="306">
        <f t="shared" ca="1" si="259"/>
        <v>57.868021280132645</v>
      </c>
      <c r="AH540" s="304">
        <f t="shared" ca="1" si="260"/>
        <v>67.05210320625757</v>
      </c>
    </row>
    <row r="541" spans="1:34" x14ac:dyDescent="0.2">
      <c r="A541" s="347">
        <f t="shared" ca="1" si="238"/>
        <v>0.01</v>
      </c>
      <c r="B541" s="304">
        <f t="shared" ca="1" si="239"/>
        <v>5.3699999999999299</v>
      </c>
      <c r="D541" s="306">
        <f t="shared" ca="1" si="240"/>
        <v>23.485844319374749</v>
      </c>
      <c r="E541" s="307">
        <f t="shared" ca="1" si="241"/>
        <v>52.732417520048195</v>
      </c>
      <c r="F541" s="304">
        <f t="shared" ca="1" si="242"/>
        <v>57.726014420732298</v>
      </c>
      <c r="G541" s="306">
        <f t="shared" ca="1" si="243"/>
        <v>161.22942926674713</v>
      </c>
      <c r="H541" s="307">
        <f t="shared" ca="1" si="244"/>
        <v>429.25322093170701</v>
      </c>
      <c r="I541" s="304">
        <f t="shared" ca="1" si="245"/>
        <v>458.53381177610652</v>
      </c>
      <c r="J541" s="306">
        <f t="shared" ca="1" si="246"/>
        <v>420.90815805866839</v>
      </c>
      <c r="K541" s="307">
        <f t="shared" ca="1" si="247"/>
        <v>1185.6534620923965</v>
      </c>
      <c r="L541" s="304">
        <f t="shared" ca="1" si="232"/>
        <v>1258.1485642371599</v>
      </c>
      <c r="M541" s="306">
        <f t="shared" ca="1" si="248"/>
        <v>1.2114958140918921</v>
      </c>
      <c r="N541" s="304">
        <f t="shared" ca="1" si="249"/>
        <v>69.413597045231228</v>
      </c>
      <c r="P541" s="310">
        <f t="shared" ca="1" si="250"/>
        <v>15</v>
      </c>
      <c r="Q541" s="304">
        <f t="shared" ca="1" si="251"/>
        <v>2180.1709360902355</v>
      </c>
      <c r="R541" s="306">
        <f t="shared" ca="1" si="252"/>
        <v>1.3110984146431413</v>
      </c>
      <c r="S541" s="307">
        <f t="shared" ca="1" si="253"/>
        <v>13.290845719606914</v>
      </c>
      <c r="T541" s="304">
        <f t="shared" ca="1" si="233"/>
        <v>130.38319650934383</v>
      </c>
      <c r="U541" s="311">
        <f t="shared" ca="1" si="234"/>
        <v>0</v>
      </c>
      <c r="V541" s="306">
        <f t="shared" ca="1" si="235"/>
        <v>1.0878859389527902</v>
      </c>
      <c r="W541" s="304">
        <f t="shared" ca="1" si="236"/>
        <v>1294.949462749734</v>
      </c>
      <c r="Y541" s="314" t="str">
        <f t="shared" ca="1" si="254"/>
        <v/>
      </c>
      <c r="Z541" s="315" t="str">
        <f t="shared" ca="1" si="255"/>
        <v/>
      </c>
      <c r="AA541" s="316" t="str">
        <f t="shared" ca="1" si="256"/>
        <v/>
      </c>
      <c r="AC541" s="310" t="e">
        <f t="shared" ca="1" si="257"/>
        <v>#N/A</v>
      </c>
      <c r="AD541" s="323" t="e">
        <f t="shared" ca="1" si="258"/>
        <v>#N/A</v>
      </c>
      <c r="AE541" s="324">
        <f t="shared" ca="1" si="237"/>
        <v>1185.6534620923965</v>
      </c>
      <c r="AG541" s="306">
        <f t="shared" ca="1" si="259"/>
        <v>57.622905453282883</v>
      </c>
      <c r="AH541" s="304">
        <f t="shared" ca="1" si="260"/>
        <v>66.806727749875151</v>
      </c>
    </row>
    <row r="542" spans="1:34" x14ac:dyDescent="0.2">
      <c r="A542" s="347">
        <f t="shared" ca="1" si="238"/>
        <v>0.01</v>
      </c>
      <c r="B542" s="304">
        <f t="shared" ca="1" si="239"/>
        <v>5.3799999999999297</v>
      </c>
      <c r="D542" s="306">
        <f t="shared" ca="1" si="240"/>
        <v>23.404427756710305</v>
      </c>
      <c r="E542" s="307">
        <f t="shared" ca="1" si="241"/>
        <v>52.501366134094347</v>
      </c>
      <c r="F542" s="304">
        <f t="shared" ca="1" si="242"/>
        <v>57.48182916857553</v>
      </c>
      <c r="G542" s="306">
        <f t="shared" ca="1" si="243"/>
        <v>161.46347354431424</v>
      </c>
      <c r="H542" s="307">
        <f t="shared" ca="1" si="244"/>
        <v>429.77823459304796</v>
      </c>
      <c r="I542" s="304">
        <f t="shared" ca="1" si="245"/>
        <v>459.10759547072666</v>
      </c>
      <c r="J542" s="306">
        <f t="shared" ca="1" si="246"/>
        <v>422.52162257272369</v>
      </c>
      <c r="K542" s="307">
        <f t="shared" ca="1" si="247"/>
        <v>1189.9486193700202</v>
      </c>
      <c r="L542" s="304">
        <f t="shared" ca="1" si="232"/>
        <v>1262.736012902976</v>
      </c>
      <c r="M542" s="306">
        <f t="shared" ca="1" si="248"/>
        <v>1.211420681653995</v>
      </c>
      <c r="N542" s="304">
        <f t="shared" ca="1" si="249"/>
        <v>69.409292273635188</v>
      </c>
      <c r="P542" s="310">
        <f t="shared" ca="1" si="250"/>
        <v>15</v>
      </c>
      <c r="Q542" s="304">
        <f t="shared" ca="1" si="251"/>
        <v>2178.7399962406116</v>
      </c>
      <c r="R542" s="306">
        <f t="shared" ca="1" si="252"/>
        <v>1.3102378844263427</v>
      </c>
      <c r="S542" s="307">
        <f t="shared" ca="1" si="253"/>
        <v>13.277743340762651</v>
      </c>
      <c r="T542" s="304">
        <f t="shared" ca="1" si="233"/>
        <v>130.25466217288161</v>
      </c>
      <c r="U542" s="311">
        <f t="shared" ca="1" si="234"/>
        <v>0</v>
      </c>
      <c r="V542" s="306">
        <f t="shared" ca="1" si="235"/>
        <v>1.0874171219182869</v>
      </c>
      <c r="W542" s="304">
        <f t="shared" ca="1" si="236"/>
        <v>1297.6328987021911</v>
      </c>
      <c r="Y542" s="314" t="str">
        <f t="shared" ca="1" si="254"/>
        <v/>
      </c>
      <c r="Z542" s="315" t="str">
        <f t="shared" ca="1" si="255"/>
        <v/>
      </c>
      <c r="AA542" s="316" t="str">
        <f t="shared" ca="1" si="256"/>
        <v/>
      </c>
      <c r="AC542" s="310" t="e">
        <f t="shared" ca="1" si="257"/>
        <v>#N/A</v>
      </c>
      <c r="AD542" s="323" t="e">
        <f t="shared" ca="1" si="258"/>
        <v>#N/A</v>
      </c>
      <c r="AE542" s="324">
        <f t="shared" ca="1" si="237"/>
        <v>1189.9486193700202</v>
      </c>
      <c r="AG542" s="306">
        <f t="shared" ca="1" si="259"/>
        <v>57.378239881578622</v>
      </c>
      <c r="AH542" s="304">
        <f t="shared" ca="1" si="260"/>
        <v>66.561802770930356</v>
      </c>
    </row>
    <row r="543" spans="1:34" x14ac:dyDescent="0.2">
      <c r="A543" s="347">
        <f t="shared" ca="1" si="238"/>
        <v>0.01</v>
      </c>
      <c r="B543" s="304">
        <f t="shared" ca="1" si="239"/>
        <v>5.3899999999999295</v>
      </c>
      <c r="D543" s="306">
        <f t="shared" ca="1" si="240"/>
        <v>23.323131105366407</v>
      </c>
      <c r="E543" s="307">
        <f t="shared" ca="1" si="241"/>
        <v>52.270753569911996</v>
      </c>
      <c r="F543" s="304">
        <f t="shared" ca="1" si="242"/>
        <v>57.2381002770408</v>
      </c>
      <c r="G543" s="306">
        <f t="shared" ca="1" si="243"/>
        <v>161.6967048553679</v>
      </c>
      <c r="H543" s="307">
        <f t="shared" ca="1" si="244"/>
        <v>430.30094212874707</v>
      </c>
      <c r="I543" s="304">
        <f t="shared" ca="1" si="245"/>
        <v>459.67893703972476</v>
      </c>
      <c r="J543" s="306">
        <f t="shared" ca="1" si="246"/>
        <v>424.13742346472208</v>
      </c>
      <c r="K543" s="307">
        <f t="shared" ca="1" si="247"/>
        <v>1194.2490152536291</v>
      </c>
      <c r="L543" s="304">
        <f t="shared" ca="1" si="232"/>
        <v>1267.3291854989989</v>
      </c>
      <c r="M543" s="306">
        <f t="shared" ca="1" si="248"/>
        <v>1.2113456275893815</v>
      </c>
      <c r="N543" s="304">
        <f t="shared" ca="1" si="249"/>
        <v>69.404991992497528</v>
      </c>
      <c r="P543" s="310">
        <f t="shared" ca="1" si="250"/>
        <v>15</v>
      </c>
      <c r="Q543" s="304">
        <f t="shared" ca="1" si="251"/>
        <v>2177.3090563909877</v>
      </c>
      <c r="R543" s="306">
        <f t="shared" ca="1" si="252"/>
        <v>1.3093773542095442</v>
      </c>
      <c r="S543" s="307">
        <f t="shared" ca="1" si="253"/>
        <v>13.264649567220555</v>
      </c>
      <c r="T543" s="304">
        <f t="shared" ca="1" si="233"/>
        <v>130.12621225443365</v>
      </c>
      <c r="U543" s="311">
        <f t="shared" ca="1" si="234"/>
        <v>0</v>
      </c>
      <c r="V543" s="306">
        <f t="shared" ca="1" si="235"/>
        <v>1.0869479234548203</v>
      </c>
      <c r="W543" s="304">
        <f t="shared" ca="1" si="236"/>
        <v>1300.3033190654705</v>
      </c>
      <c r="Y543" s="314" t="str">
        <f t="shared" ca="1" si="254"/>
        <v/>
      </c>
      <c r="Z543" s="315" t="str">
        <f t="shared" ca="1" si="255"/>
        <v/>
      </c>
      <c r="AA543" s="316" t="str">
        <f t="shared" ca="1" si="256"/>
        <v/>
      </c>
      <c r="AC543" s="310" t="e">
        <f t="shared" ca="1" si="257"/>
        <v>#N/A</v>
      </c>
      <c r="AD543" s="323" t="e">
        <f t="shared" ca="1" si="258"/>
        <v>#N/A</v>
      </c>
      <c r="AE543" s="324">
        <f t="shared" ca="1" si="237"/>
        <v>1194.2490152536291</v>
      </c>
      <c r="AG543" s="306">
        <f t="shared" ca="1" si="259"/>
        <v>57.13402742865194</v>
      </c>
      <c r="AH543" s="304">
        <f t="shared" ca="1" si="260"/>
        <v>66.317331131207709</v>
      </c>
    </row>
    <row r="544" spans="1:34" x14ac:dyDescent="0.2">
      <c r="A544" s="347">
        <f t="shared" ca="1" si="238"/>
        <v>0.01</v>
      </c>
      <c r="B544" s="304">
        <f t="shared" ca="1" si="239"/>
        <v>5.3999999999999293</v>
      </c>
      <c r="D544" s="306">
        <f t="shared" ca="1" si="240"/>
        <v>23.241955546892015</v>
      </c>
      <c r="E544" s="307">
        <f t="shared" ca="1" si="241"/>
        <v>52.040582407895521</v>
      </c>
      <c r="F544" s="304">
        <f t="shared" ca="1" si="242"/>
        <v>56.994830598894403</v>
      </c>
      <c r="G544" s="306">
        <f t="shared" ca="1" si="243"/>
        <v>161.92912441083681</v>
      </c>
      <c r="H544" s="307">
        <f t="shared" ca="1" si="244"/>
        <v>430.82134795282605</v>
      </c>
      <c r="I544" s="304">
        <f t="shared" ca="1" si="245"/>
        <v>460.24784104257378</v>
      </c>
      <c r="J544" s="306">
        <f t="shared" ca="1" si="246"/>
        <v>425.75555261105308</v>
      </c>
      <c r="K544" s="307">
        <f t="shared" ca="1" si="247"/>
        <v>1198.554626704037</v>
      </c>
      <c r="L544" s="304">
        <f t="shared" ca="1" si="232"/>
        <v>1271.9280576246429</v>
      </c>
      <c r="M544" s="306">
        <f t="shared" ca="1" si="248"/>
        <v>1.2112706513224438</v>
      </c>
      <c r="N544" s="304">
        <f t="shared" ca="1" si="249"/>
        <v>69.400696168838365</v>
      </c>
      <c r="P544" s="310">
        <f t="shared" ca="1" si="250"/>
        <v>15</v>
      </c>
      <c r="Q544" s="304">
        <f t="shared" ca="1" si="251"/>
        <v>2175.8781165413634</v>
      </c>
      <c r="R544" s="306">
        <f t="shared" ca="1" si="252"/>
        <v>1.3085168239927454</v>
      </c>
      <c r="S544" s="307">
        <f t="shared" ca="1" si="253"/>
        <v>13.251564398980628</v>
      </c>
      <c r="T544" s="304">
        <f t="shared" ca="1" si="233"/>
        <v>129.99784675399997</v>
      </c>
      <c r="U544" s="311">
        <f t="shared" ca="1" si="234"/>
        <v>0</v>
      </c>
      <c r="V544" s="306">
        <f t="shared" ca="1" si="235"/>
        <v>1.0864783466545498</v>
      </c>
      <c r="W544" s="304">
        <f t="shared" ca="1" si="236"/>
        <v>1302.9607111128321</v>
      </c>
      <c r="Y544" s="314" t="str">
        <f t="shared" ca="1" si="254"/>
        <v/>
      </c>
      <c r="Z544" s="315" t="str">
        <f t="shared" ca="1" si="255"/>
        <v/>
      </c>
      <c r="AA544" s="316" t="str">
        <f t="shared" ca="1" si="256"/>
        <v/>
      </c>
      <c r="AC544" s="310" t="e">
        <f t="shared" ca="1" si="257"/>
        <v>#N/A</v>
      </c>
      <c r="AD544" s="323" t="e">
        <f t="shared" ca="1" si="258"/>
        <v>#N/A</v>
      </c>
      <c r="AE544" s="324">
        <f t="shared" ca="1" si="237"/>
        <v>1198.554626704037</v>
      </c>
      <c r="AG544" s="306">
        <f t="shared" ca="1" si="259"/>
        <v>56.890270922101372</v>
      </c>
      <c r="AH544" s="304">
        <f t="shared" ca="1" si="260"/>
        <v>66.073315656470427</v>
      </c>
    </row>
    <row r="545" spans="1:34" x14ac:dyDescent="0.2">
      <c r="A545" s="347">
        <f t="shared" ca="1" si="238"/>
        <v>0.01</v>
      </c>
      <c r="B545" s="304">
        <f t="shared" ca="1" si="239"/>
        <v>5.4099999999999291</v>
      </c>
      <c r="D545" s="306">
        <f t="shared" ca="1" si="240"/>
        <v>23.160902249995548</v>
      </c>
      <c r="E545" s="307">
        <f t="shared" ca="1" si="241"/>
        <v>51.810855194835781</v>
      </c>
      <c r="F545" s="304">
        <f t="shared" ca="1" si="242"/>
        <v>56.752022951204921</v>
      </c>
      <c r="G545" s="306">
        <f t="shared" ca="1" si="243"/>
        <v>162.16073343333676</v>
      </c>
      <c r="H545" s="307">
        <f t="shared" ca="1" si="244"/>
        <v>431.33945650477438</v>
      </c>
      <c r="I545" s="304">
        <f t="shared" ca="1" si="245"/>
        <v>460.81431206666298</v>
      </c>
      <c r="J545" s="306">
        <f t="shared" ca="1" si="246"/>
        <v>427.37600190027393</v>
      </c>
      <c r="K545" s="307">
        <f t="shared" ca="1" si="247"/>
        <v>1202.865430726325</v>
      </c>
      <c r="L545" s="304">
        <f t="shared" ca="1" si="232"/>
        <v>1276.532604925033</v>
      </c>
      <c r="M545" s="306">
        <f t="shared" ca="1" si="248"/>
        <v>1.2111957522815704</v>
      </c>
      <c r="N545" s="304">
        <f t="shared" ca="1" si="249"/>
        <v>69.396404769906738</v>
      </c>
      <c r="P545" s="310">
        <f t="shared" ca="1" si="250"/>
        <v>15</v>
      </c>
      <c r="Q545" s="304">
        <f t="shared" ca="1" si="251"/>
        <v>2174.4471766917395</v>
      </c>
      <c r="R545" s="306">
        <f t="shared" ca="1" si="252"/>
        <v>1.3076562937759468</v>
      </c>
      <c r="S545" s="307">
        <f t="shared" ca="1" si="253"/>
        <v>13.238487836042868</v>
      </c>
      <c r="T545" s="304">
        <f t="shared" ca="1" si="233"/>
        <v>129.86956567158055</v>
      </c>
      <c r="U545" s="311">
        <f t="shared" ca="1" si="234"/>
        <v>0</v>
      </c>
      <c r="V545" s="306">
        <f t="shared" ca="1" si="235"/>
        <v>1.086008394600817</v>
      </c>
      <c r="W545" s="304">
        <f t="shared" ca="1" si="236"/>
        <v>1305.605062713699</v>
      </c>
      <c r="Y545" s="314" t="str">
        <f t="shared" ca="1" si="254"/>
        <v/>
      </c>
      <c r="Z545" s="315" t="str">
        <f t="shared" ca="1" si="255"/>
        <v/>
      </c>
      <c r="AA545" s="316" t="str">
        <f t="shared" ca="1" si="256"/>
        <v/>
      </c>
      <c r="AC545" s="310" t="e">
        <f t="shared" ca="1" si="257"/>
        <v>#N/A</v>
      </c>
      <c r="AD545" s="323" t="e">
        <f t="shared" ca="1" si="258"/>
        <v>#N/A</v>
      </c>
      <c r="AE545" s="324">
        <f t="shared" ca="1" si="237"/>
        <v>1202.865430726325</v>
      </c>
      <c r="AG545" s="306">
        <f t="shared" ca="1" si="259"/>
        <v>56.646973153585996</v>
      </c>
      <c r="AH545" s="304">
        <f t="shared" ca="1" si="260"/>
        <v>65.829759136554415</v>
      </c>
    </row>
    <row r="546" spans="1:34" x14ac:dyDescent="0.2">
      <c r="A546" s="347">
        <f t="shared" ca="1" si="238"/>
        <v>0.01</v>
      </c>
      <c r="B546" s="304">
        <f t="shared" ca="1" si="239"/>
        <v>5.4199999999999289</v>
      </c>
      <c r="D546" s="306">
        <f t="shared" ca="1" si="240"/>
        <v>23.079972370573245</v>
      </c>
      <c r="E546" s="307">
        <f t="shared" ca="1" si="241"/>
        <v>51.58157444401197</v>
      </c>
      <c r="F546" s="304">
        <f t="shared" ca="1" si="242"/>
        <v>56.509680115441924</v>
      </c>
      <c r="G546" s="306">
        <f t="shared" ca="1" si="243"/>
        <v>162.39153315704249</v>
      </c>
      <c r="H546" s="307">
        <f t="shared" ca="1" si="244"/>
        <v>431.85527224921452</v>
      </c>
      <c r="I546" s="304">
        <f t="shared" ca="1" si="245"/>
        <v>461.37835472693996</v>
      </c>
      <c r="J546" s="306">
        <f t="shared" ca="1" si="246"/>
        <v>428.99876323322582</v>
      </c>
      <c r="K546" s="307">
        <f t="shared" ca="1" si="247"/>
        <v>1207.1814043700949</v>
      </c>
      <c r="L546" s="304">
        <f t="shared" ca="1" si="232"/>
        <v>1281.1428030912837</v>
      </c>
      <c r="M546" s="306">
        <f t="shared" ca="1" si="248"/>
        <v>1.2111209298991099</v>
      </c>
      <c r="N546" s="304">
        <f t="shared" ca="1" si="249"/>
        <v>69.392117763178632</v>
      </c>
      <c r="P546" s="310">
        <f t="shared" ca="1" si="250"/>
        <v>15</v>
      </c>
      <c r="Q546" s="304">
        <f t="shared" ca="1" si="251"/>
        <v>2173.0162368421156</v>
      </c>
      <c r="R546" s="306">
        <f t="shared" ca="1" si="252"/>
        <v>1.3067957635591483</v>
      </c>
      <c r="S546" s="307">
        <f t="shared" ca="1" si="253"/>
        <v>13.225419878407276</v>
      </c>
      <c r="T546" s="304">
        <f t="shared" ca="1" si="233"/>
        <v>129.74136900717539</v>
      </c>
      <c r="U546" s="311">
        <f t="shared" ca="1" si="234"/>
        <v>0</v>
      </c>
      <c r="V546" s="306">
        <f t="shared" ca="1" si="235"/>
        <v>1.0855380703681221</v>
      </c>
      <c r="W546" s="304">
        <f t="shared" ca="1" si="236"/>
        <v>1308.2363623297881</v>
      </c>
      <c r="Y546" s="314" t="str">
        <f t="shared" ca="1" si="254"/>
        <v/>
      </c>
      <c r="Z546" s="315" t="str">
        <f t="shared" ca="1" si="255"/>
        <v/>
      </c>
      <c r="AA546" s="316" t="str">
        <f t="shared" ca="1" si="256"/>
        <v/>
      </c>
      <c r="AC546" s="310" t="e">
        <f t="shared" ca="1" si="257"/>
        <v>#N/A</v>
      </c>
      <c r="AD546" s="323" t="e">
        <f t="shared" ca="1" si="258"/>
        <v>#N/A</v>
      </c>
      <c r="AE546" s="324">
        <f t="shared" ca="1" si="237"/>
        <v>1207.1814043700949</v>
      </c>
      <c r="AG546" s="306">
        <f t="shared" ca="1" si="259"/>
        <v>56.40413687892125</v>
      </c>
      <c r="AH546" s="304">
        <f t="shared" ca="1" si="260"/>
        <v>65.586664325463971</v>
      </c>
    </row>
    <row r="547" spans="1:34" x14ac:dyDescent="0.2">
      <c r="A547" s="347">
        <f t="shared" ca="1" si="238"/>
        <v>0.01</v>
      </c>
      <c r="B547" s="304">
        <f t="shared" ca="1" si="239"/>
        <v>5.4299999999999287</v>
      </c>
      <c r="D547" s="306">
        <f t="shared" ca="1" si="240"/>
        <v>22.999167051738329</v>
      </c>
      <c r="E547" s="307">
        <f t="shared" ca="1" si="241"/>
        <v>51.352742635285473</v>
      </c>
      <c r="F547" s="304">
        <f t="shared" ca="1" si="242"/>
        <v>56.267804837576804</v>
      </c>
      <c r="G547" s="306">
        <f t="shared" ca="1" si="243"/>
        <v>162.62152482755988</v>
      </c>
      <c r="H547" s="307">
        <f t="shared" ca="1" si="244"/>
        <v>432.3687996755674</v>
      </c>
      <c r="I547" s="304">
        <f t="shared" ca="1" si="245"/>
        <v>461.93997366555283</v>
      </c>
      <c r="J547" s="306">
        <f t="shared" ca="1" si="246"/>
        <v>430.6238285231488</v>
      </c>
      <c r="K547" s="307">
        <f t="shared" ca="1" si="247"/>
        <v>1211.5025247297187</v>
      </c>
      <c r="L547" s="304">
        <f t="shared" ca="1" si="232"/>
        <v>1285.7586278607728</v>
      </c>
      <c r="M547" s="306">
        <f t="shared" ca="1" si="248"/>
        <v>1.2110461836113371</v>
      </c>
      <c r="N547" s="304">
        <f t="shared" ca="1" si="249"/>
        <v>69.387835116354978</v>
      </c>
      <c r="P547" s="310">
        <f t="shared" ca="1" si="250"/>
        <v>15</v>
      </c>
      <c r="Q547" s="304">
        <f t="shared" ca="1" si="251"/>
        <v>2171.5852969924913</v>
      </c>
      <c r="R547" s="306">
        <f t="shared" ca="1" si="252"/>
        <v>1.3059352333423495</v>
      </c>
      <c r="S547" s="307">
        <f t="shared" ca="1" si="253"/>
        <v>13.212360526073853</v>
      </c>
      <c r="T547" s="304">
        <f t="shared" ca="1" si="233"/>
        <v>129.61325676078451</v>
      </c>
      <c r="U547" s="311">
        <f t="shared" ca="1" si="234"/>
        <v>0</v>
      </c>
      <c r="V547" s="306">
        <f t="shared" ca="1" si="235"/>
        <v>1.0850673770220984</v>
      </c>
      <c r="W547" s="304">
        <f t="shared" ca="1" si="236"/>
        <v>1310.8545990112191</v>
      </c>
      <c r="Y547" s="314" t="str">
        <f t="shared" ca="1" si="254"/>
        <v/>
      </c>
      <c r="Z547" s="315" t="str">
        <f t="shared" ca="1" si="255"/>
        <v/>
      </c>
      <c r="AA547" s="316" t="str">
        <f t="shared" ca="1" si="256"/>
        <v/>
      </c>
      <c r="AC547" s="310" t="e">
        <f t="shared" ca="1" si="257"/>
        <v>#N/A</v>
      </c>
      <c r="AD547" s="323" t="e">
        <f t="shared" ca="1" si="258"/>
        <v>#N/A</v>
      </c>
      <c r="AE547" s="324">
        <f t="shared" ca="1" si="237"/>
        <v>1211.5025247297187</v>
      </c>
      <c r="AG547" s="306">
        <f t="shared" ca="1" si="259"/>
        <v>56.161764818176863</v>
      </c>
      <c r="AH547" s="304">
        <f t="shared" ca="1" si="260"/>
        <v>65.344033941469618</v>
      </c>
    </row>
    <row r="548" spans="1:34" x14ac:dyDescent="0.2">
      <c r="A548" s="347">
        <f t="shared" ca="1" si="238"/>
        <v>0.01</v>
      </c>
      <c r="B548" s="304">
        <f t="shared" ca="1" si="239"/>
        <v>5.4399999999999284</v>
      </c>
      <c r="D548" s="306">
        <f t="shared" ca="1" si="240"/>
        <v>22.918487423850927</v>
      </c>
      <c r="E548" s="307">
        <f t="shared" ca="1" si="241"/>
        <v>51.12436221519593</v>
      </c>
      <c r="F548" s="304">
        <f t="shared" ca="1" si="242"/>
        <v>56.026399828186051</v>
      </c>
      <c r="G548" s="306">
        <f t="shared" ca="1" si="243"/>
        <v>162.85070970179839</v>
      </c>
      <c r="H548" s="307">
        <f t="shared" ca="1" si="244"/>
        <v>432.88004329771934</v>
      </c>
      <c r="I548" s="304">
        <f t="shared" ca="1" si="245"/>
        <v>462.49917355149381</v>
      </c>
      <c r="J548" s="306">
        <f t="shared" ca="1" si="246"/>
        <v>432.25118969579557</v>
      </c>
      <c r="K548" s="307">
        <f t="shared" ca="1" si="247"/>
        <v>1215.8287689445851</v>
      </c>
      <c r="L548" s="304">
        <f t="shared" ca="1" si="232"/>
        <v>1290.3800550174108</v>
      </c>
      <c r="M548" s="306">
        <f t="shared" ca="1" si="248"/>
        <v>1.2109715128584164</v>
      </c>
      <c r="N548" s="304">
        <f t="shared" ca="1" si="249"/>
        <v>69.38355679735956</v>
      </c>
      <c r="P548" s="310">
        <f t="shared" ca="1" si="250"/>
        <v>15</v>
      </c>
      <c r="Q548" s="304">
        <f t="shared" ca="1" si="251"/>
        <v>2170.1543571428674</v>
      </c>
      <c r="R548" s="306">
        <f t="shared" ca="1" si="252"/>
        <v>1.305074703125551</v>
      </c>
      <c r="S548" s="307">
        <f t="shared" ca="1" si="253"/>
        <v>13.199309779042597</v>
      </c>
      <c r="T548" s="304">
        <f t="shared" ca="1" si="233"/>
        <v>129.48522893240789</v>
      </c>
      <c r="U548" s="311">
        <f t="shared" ca="1" si="234"/>
        <v>0</v>
      </c>
      <c r="V548" s="306">
        <f t="shared" ca="1" si="235"/>
        <v>1.0845963176194875</v>
      </c>
      <c r="W548" s="304">
        <f t="shared" ca="1" si="236"/>
        <v>1313.4597623926065</v>
      </c>
      <c r="Y548" s="314" t="str">
        <f t="shared" ca="1" si="254"/>
        <v/>
      </c>
      <c r="Z548" s="315" t="str">
        <f t="shared" ca="1" si="255"/>
        <v/>
      </c>
      <c r="AA548" s="316" t="str">
        <f t="shared" ca="1" si="256"/>
        <v/>
      </c>
      <c r="AC548" s="310" t="e">
        <f t="shared" ca="1" si="257"/>
        <v>#N/A</v>
      </c>
      <c r="AD548" s="323" t="e">
        <f t="shared" ca="1" si="258"/>
        <v>#N/A</v>
      </c>
      <c r="AE548" s="324">
        <f t="shared" ca="1" si="237"/>
        <v>1215.8287689445851</v>
      </c>
      <c r="AG548" s="306">
        <f t="shared" ca="1" si="259"/>
        <v>55.919859655777117</v>
      </c>
      <c r="AH548" s="304">
        <f t="shared" ca="1" si="260"/>
        <v>65.10187066720826</v>
      </c>
    </row>
    <row r="549" spans="1:34" x14ac:dyDescent="0.2">
      <c r="A549" s="347">
        <f t="shared" ca="1" si="238"/>
        <v>0.01</v>
      </c>
      <c r="B549" s="304">
        <f t="shared" ca="1" si="239"/>
        <v>5.4499999999999282</v>
      </c>
      <c r="D549" s="306">
        <f t="shared" ca="1" si="240"/>
        <v>22.837934604548902</v>
      </c>
      <c r="E549" s="307">
        <f t="shared" ca="1" si="241"/>
        <v>50.896435597059202</v>
      </c>
      <c r="F549" s="304">
        <f t="shared" ca="1" si="242"/>
        <v>55.78546776255665</v>
      </c>
      <c r="G549" s="306">
        <f t="shared" ca="1" si="243"/>
        <v>163.07908904784389</v>
      </c>
      <c r="H549" s="307">
        <f t="shared" ca="1" si="244"/>
        <v>433.38900765368993</v>
      </c>
      <c r="I549" s="304">
        <f t="shared" ca="1" si="245"/>
        <v>463.05595908024412</v>
      </c>
      <c r="J549" s="306">
        <f t="shared" ca="1" si="246"/>
        <v>433.88083868954379</v>
      </c>
      <c r="K549" s="307">
        <f t="shared" ca="1" si="247"/>
        <v>1220.1601141993422</v>
      </c>
      <c r="L549" s="304">
        <f t="shared" ca="1" si="232"/>
        <v>1295.0070603919091</v>
      </c>
      <c r="M549" s="306">
        <f t="shared" ca="1" si="248"/>
        <v>1.2108969170843695</v>
      </c>
      <c r="N549" s="304">
        <f t="shared" ca="1" si="249"/>
        <v>69.37928277433717</v>
      </c>
      <c r="P549" s="310">
        <f t="shared" ca="1" si="250"/>
        <v>15</v>
      </c>
      <c r="Q549" s="304">
        <f t="shared" ca="1" si="251"/>
        <v>2168.7234172932435</v>
      </c>
      <c r="R549" s="306">
        <f t="shared" ca="1" si="252"/>
        <v>1.3042141729087524</v>
      </c>
      <c r="S549" s="307">
        <f t="shared" ca="1" si="253"/>
        <v>13.186267637313509</v>
      </c>
      <c r="T549" s="304">
        <f t="shared" ca="1" si="233"/>
        <v>129.35728552204554</v>
      </c>
      <c r="U549" s="311">
        <f t="shared" ca="1" si="234"/>
        <v>0</v>
      </c>
      <c r="V549" s="306">
        <f t="shared" ca="1" si="235"/>
        <v>1.0841248952081162</v>
      </c>
      <c r="W549" s="304">
        <f t="shared" ca="1" si="236"/>
        <v>1316.0518426891472</v>
      </c>
      <c r="Y549" s="314" t="str">
        <f t="shared" ca="1" si="254"/>
        <v/>
      </c>
      <c r="Z549" s="315" t="str">
        <f t="shared" ca="1" si="255"/>
        <v/>
      </c>
      <c r="AA549" s="316" t="str">
        <f t="shared" ca="1" si="256"/>
        <v/>
      </c>
      <c r="AC549" s="310" t="e">
        <f t="shared" ca="1" si="257"/>
        <v>#N/A</v>
      </c>
      <c r="AD549" s="323" t="e">
        <f t="shared" ca="1" si="258"/>
        <v>#N/A</v>
      </c>
      <c r="AE549" s="324">
        <f t="shared" ca="1" si="237"/>
        <v>1220.1601141993422</v>
      </c>
      <c r="AG549" s="306">
        <f t="shared" ca="1" si="259"/>
        <v>55.67842404060324</v>
      </c>
      <c r="AH549" s="304">
        <f t="shared" ca="1" si="260"/>
        <v>64.860177149785443</v>
      </c>
    </row>
    <row r="550" spans="1:34" x14ac:dyDescent="0.2">
      <c r="A550" s="347">
        <f t="shared" ca="1" si="238"/>
        <v>0.01</v>
      </c>
      <c r="B550" s="304">
        <f t="shared" ca="1" si="239"/>
        <v>5.459999999999928</v>
      </c>
      <c r="D550" s="306">
        <f t="shared" ca="1" si="240"/>
        <v>22.757509698779042</v>
      </c>
      <c r="E550" s="307">
        <f t="shared" ca="1" si="241"/>
        <v>50.668965161066858</v>
      </c>
      <c r="F550" s="304">
        <f t="shared" ca="1" si="242"/>
        <v>55.545011280793069</v>
      </c>
      <c r="G550" s="306">
        <f t="shared" ca="1" si="243"/>
        <v>163.30666414483167</v>
      </c>
      <c r="H550" s="307">
        <f t="shared" ca="1" si="244"/>
        <v>433.89569730530059</v>
      </c>
      <c r="I550" s="304">
        <f t="shared" ca="1" si="245"/>
        <v>463.61033497341913</v>
      </c>
      <c r="J550" s="306">
        <f t="shared" ca="1" si="246"/>
        <v>435.51276745550717</v>
      </c>
      <c r="K550" s="307">
        <f t="shared" ca="1" si="247"/>
        <v>1224.4965377241372</v>
      </c>
      <c r="L550" s="304">
        <f t="shared" ca="1" si="232"/>
        <v>1299.6396198620423</v>
      </c>
      <c r="M550" s="306">
        <f t="shared" ca="1" si="248"/>
        <v>1.2108223957370399</v>
      </c>
      <c r="N550" s="304">
        <f t="shared" ca="1" si="249"/>
        <v>69.375013015651547</v>
      </c>
      <c r="P550" s="310">
        <f t="shared" ca="1" si="250"/>
        <v>15</v>
      </c>
      <c r="Q550" s="304">
        <f t="shared" ca="1" si="251"/>
        <v>2167.2924774436192</v>
      </c>
      <c r="R550" s="306">
        <f t="shared" ca="1" si="252"/>
        <v>1.3033536426919536</v>
      </c>
      <c r="S550" s="307">
        <f t="shared" ca="1" si="253"/>
        <v>13.173234100886591</v>
      </c>
      <c r="T550" s="304">
        <f t="shared" ca="1" si="233"/>
        <v>129.22942652969746</v>
      </c>
      <c r="U550" s="311">
        <f t="shared" ca="1" si="234"/>
        <v>0</v>
      </c>
      <c r="V550" s="306">
        <f t="shared" ca="1" si="235"/>
        <v>1.083653112826872</v>
      </c>
      <c r="W550" s="304">
        <f t="shared" ca="1" si="236"/>
        <v>1318.6308306926817</v>
      </c>
      <c r="Y550" s="314" t="str">
        <f t="shared" ca="1" si="254"/>
        <v/>
      </c>
      <c r="Z550" s="315" t="str">
        <f t="shared" ca="1" si="255"/>
        <v/>
      </c>
      <c r="AA550" s="316" t="str">
        <f t="shared" ca="1" si="256"/>
        <v/>
      </c>
      <c r="AC550" s="310" t="e">
        <f t="shared" ca="1" si="257"/>
        <v>#N/A</v>
      </c>
      <c r="AD550" s="323" t="e">
        <f t="shared" ca="1" si="258"/>
        <v>#N/A</v>
      </c>
      <c r="AE550" s="324">
        <f t="shared" ca="1" si="237"/>
        <v>1224.4965377241372</v>
      </c>
      <c r="AG550" s="306">
        <f t="shared" ca="1" si="259"/>
        <v>55.437460586097288</v>
      </c>
      <c r="AH550" s="304">
        <f t="shared" ca="1" si="260"/>
        <v>64.618956000879194</v>
      </c>
    </row>
    <row r="551" spans="1:34" x14ac:dyDescent="0.2">
      <c r="A551" s="347">
        <f t="shared" ca="1" si="238"/>
        <v>0.01</v>
      </c>
      <c r="B551" s="304">
        <f t="shared" ca="1" si="239"/>
        <v>5.4699999999999278</v>
      </c>
      <c r="D551" s="306">
        <f t="shared" ca="1" si="240"/>
        <v>22.677213798829435</v>
      </c>
      <c r="E551" s="307">
        <f t="shared" ca="1" si="241"/>
        <v>50.441953254388281</v>
      </c>
      <c r="F551" s="304">
        <f t="shared" ca="1" si="242"/>
        <v>55.30503298792717</v>
      </c>
      <c r="G551" s="306">
        <f t="shared" ca="1" si="243"/>
        <v>163.53343628281996</v>
      </c>
      <c r="H551" s="307">
        <f t="shared" ca="1" si="244"/>
        <v>434.40011683784445</v>
      </c>
      <c r="I551" s="304">
        <f t="shared" ca="1" si="245"/>
        <v>464.1623059784153</v>
      </c>
      <c r="J551" s="306">
        <f t="shared" ca="1" si="246"/>
        <v>437.14696795764542</v>
      </c>
      <c r="K551" s="307">
        <f t="shared" ca="1" si="247"/>
        <v>1228.8380167948528</v>
      </c>
      <c r="L551" s="304">
        <f t="shared" ca="1" si="232"/>
        <v>1304.2777093529085</v>
      </c>
      <c r="M551" s="306">
        <f t="shared" ca="1" si="248"/>
        <v>1.210747948268059</v>
      </c>
      <c r="N551" s="304">
        <f t="shared" ca="1" si="249"/>
        <v>69.370747489883513</v>
      </c>
      <c r="P551" s="310">
        <f t="shared" ca="1" si="250"/>
        <v>15</v>
      </c>
      <c r="Q551" s="304">
        <f t="shared" ca="1" si="251"/>
        <v>2165.8615375939953</v>
      </c>
      <c r="R551" s="306">
        <f t="shared" ca="1" si="252"/>
        <v>1.3024931124751551</v>
      </c>
      <c r="S551" s="307">
        <f t="shared" ca="1" si="253"/>
        <v>13.160209169761838</v>
      </c>
      <c r="T551" s="304">
        <f t="shared" ca="1" si="233"/>
        <v>129.10165195536365</v>
      </c>
      <c r="U551" s="311">
        <f t="shared" ca="1" si="234"/>
        <v>0</v>
      </c>
      <c r="V551" s="306">
        <f t="shared" ca="1" si="235"/>
        <v>1.0831809735056832</v>
      </c>
      <c r="W551" s="304">
        <f t="shared" ca="1" si="236"/>
        <v>1321.1967177677534</v>
      </c>
      <c r="Y551" s="314" t="str">
        <f t="shared" ca="1" si="254"/>
        <v/>
      </c>
      <c r="Z551" s="315" t="str">
        <f t="shared" ca="1" si="255"/>
        <v/>
      </c>
      <c r="AA551" s="316" t="str">
        <f t="shared" ca="1" si="256"/>
        <v/>
      </c>
      <c r="AC551" s="310" t="e">
        <f t="shared" ca="1" si="257"/>
        <v>#N/A</v>
      </c>
      <c r="AD551" s="323" t="e">
        <f t="shared" ca="1" si="258"/>
        <v>#N/A</v>
      </c>
      <c r="AE551" s="324">
        <f t="shared" ca="1" si="237"/>
        <v>1228.8380167948528</v>
      </c>
      <c r="AG551" s="306">
        <f t="shared" ca="1" si="259"/>
        <v>55.196971870368991</v>
      </c>
      <c r="AH551" s="304">
        <f t="shared" ca="1" si="260"/>
        <v>64.378209796846718</v>
      </c>
    </row>
    <row r="552" spans="1:34" x14ac:dyDescent="0.2">
      <c r="A552" s="347">
        <f t="shared" ca="1" si="238"/>
        <v>0.01</v>
      </c>
      <c r="B552" s="304">
        <f t="shared" ca="1" si="239"/>
        <v>5.4799999999999276</v>
      </c>
      <c r="D552" s="306">
        <f t="shared" ca="1" si="240"/>
        <v>22.597047984362156</v>
      </c>
      <c r="E552" s="307">
        <f t="shared" ca="1" si="241"/>
        <v>50.215402191273682</v>
      </c>
      <c r="F552" s="304">
        <f t="shared" ca="1" si="242"/>
        <v>55.065535454029131</v>
      </c>
      <c r="G552" s="306">
        <f t="shared" ca="1" si="243"/>
        <v>163.75940676266359</v>
      </c>
      <c r="H552" s="307">
        <f t="shared" ca="1" si="244"/>
        <v>434.90227085975721</v>
      </c>
      <c r="I552" s="304">
        <f t="shared" ca="1" si="245"/>
        <v>464.71187686805803</v>
      </c>
      <c r="J552" s="306">
        <f t="shared" ca="1" si="246"/>
        <v>438.78343217287284</v>
      </c>
      <c r="K552" s="307">
        <f t="shared" ca="1" si="247"/>
        <v>1233.1845287333408</v>
      </c>
      <c r="L552" s="304">
        <f t="shared" ca="1" si="232"/>
        <v>1308.9213048371846</v>
      </c>
      <c r="M552" s="306">
        <f t="shared" ca="1" si="248"/>
        <v>1.210673574132815</v>
      </c>
      <c r="N552" s="304">
        <f t="shared" ca="1" si="249"/>
        <v>69.366486165829087</v>
      </c>
      <c r="P552" s="310">
        <f t="shared" ca="1" si="250"/>
        <v>15</v>
      </c>
      <c r="Q552" s="304">
        <f t="shared" ca="1" si="251"/>
        <v>2164.4305977443714</v>
      </c>
      <c r="R552" s="306">
        <f t="shared" ca="1" si="252"/>
        <v>1.3016325822583565</v>
      </c>
      <c r="S552" s="307">
        <f t="shared" ca="1" si="253"/>
        <v>13.147192843939255</v>
      </c>
      <c r="T552" s="304">
        <f t="shared" ca="1" si="233"/>
        <v>128.9739617990441</v>
      </c>
      <c r="U552" s="311">
        <f t="shared" ca="1" si="234"/>
        <v>0</v>
      </c>
      <c r="V552" s="306">
        <f t="shared" ca="1" si="235"/>
        <v>1.0827084802654932</v>
      </c>
      <c r="W552" s="304">
        <f t="shared" ca="1" si="236"/>
        <v>1323.7494958476475</v>
      </c>
      <c r="Y552" s="314" t="str">
        <f t="shared" ca="1" si="254"/>
        <v/>
      </c>
      <c r="Z552" s="315" t="str">
        <f t="shared" ca="1" si="255"/>
        <v/>
      </c>
      <c r="AA552" s="316" t="str">
        <f t="shared" ca="1" si="256"/>
        <v/>
      </c>
      <c r="AC552" s="310" t="e">
        <f t="shared" ca="1" si="257"/>
        <v>#N/A</v>
      </c>
      <c r="AD552" s="323" t="e">
        <f t="shared" ca="1" si="258"/>
        <v>#N/A</v>
      </c>
      <c r="AE552" s="324">
        <f t="shared" ca="1" si="237"/>
        <v>1233.1845287333408</v>
      </c>
      <c r="AG552" s="306">
        <f t="shared" ca="1" si="259"/>
        <v>54.956960436303461</v>
      </c>
      <c r="AH552" s="304">
        <f t="shared" ca="1" si="260"/>
        <v>64.137941078832029</v>
      </c>
    </row>
    <row r="553" spans="1:34" x14ac:dyDescent="0.2">
      <c r="A553" s="347">
        <f t="shared" ca="1" si="238"/>
        <v>0.01</v>
      </c>
      <c r="B553" s="304">
        <f t="shared" ca="1" si="239"/>
        <v>5.4899999999999274</v>
      </c>
      <c r="D553" s="306">
        <f t="shared" ca="1" si="240"/>
        <v>22.517013322446825</v>
      </c>
      <c r="E553" s="307">
        <f t="shared" ca="1" si="241"/>
        <v>49.989314253159748</v>
      </c>
      <c r="F553" s="304">
        <f t="shared" ca="1" si="242"/>
        <v>54.826521214321161</v>
      </c>
      <c r="G553" s="306">
        <f t="shared" ca="1" si="243"/>
        <v>163.98457689588807</v>
      </c>
      <c r="H553" s="307">
        <f t="shared" ca="1" si="244"/>
        <v>435.40216400228883</v>
      </c>
      <c r="I553" s="304">
        <f t="shared" ca="1" si="245"/>
        <v>465.25905244025017</v>
      </c>
      <c r="J553" s="306">
        <f t="shared" ca="1" si="246"/>
        <v>440.42215209116557</v>
      </c>
      <c r="K553" s="307">
        <f t="shared" ca="1" si="247"/>
        <v>1237.5360509076511</v>
      </c>
      <c r="L553" s="304">
        <f t="shared" ca="1" si="232"/>
        <v>1313.5703823353806</v>
      </c>
      <c r="M553" s="306">
        <f t="shared" ca="1" si="248"/>
        <v>1.2105992727904169</v>
      </c>
      <c r="N553" s="304">
        <f t="shared" ca="1" si="249"/>
        <v>69.362229012497522</v>
      </c>
      <c r="P553" s="310">
        <f t="shared" ca="1" si="250"/>
        <v>15</v>
      </c>
      <c r="Q553" s="304">
        <f t="shared" ca="1" si="251"/>
        <v>2162.9996578947471</v>
      </c>
      <c r="R553" s="306">
        <f t="shared" ca="1" si="252"/>
        <v>1.3007720520415578</v>
      </c>
      <c r="S553" s="307">
        <f t="shared" ca="1" si="253"/>
        <v>13.13418512341884</v>
      </c>
      <c r="T553" s="304">
        <f t="shared" ca="1" si="233"/>
        <v>128.84635606073883</v>
      </c>
      <c r="U553" s="311">
        <f t="shared" ca="1" si="234"/>
        <v>0</v>
      </c>
      <c r="V553" s="306">
        <f t="shared" ca="1" si="235"/>
        <v>1.0822356361182415</v>
      </c>
      <c r="W553" s="304">
        <f t="shared" ca="1" si="236"/>
        <v>1326.2891574304213</v>
      </c>
      <c r="Y553" s="314" t="str">
        <f t="shared" ca="1" si="254"/>
        <v/>
      </c>
      <c r="Z553" s="315" t="str">
        <f t="shared" ca="1" si="255"/>
        <v/>
      </c>
      <c r="AA553" s="316" t="str">
        <f t="shared" ca="1" si="256"/>
        <v/>
      </c>
      <c r="AC553" s="310" t="e">
        <f t="shared" ca="1" si="257"/>
        <v>#N/A</v>
      </c>
      <c r="AD553" s="323" t="e">
        <f t="shared" ca="1" si="258"/>
        <v>#N/A</v>
      </c>
      <c r="AE553" s="324">
        <f t="shared" ca="1" si="237"/>
        <v>1237.5360509076511</v>
      </c>
      <c r="AG553" s="306">
        <f t="shared" ca="1" si="259"/>
        <v>54.717428791671729</v>
      </c>
      <c r="AH553" s="304">
        <f t="shared" ca="1" si="260"/>
        <v>63.898152352876387</v>
      </c>
    </row>
    <row r="554" spans="1:34" x14ac:dyDescent="0.2">
      <c r="A554" s="347">
        <f t="shared" ca="1" si="238"/>
        <v>0.01</v>
      </c>
      <c r="B554" s="304">
        <f t="shared" ca="1" si="239"/>
        <v>5.4999999999999272</v>
      </c>
      <c r="D554" s="306">
        <f t="shared" ca="1" si="240"/>
        <v>22.430625878350224</v>
      </c>
      <c r="E554" s="307">
        <f t="shared" ca="1" si="241"/>
        <v>49.746473128323316</v>
      </c>
      <c r="F554" s="304">
        <f t="shared" ca="1" si="242"/>
        <v>54.569630436732012</v>
      </c>
      <c r="G554" s="306">
        <f t="shared" ca="1" si="243"/>
        <v>164.20888315467158</v>
      </c>
      <c r="H554" s="307">
        <f t="shared" ca="1" si="244"/>
        <v>435.89962873357206</v>
      </c>
      <c r="I554" s="304">
        <f t="shared" ca="1" si="245"/>
        <v>465.80365352471267</v>
      </c>
      <c r="J554" s="306">
        <f t="shared" ca="1" si="246"/>
        <v>442.06311939141835</v>
      </c>
      <c r="K554" s="307">
        <f t="shared" ca="1" si="247"/>
        <v>1241.8925598713304</v>
      </c>
      <c r="L554" s="304">
        <f t="shared" ca="1" si="232"/>
        <v>1318.2249169962754</v>
      </c>
      <c r="M554" s="306">
        <f t="shared" ca="1" si="248"/>
        <v>1.2105250436743444</v>
      </c>
      <c r="N554" s="304">
        <f t="shared" ca="1" si="249"/>
        <v>69.357975997429591</v>
      </c>
      <c r="P554" s="310">
        <f t="shared" ca="1" si="250"/>
        <v>16</v>
      </c>
      <c r="Q554" s="304">
        <f t="shared" ca="1" si="251"/>
        <v>2161.3273898858238</v>
      </c>
      <c r="R554" s="306">
        <f t="shared" ca="1" si="252"/>
        <v>1.2997663933112888</v>
      </c>
      <c r="S554" s="307">
        <f t="shared" ca="1" si="253"/>
        <v>13.121187459485727</v>
      </c>
      <c r="T554" s="304">
        <f t="shared" ca="1" si="233"/>
        <v>128.71884897755498</v>
      </c>
      <c r="U554" s="311">
        <f t="shared" ca="1" si="234"/>
        <v>0</v>
      </c>
      <c r="V554" s="306">
        <f t="shared" ca="1" si="235"/>
        <v>1.0817624441603337</v>
      </c>
      <c r="W554" s="304">
        <f t="shared" ca="1" si="236"/>
        <v>1328.8146459233278</v>
      </c>
      <c r="Y554" s="314" t="str">
        <f t="shared" ca="1" si="254"/>
        <v/>
      </c>
      <c r="Z554" s="315" t="str">
        <f t="shared" ca="1" si="255"/>
        <v/>
      </c>
      <c r="AA554" s="316" t="str">
        <f t="shared" ca="1" si="256"/>
        <v/>
      </c>
      <c r="AC554" s="310" t="e">
        <f t="shared" ca="1" si="257"/>
        <v>#N/A</v>
      </c>
      <c r="AD554" s="323" t="e">
        <f t="shared" ca="1" si="258"/>
        <v>#N/A</v>
      </c>
      <c r="AE554" s="324">
        <f t="shared" ca="1" si="237"/>
        <v>1241.8925598713304</v>
      </c>
      <c r="AG554" s="306">
        <f t="shared" ca="1" si="259"/>
        <v>54.459980118235052</v>
      </c>
      <c r="AH554" s="304">
        <f t="shared" ca="1" si="260"/>
        <v>63.640446799022492</v>
      </c>
    </row>
    <row r="555" spans="1:34" x14ac:dyDescent="0.2">
      <c r="A555" s="347">
        <f t="shared" ca="1" si="238"/>
        <v>0.01</v>
      </c>
      <c r="B555" s="304">
        <f t="shared" ca="1" si="239"/>
        <v>5.509999999999927</v>
      </c>
      <c r="D555" s="306">
        <f t="shared" ca="1" si="240"/>
        <v>22.329232457825807</v>
      </c>
      <c r="E555" s="307">
        <f t="shared" ca="1" si="241"/>
        <v>49.463919603386508</v>
      </c>
      <c r="F555" s="304">
        <f t="shared" ca="1" si="242"/>
        <v>54.270378335570001</v>
      </c>
      <c r="G555" s="306">
        <f t="shared" ca="1" si="243"/>
        <v>164.43217547924985</v>
      </c>
      <c r="H555" s="307">
        <f t="shared" ca="1" si="244"/>
        <v>436.39426792960592</v>
      </c>
      <c r="I555" s="304">
        <f t="shared" ca="1" si="245"/>
        <v>466.34525559359503</v>
      </c>
      <c r="J555" s="306">
        <f t="shared" ca="1" si="246"/>
        <v>443.70632468458797</v>
      </c>
      <c r="K555" s="307">
        <f t="shared" ca="1" si="247"/>
        <v>1246.2540293546463</v>
      </c>
      <c r="L555" s="304">
        <f t="shared" ca="1" si="232"/>
        <v>1322.8848809506428</v>
      </c>
      <c r="M555" s="306">
        <f t="shared" ca="1" si="248"/>
        <v>1.2104508861536372</v>
      </c>
      <c r="N555" s="304">
        <f t="shared" ca="1" si="249"/>
        <v>69.353727084473903</v>
      </c>
      <c r="P555" s="310">
        <f t="shared" ca="1" si="250"/>
        <v>16</v>
      </c>
      <c r="Q555" s="304">
        <f t="shared" ca="1" si="251"/>
        <v>2159.0920228385157</v>
      </c>
      <c r="R555" s="306">
        <f t="shared" ca="1" si="252"/>
        <v>1.2984221013829105</v>
      </c>
      <c r="S555" s="307">
        <f t="shared" ca="1" si="253"/>
        <v>13.108203238471898</v>
      </c>
      <c r="T555" s="304">
        <f t="shared" ca="1" si="233"/>
        <v>128.59147376940933</v>
      </c>
      <c r="U555" s="311">
        <f t="shared" ca="1" si="234"/>
        <v>0</v>
      </c>
      <c r="V555" s="306">
        <f t="shared" ca="1" si="235"/>
        <v>1.0812889077905077</v>
      </c>
      <c r="W555" s="304">
        <f t="shared" ca="1" si="236"/>
        <v>1331.3235015937958</v>
      </c>
      <c r="Y555" s="314" t="str">
        <f t="shared" ca="1" si="254"/>
        <v/>
      </c>
      <c r="Z555" s="315" t="str">
        <f t="shared" ca="1" si="255"/>
        <v/>
      </c>
      <c r="AA555" s="316" t="str">
        <f t="shared" ca="1" si="256"/>
        <v/>
      </c>
      <c r="AC555" s="310" t="e">
        <f t="shared" ca="1" si="257"/>
        <v>#N/A</v>
      </c>
      <c r="AD555" s="323" t="e">
        <f t="shared" ca="1" si="258"/>
        <v>#N/A</v>
      </c>
      <c r="AE555" s="324">
        <f t="shared" ca="1" si="237"/>
        <v>1246.2540293546463</v>
      </c>
      <c r="AG555" s="306">
        <f t="shared" ca="1" si="259"/>
        <v>54.160078658733866</v>
      </c>
      <c r="AH555" s="304">
        <f t="shared" ca="1" si="260"/>
        <v>63.34028865820197</v>
      </c>
    </row>
    <row r="556" spans="1:34" x14ac:dyDescent="0.2">
      <c r="A556" s="347">
        <f t="shared" ca="1" si="238"/>
        <v>0.01</v>
      </c>
      <c r="B556" s="304">
        <f t="shared" ca="1" si="239"/>
        <v>5.5199999999999267</v>
      </c>
      <c r="D556" s="306">
        <f t="shared" ca="1" si="240"/>
        <v>22.228008146348856</v>
      </c>
      <c r="E556" s="307">
        <f t="shared" ca="1" si="241"/>
        <v>49.181954064265931</v>
      </c>
      <c r="F556" s="304">
        <f t="shared" ca="1" si="242"/>
        <v>53.971742159520062</v>
      </c>
      <c r="G556" s="306">
        <f t="shared" ca="1" si="243"/>
        <v>164.65445556071333</v>
      </c>
      <c r="H556" s="307">
        <f t="shared" ca="1" si="244"/>
        <v>436.88608747024858</v>
      </c>
      <c r="I556" s="304">
        <f t="shared" ca="1" si="245"/>
        <v>466.88386474695892</v>
      </c>
      <c r="J556" s="306">
        <f t="shared" ca="1" si="246"/>
        <v>445.35175783978781</v>
      </c>
      <c r="K556" s="307">
        <f t="shared" ca="1" si="247"/>
        <v>1250.6204311316455</v>
      </c>
      <c r="L556" s="304">
        <f t="shared" ca="1" si="232"/>
        <v>1327.550244237442</v>
      </c>
      <c r="M556" s="306">
        <f t="shared" ca="1" si="248"/>
        <v>1.2103767996017534</v>
      </c>
      <c r="N556" s="304">
        <f t="shared" ca="1" si="249"/>
        <v>69.349482237732289</v>
      </c>
      <c r="P556" s="310">
        <f t="shared" ca="1" si="250"/>
        <v>16</v>
      </c>
      <c r="Q556" s="304">
        <f t="shared" ca="1" si="251"/>
        <v>2156.8566557912072</v>
      </c>
      <c r="R556" s="306">
        <f t="shared" ca="1" si="252"/>
        <v>1.2970778094545319</v>
      </c>
      <c r="S556" s="307">
        <f t="shared" ca="1" si="253"/>
        <v>13.095232460377353</v>
      </c>
      <c r="T556" s="304">
        <f t="shared" ca="1" si="233"/>
        <v>128.46423043630185</v>
      </c>
      <c r="U556" s="311">
        <f t="shared" ca="1" si="234"/>
        <v>0</v>
      </c>
      <c r="V556" s="306">
        <f t="shared" ca="1" si="235"/>
        <v>1.0808150306151147</v>
      </c>
      <c r="W556" s="304">
        <f t="shared" ca="1" si="236"/>
        <v>1333.8157188857588</v>
      </c>
      <c r="Y556" s="314" t="str">
        <f t="shared" ca="1" si="254"/>
        <v/>
      </c>
      <c r="Z556" s="315" t="str">
        <f t="shared" ca="1" si="255"/>
        <v/>
      </c>
      <c r="AA556" s="316" t="str">
        <f t="shared" ca="1" si="256"/>
        <v/>
      </c>
      <c r="AC556" s="310" t="e">
        <f t="shared" ca="1" si="257"/>
        <v>#N/A</v>
      </c>
      <c r="AD556" s="323" t="e">
        <f t="shared" ca="1" si="258"/>
        <v>#N/A</v>
      </c>
      <c r="AE556" s="324">
        <f t="shared" ca="1" si="237"/>
        <v>1250.6204311316455</v>
      </c>
      <c r="AG556" s="306">
        <f t="shared" ca="1" si="259"/>
        <v>53.86078720437709</v>
      </c>
      <c r="AH556" s="304">
        <f t="shared" ca="1" si="260"/>
        <v>63.040740719590318</v>
      </c>
    </row>
    <row r="557" spans="1:34" x14ac:dyDescent="0.2">
      <c r="A557" s="347">
        <f t="shared" ca="1" si="238"/>
        <v>0.01</v>
      </c>
      <c r="B557" s="304">
        <f t="shared" ca="1" si="239"/>
        <v>5.5299999999999265</v>
      </c>
      <c r="D557" s="306">
        <f t="shared" ca="1" si="240"/>
        <v>22.126954285549651</v>
      </c>
      <c r="E557" s="307">
        <f t="shared" ca="1" si="241"/>
        <v>48.900579392018493</v>
      </c>
      <c r="F557" s="304">
        <f t="shared" ca="1" si="242"/>
        <v>53.673725143965065</v>
      </c>
      <c r="G557" s="306">
        <f t="shared" ca="1" si="243"/>
        <v>164.87572510356884</v>
      </c>
      <c r="H557" s="307">
        <f t="shared" ca="1" si="244"/>
        <v>437.37509326416875</v>
      </c>
      <c r="I557" s="304">
        <f t="shared" ca="1" si="245"/>
        <v>467.41948711651713</v>
      </c>
      <c r="J557" s="306">
        <f t="shared" ca="1" si="246"/>
        <v>446.9994087431092</v>
      </c>
      <c r="K557" s="307">
        <f t="shared" ca="1" si="247"/>
        <v>1254.9917370353176</v>
      </c>
      <c r="L557" s="304">
        <f t="shared" ca="1" si="232"/>
        <v>1332.2209769567557</v>
      </c>
      <c r="M557" s="306">
        <f t="shared" ca="1" si="248"/>
        <v>1.2103027833965265</v>
      </c>
      <c r="N557" s="304">
        <f t="shared" ca="1" si="249"/>
        <v>69.345241421557219</v>
      </c>
      <c r="P557" s="310">
        <f t="shared" ca="1" si="250"/>
        <v>16</v>
      </c>
      <c r="Q557" s="304">
        <f t="shared" ca="1" si="251"/>
        <v>2154.6212887438992</v>
      </c>
      <c r="R557" s="306">
        <f t="shared" ca="1" si="252"/>
        <v>1.2957335175261537</v>
      </c>
      <c r="S557" s="307">
        <f t="shared" ca="1" si="253"/>
        <v>13.082275125202091</v>
      </c>
      <c r="T557" s="304">
        <f t="shared" ca="1" si="233"/>
        <v>128.33711897823252</v>
      </c>
      <c r="U557" s="311">
        <f t="shared" ca="1" si="234"/>
        <v>0</v>
      </c>
      <c r="V557" s="306">
        <f t="shared" ca="1" si="235"/>
        <v>1.0803408162291106</v>
      </c>
      <c r="W557" s="304">
        <f t="shared" ca="1" si="236"/>
        <v>1336.2912930101018</v>
      </c>
      <c r="Y557" s="314" t="str">
        <f t="shared" ca="1" si="254"/>
        <v/>
      </c>
      <c r="Z557" s="315" t="str">
        <f t="shared" ca="1" si="255"/>
        <v/>
      </c>
      <c r="AA557" s="316" t="str">
        <f t="shared" ca="1" si="256"/>
        <v/>
      </c>
      <c r="AC557" s="310" t="e">
        <f t="shared" ca="1" si="257"/>
        <v>#N/A</v>
      </c>
      <c r="AD557" s="323" t="e">
        <f t="shared" ca="1" si="258"/>
        <v>#N/A</v>
      </c>
      <c r="AE557" s="324">
        <f t="shared" ca="1" si="237"/>
        <v>1254.9917370353176</v>
      </c>
      <c r="AG557" s="306">
        <f t="shared" ca="1" si="259"/>
        <v>53.562108920308503</v>
      </c>
      <c r="AH557" s="304">
        <f t="shared" ca="1" si="260"/>
        <v>62.741806146311333</v>
      </c>
    </row>
    <row r="558" spans="1:34" x14ac:dyDescent="0.2">
      <c r="A558" s="347">
        <f t="shared" ca="1" si="238"/>
        <v>0.01</v>
      </c>
      <c r="B558" s="304">
        <f t="shared" ca="1" si="239"/>
        <v>5.5399999999999263</v>
      </c>
      <c r="D558" s="306">
        <f t="shared" ca="1" si="240"/>
        <v>22.026072199108636</v>
      </c>
      <c r="E558" s="307">
        <f t="shared" ca="1" si="241"/>
        <v>48.619798421065013</v>
      </c>
      <c r="F558" s="304">
        <f t="shared" ca="1" si="242"/>
        <v>53.376330475458339</v>
      </c>
      <c r="G558" s="306">
        <f t="shared" ca="1" si="243"/>
        <v>165.09598582555992</v>
      </c>
      <c r="H558" s="307">
        <f t="shared" ca="1" si="244"/>
        <v>437.86129124837942</v>
      </c>
      <c r="I558" s="304">
        <f t="shared" ca="1" si="245"/>
        <v>467.95212886513468</v>
      </c>
      <c r="J558" s="306">
        <f t="shared" ca="1" si="246"/>
        <v>448.64926729775482</v>
      </c>
      <c r="K558" s="307">
        <f t="shared" ca="1" si="247"/>
        <v>1259.3679189578802</v>
      </c>
      <c r="L558" s="304">
        <f t="shared" ca="1" si="232"/>
        <v>1336.8970492701053</v>
      </c>
      <c r="M558" s="306">
        <f t="shared" ca="1" si="248"/>
        <v>1.2102288369201251</v>
      </c>
      <c r="N558" s="304">
        <f t="shared" ca="1" si="249"/>
        <v>69.341004600549553</v>
      </c>
      <c r="P558" s="310">
        <f t="shared" ca="1" si="250"/>
        <v>16</v>
      </c>
      <c r="Q558" s="304">
        <f t="shared" ca="1" si="251"/>
        <v>2152.3859216965907</v>
      </c>
      <c r="R558" s="306">
        <f t="shared" ca="1" si="252"/>
        <v>1.2943892255977751</v>
      </c>
      <c r="S558" s="307">
        <f t="shared" ca="1" si="253"/>
        <v>13.069331232946114</v>
      </c>
      <c r="T558" s="304">
        <f t="shared" ca="1" si="233"/>
        <v>128.2101393952014</v>
      </c>
      <c r="U558" s="311">
        <f t="shared" ca="1" si="234"/>
        <v>0</v>
      </c>
      <c r="V558" s="306">
        <f t="shared" ca="1" si="235"/>
        <v>1.0798662682160285</v>
      </c>
      <c r="W558" s="304">
        <f t="shared" ca="1" si="236"/>
        <v>1338.7502199385681</v>
      </c>
      <c r="Y558" s="314" t="str">
        <f t="shared" ca="1" si="254"/>
        <v/>
      </c>
      <c r="Z558" s="315" t="str">
        <f t="shared" ca="1" si="255"/>
        <v/>
      </c>
      <c r="AA558" s="316" t="str">
        <f t="shared" ca="1" si="256"/>
        <v/>
      </c>
      <c r="AC558" s="310" t="e">
        <f t="shared" ca="1" si="257"/>
        <v>#N/A</v>
      </c>
      <c r="AD558" s="323" t="e">
        <f t="shared" ca="1" si="258"/>
        <v>#N/A</v>
      </c>
      <c r="AE558" s="324">
        <f t="shared" ca="1" si="237"/>
        <v>1259.3679189578802</v>
      </c>
      <c r="AG558" s="306">
        <f t="shared" ca="1" si="259"/>
        <v>53.26404692174038</v>
      </c>
      <c r="AH558" s="304">
        <f t="shared" ca="1" si="260"/>
        <v>62.443488051570583</v>
      </c>
    </row>
    <row r="559" spans="1:34" x14ac:dyDescent="0.2">
      <c r="A559" s="347">
        <f t="shared" ca="1" si="238"/>
        <v>0.01</v>
      </c>
      <c r="B559" s="304">
        <f t="shared" ca="1" si="239"/>
        <v>5.5499999999999261</v>
      </c>
      <c r="D559" s="306">
        <f t="shared" ca="1" si="240"/>
        <v>21.925363192815222</v>
      </c>
      <c r="E559" s="307">
        <f t="shared" ca="1" si="241"/>
        <v>48.33961393936849</v>
      </c>
      <c r="F559" s="304">
        <f t="shared" ca="1" si="242"/>
        <v>53.079561291932748</v>
      </c>
      <c r="G559" s="306">
        <f t="shared" ca="1" si="243"/>
        <v>165.31523945748808</v>
      </c>
      <c r="H559" s="307">
        <f t="shared" ca="1" si="244"/>
        <v>438.34468738777309</v>
      </c>
      <c r="I559" s="304">
        <f t="shared" ca="1" si="245"/>
        <v>468.48179618633117</v>
      </c>
      <c r="J559" s="306">
        <f t="shared" ca="1" si="246"/>
        <v>450.30132342417005</v>
      </c>
      <c r="K559" s="307">
        <f t="shared" ca="1" si="247"/>
        <v>1263.748948851061</v>
      </c>
      <c r="L559" s="304">
        <f t="shared" ca="1" si="232"/>
        <v>1341.5784314007587</v>
      </c>
      <c r="M559" s="306">
        <f t="shared" ca="1" si="248"/>
        <v>1.21015495955901</v>
      </c>
      <c r="N559" s="304">
        <f t="shared" ca="1" si="249"/>
        <v>69.336771739556085</v>
      </c>
      <c r="P559" s="310">
        <f t="shared" ca="1" si="250"/>
        <v>16</v>
      </c>
      <c r="Q559" s="304">
        <f t="shared" ca="1" si="251"/>
        <v>2150.1505546492826</v>
      </c>
      <c r="R559" s="306">
        <f t="shared" ca="1" si="252"/>
        <v>1.2930449336693968</v>
      </c>
      <c r="S559" s="307">
        <f t="shared" ca="1" si="253"/>
        <v>13.056400783609419</v>
      </c>
      <c r="T559" s="304">
        <f t="shared" ca="1" si="233"/>
        <v>128.0832916872084</v>
      </c>
      <c r="U559" s="311">
        <f t="shared" ca="1" si="234"/>
        <v>0</v>
      </c>
      <c r="V559" s="306">
        <f t="shared" ca="1" si="235"/>
        <v>1.0793913901479544</v>
      </c>
      <c r="W559" s="304">
        <f t="shared" ca="1" si="236"/>
        <v>1341.1924963976485</v>
      </c>
      <c r="Y559" s="314" t="str">
        <f t="shared" ca="1" si="254"/>
        <v/>
      </c>
      <c r="Z559" s="315" t="str">
        <f t="shared" ca="1" si="255"/>
        <v/>
      </c>
      <c r="AA559" s="316" t="str">
        <f t="shared" ca="1" si="256"/>
        <v/>
      </c>
      <c r="AC559" s="310" t="e">
        <f t="shared" ca="1" si="257"/>
        <v>#N/A</v>
      </c>
      <c r="AD559" s="323" t="e">
        <f t="shared" ca="1" si="258"/>
        <v>#N/A</v>
      </c>
      <c r="AE559" s="324">
        <f t="shared" ca="1" si="237"/>
        <v>1263.748948851061</v>
      </c>
      <c r="AG559" s="306">
        <f t="shared" ca="1" si="259"/>
        <v>52.966604274140792</v>
      </c>
      <c r="AH559" s="304">
        <f t="shared" ca="1" si="260"/>
        <v>62.145789498842603</v>
      </c>
    </row>
    <row r="560" spans="1:34" x14ac:dyDescent="0.2">
      <c r="A560" s="347">
        <f t="shared" ca="1" si="238"/>
        <v>0.01</v>
      </c>
      <c r="B560" s="304">
        <f t="shared" ca="1" si="239"/>
        <v>5.5599999999999259</v>
      </c>
      <c r="D560" s="306">
        <f t="shared" ca="1" si="240"/>
        <v>21.824828554627768</v>
      </c>
      <c r="E560" s="307">
        <f t="shared" ca="1" si="241"/>
        <v>48.060028688614757</v>
      </c>
      <c r="F560" s="304">
        <f t="shared" ca="1" si="242"/>
        <v>52.783420682913011</v>
      </c>
      <c r="G560" s="306">
        <f t="shared" ca="1" si="243"/>
        <v>165.53348774303436</v>
      </c>
      <c r="H560" s="307">
        <f t="shared" ca="1" si="244"/>
        <v>438.82528767465925</v>
      </c>
      <c r="I560" s="304">
        <f t="shared" ca="1" si="245"/>
        <v>469.00849530378525</v>
      </c>
      <c r="J560" s="306">
        <f t="shared" ca="1" si="246"/>
        <v>451.95556706017265</v>
      </c>
      <c r="K560" s="307">
        <f t="shared" ca="1" si="247"/>
        <v>1268.1347987263732</v>
      </c>
      <c r="L560" s="304">
        <f t="shared" ca="1" si="232"/>
        <v>1346.2650936340367</v>
      </c>
      <c r="M560" s="306">
        <f t="shared" ca="1" si="248"/>
        <v>1.210081150703894</v>
      </c>
      <c r="N560" s="304">
        <f t="shared" ca="1" si="249"/>
        <v>69.332542803667252</v>
      </c>
      <c r="P560" s="310">
        <f t="shared" ca="1" si="250"/>
        <v>16</v>
      </c>
      <c r="Q560" s="304">
        <f t="shared" ca="1" si="251"/>
        <v>2147.9151876019741</v>
      </c>
      <c r="R560" s="306">
        <f t="shared" ca="1" si="252"/>
        <v>1.2917006417410182</v>
      </c>
      <c r="S560" s="307">
        <f t="shared" ca="1" si="253"/>
        <v>13.043483777192009</v>
      </c>
      <c r="T560" s="304">
        <f t="shared" ca="1" si="233"/>
        <v>127.95657585425361</v>
      </c>
      <c r="U560" s="311">
        <f t="shared" ca="1" si="234"/>
        <v>0</v>
      </c>
      <c r="V560" s="306">
        <f t="shared" ca="1" si="235"/>
        <v>1.0789161855855047</v>
      </c>
      <c r="W560" s="304">
        <f t="shared" ca="1" si="236"/>
        <v>1343.6181198624629</v>
      </c>
      <c r="Y560" s="314" t="str">
        <f t="shared" ca="1" si="254"/>
        <v/>
      </c>
      <c r="Z560" s="315" t="str">
        <f t="shared" ca="1" si="255"/>
        <v/>
      </c>
      <c r="AA560" s="316" t="str">
        <f t="shared" ca="1" si="256"/>
        <v/>
      </c>
      <c r="AC560" s="310" t="e">
        <f t="shared" ca="1" si="257"/>
        <v>#N/A</v>
      </c>
      <c r="AD560" s="323" t="e">
        <f t="shared" ca="1" si="258"/>
        <v>#N/A</v>
      </c>
      <c r="AE560" s="324">
        <f t="shared" ca="1" si="237"/>
        <v>1268.1347987263732</v>
      </c>
      <c r="AG560" s="306">
        <f t="shared" ca="1" si="259"/>
        <v>52.669783993423586</v>
      </c>
      <c r="AH560" s="304">
        <f t="shared" ca="1" si="260"/>
        <v>61.848713502060747</v>
      </c>
    </row>
    <row r="561" spans="1:34" x14ac:dyDescent="0.2">
      <c r="A561" s="347">
        <f t="shared" ca="1" si="238"/>
        <v>0.01</v>
      </c>
      <c r="B561" s="304">
        <f t="shared" ca="1" si="239"/>
        <v>5.5699999999999257</v>
      </c>
      <c r="D561" s="306">
        <f t="shared" ca="1" si="240"/>
        <v>21.724469554734601</v>
      </c>
      <c r="E561" s="307">
        <f t="shared" ca="1" si="241"/>
        <v>47.78104536439605</v>
      </c>
      <c r="F561" s="304">
        <f t="shared" ca="1" si="242"/>
        <v>52.487911689731604</v>
      </c>
      <c r="G561" s="306">
        <f t="shared" ca="1" si="243"/>
        <v>165.75073243858171</v>
      </c>
      <c r="H561" s="307">
        <f t="shared" ca="1" si="244"/>
        <v>439.30309812830319</v>
      </c>
      <c r="I561" s="304">
        <f t="shared" ca="1" si="245"/>
        <v>469.532232470841</v>
      </c>
      <c r="J561" s="306">
        <f t="shared" ca="1" si="246"/>
        <v>453.61198816108072</v>
      </c>
      <c r="K561" s="307">
        <f t="shared" ca="1" si="247"/>
        <v>1272.5254406553881</v>
      </c>
      <c r="L561" s="304">
        <f t="shared" ca="1" si="232"/>
        <v>1350.9570063176097</v>
      </c>
      <c r="M561" s="306">
        <f t="shared" ca="1" si="248"/>
        <v>1.2100074097497016</v>
      </c>
      <c r="N561" s="304">
        <f t="shared" ca="1" si="249"/>
        <v>69.328317758214752</v>
      </c>
      <c r="P561" s="310">
        <f t="shared" ca="1" si="250"/>
        <v>16</v>
      </c>
      <c r="Q561" s="304">
        <f t="shared" ca="1" si="251"/>
        <v>2145.6798205546661</v>
      </c>
      <c r="R561" s="306">
        <f t="shared" ca="1" si="252"/>
        <v>1.2903563498126398</v>
      </c>
      <c r="S561" s="307">
        <f t="shared" ca="1" si="253"/>
        <v>13.030580213693883</v>
      </c>
      <c r="T561" s="304">
        <f t="shared" ca="1" si="233"/>
        <v>127.82999189633699</v>
      </c>
      <c r="U561" s="311">
        <f t="shared" ca="1" si="234"/>
        <v>0</v>
      </c>
      <c r="V561" s="306">
        <f t="shared" ca="1" si="235"/>
        <v>1.0784406580778008</v>
      </c>
      <c r="W561" s="304">
        <f t="shared" ca="1" si="236"/>
        <v>1346.0270885506279</v>
      </c>
      <c r="Y561" s="314" t="str">
        <f t="shared" ca="1" si="254"/>
        <v/>
      </c>
      <c r="Z561" s="315" t="str">
        <f t="shared" ca="1" si="255"/>
        <v/>
      </c>
      <c r="AA561" s="316" t="str">
        <f t="shared" ca="1" si="256"/>
        <v/>
      </c>
      <c r="AC561" s="310" t="e">
        <f t="shared" ca="1" si="257"/>
        <v>#N/A</v>
      </c>
      <c r="AD561" s="323" t="e">
        <f t="shared" ca="1" si="258"/>
        <v>#N/A</v>
      </c>
      <c r="AE561" s="324">
        <f t="shared" ca="1" si="237"/>
        <v>1272.5254406553881</v>
      </c>
      <c r="AG561" s="306">
        <f t="shared" ca="1" si="259"/>
        <v>52.373589046141475</v>
      </c>
      <c r="AH561" s="304">
        <f t="shared" ca="1" si="260"/>
        <v>61.552263025810142</v>
      </c>
    </row>
    <row r="562" spans="1:34" x14ac:dyDescent="0.2">
      <c r="A562" s="347">
        <f t="shared" ca="1" si="238"/>
        <v>0.01</v>
      </c>
      <c r="B562" s="304">
        <f t="shared" ca="1" si="239"/>
        <v>5.5799999999999255</v>
      </c>
      <c r="D562" s="306">
        <f t="shared" ca="1" si="240"/>
        <v>21.624287445615877</v>
      </c>
      <c r="E562" s="307">
        <f t="shared" ca="1" si="241"/>
        <v>47.502666616396844</v>
      </c>
      <c r="F562" s="304">
        <f t="shared" ca="1" si="242"/>
        <v>52.193037305747623</v>
      </c>
      <c r="G562" s="306">
        <f t="shared" ca="1" si="243"/>
        <v>165.96697531303786</v>
      </c>
      <c r="H562" s="307">
        <f t="shared" ca="1" si="244"/>
        <v>439.77812479446715</v>
      </c>
      <c r="I562" s="304">
        <f t="shared" ca="1" si="245"/>
        <v>470.05301397001642</v>
      </c>
      <c r="J562" s="306">
        <f t="shared" ca="1" si="246"/>
        <v>455.27057669983884</v>
      </c>
      <c r="K562" s="307">
        <f t="shared" ca="1" si="247"/>
        <v>1276.9208467700021</v>
      </c>
      <c r="L562" s="304">
        <f t="shared" ca="1" si="232"/>
        <v>1355.6541398617949</v>
      </c>
      <c r="M562" s="306">
        <f t="shared" ca="1" si="248"/>
        <v>1.2099337360955289</v>
      </c>
      <c r="N562" s="304">
        <f t="shared" ca="1" si="249"/>
        <v>69.324096568769363</v>
      </c>
      <c r="P562" s="310">
        <f t="shared" ca="1" si="250"/>
        <v>16</v>
      </c>
      <c r="Q562" s="304">
        <f t="shared" ca="1" si="251"/>
        <v>2143.4444535073576</v>
      </c>
      <c r="R562" s="306">
        <f t="shared" ca="1" si="252"/>
        <v>1.2890120578842612</v>
      </c>
      <c r="S562" s="307">
        <f t="shared" ca="1" si="253"/>
        <v>13.017690093115039</v>
      </c>
      <c r="T562" s="304">
        <f t="shared" ca="1" si="233"/>
        <v>127.70353981345855</v>
      </c>
      <c r="U562" s="311">
        <f t="shared" ca="1" si="234"/>
        <v>0</v>
      </c>
      <c r="V562" s="306">
        <f t="shared" ca="1" si="235"/>
        <v>1.0779648111624467</v>
      </c>
      <c r="W562" s="304">
        <f t="shared" ca="1" si="236"/>
        <v>1348.4194014161151</v>
      </c>
      <c r="Y562" s="314" t="str">
        <f t="shared" ca="1" si="254"/>
        <v/>
      </c>
      <c r="Z562" s="315" t="str">
        <f t="shared" ca="1" si="255"/>
        <v/>
      </c>
      <c r="AA562" s="316" t="str">
        <f t="shared" ca="1" si="256"/>
        <v/>
      </c>
      <c r="AC562" s="310" t="e">
        <f t="shared" ca="1" si="257"/>
        <v>#N/A</v>
      </c>
      <c r="AD562" s="323" t="e">
        <f t="shared" ca="1" si="258"/>
        <v>#N/A</v>
      </c>
      <c r="AE562" s="324">
        <f t="shared" ca="1" si="237"/>
        <v>1276.9208467700021</v>
      </c>
      <c r="AG562" s="306">
        <f t="shared" ca="1" si="259"/>
        <v>52.078022349681511</v>
      </c>
      <c r="AH562" s="304">
        <f t="shared" ca="1" si="260"/>
        <v>61.256440985523064</v>
      </c>
    </row>
    <row r="563" spans="1:34" x14ac:dyDescent="0.2">
      <c r="A563" s="347">
        <f t="shared" ca="1" si="238"/>
        <v>0.01</v>
      </c>
      <c r="B563" s="304">
        <f t="shared" ca="1" si="239"/>
        <v>5.5899999999999253</v>
      </c>
      <c r="D563" s="306">
        <f t="shared" ca="1" si="240"/>
        <v>21.524283462106645</v>
      </c>
      <c r="E563" s="307">
        <f t="shared" ca="1" si="241"/>
        <v>47.224895048582638</v>
      </c>
      <c r="F563" s="304">
        <f t="shared" ca="1" si="242"/>
        <v>51.89880047656942</v>
      </c>
      <c r="G563" s="306">
        <f t="shared" ca="1" si="243"/>
        <v>166.18221814765894</v>
      </c>
      <c r="H563" s="307">
        <f t="shared" ca="1" si="244"/>
        <v>440.25037374495298</v>
      </c>
      <c r="I563" s="304">
        <f t="shared" ca="1" si="245"/>
        <v>470.57084611251355</v>
      </c>
      <c r="J563" s="306">
        <f t="shared" ca="1" si="246"/>
        <v>456.93132266714235</v>
      </c>
      <c r="K563" s="307">
        <f t="shared" ca="1" si="247"/>
        <v>1281.3209892626992</v>
      </c>
      <c r="L563" s="304">
        <f t="shared" ca="1" si="232"/>
        <v>1360.3564647398439</v>
      </c>
      <c r="M563" s="306">
        <f t="shared" ca="1" si="248"/>
        <v>1.2098601291446041</v>
      </c>
      <c r="N563" s="304">
        <f t="shared" ca="1" si="249"/>
        <v>69.319879201138534</v>
      </c>
      <c r="P563" s="310">
        <f t="shared" ca="1" si="250"/>
        <v>16</v>
      </c>
      <c r="Q563" s="304">
        <f t="shared" ca="1" si="251"/>
        <v>2141.2090864600495</v>
      </c>
      <c r="R563" s="306">
        <f t="shared" ca="1" si="252"/>
        <v>1.2876677659558828</v>
      </c>
      <c r="S563" s="307">
        <f t="shared" ca="1" si="253"/>
        <v>13.00481341545548</v>
      </c>
      <c r="T563" s="304">
        <f t="shared" ca="1" si="233"/>
        <v>127.57721960561827</v>
      </c>
      <c r="U563" s="311">
        <f t="shared" ca="1" si="234"/>
        <v>0</v>
      </c>
      <c r="V563" s="306">
        <f t="shared" ca="1" si="235"/>
        <v>1.0774886483655088</v>
      </c>
      <c r="W563" s="304">
        <f t="shared" ca="1" si="236"/>
        <v>1350.7950581431012</v>
      </c>
      <c r="Y563" s="314" t="str">
        <f t="shared" ca="1" si="254"/>
        <v/>
      </c>
      <c r="Z563" s="315" t="str">
        <f t="shared" ca="1" si="255"/>
        <v/>
      </c>
      <c r="AA563" s="316" t="str">
        <f t="shared" ca="1" si="256"/>
        <v/>
      </c>
      <c r="AC563" s="310" t="e">
        <f t="shared" ca="1" si="257"/>
        <v>#N/A</v>
      </c>
      <c r="AD563" s="323" t="e">
        <f t="shared" ca="1" si="258"/>
        <v>#N/A</v>
      </c>
      <c r="AE563" s="324">
        <f t="shared" ca="1" si="237"/>
        <v>1281.3209892626992</v>
      </c>
      <c r="AG563" s="306">
        <f t="shared" ca="1" si="259"/>
        <v>51.783086772463747</v>
      </c>
      <c r="AH563" s="304">
        <f t="shared" ca="1" si="260"/>
        <v>60.961250247677455</v>
      </c>
    </row>
    <row r="564" spans="1:34" x14ac:dyDescent="0.2">
      <c r="A564" s="347">
        <f t="shared" ca="1" si="238"/>
        <v>0.01</v>
      </c>
      <c r="B564" s="304">
        <f t="shared" ca="1" si="239"/>
        <v>5.599999999999925</v>
      </c>
      <c r="D564" s="306">
        <f t="shared" ca="1" si="240"/>
        <v>21.42445882146064</v>
      </c>
      <c r="E564" s="307">
        <f t="shared" ca="1" si="241"/>
        <v>46.947733219390599</v>
      </c>
      <c r="F564" s="304">
        <f t="shared" ca="1" si="242"/>
        <v>51.605204100279792</v>
      </c>
      <c r="G564" s="306">
        <f t="shared" ca="1" si="243"/>
        <v>166.39646273587354</v>
      </c>
      <c r="H564" s="307">
        <f t="shared" ca="1" si="244"/>
        <v>440.71985107714687</v>
      </c>
      <c r="I564" s="304">
        <f t="shared" ca="1" si="245"/>
        <v>471.08573523773089</v>
      </c>
      <c r="J564" s="306">
        <f t="shared" ca="1" si="246"/>
        <v>458.59421607156003</v>
      </c>
      <c r="K564" s="307">
        <f t="shared" ca="1" si="247"/>
        <v>1285.7258403868098</v>
      </c>
      <c r="L564" s="304">
        <f t="shared" ca="1" si="232"/>
        <v>1365.0639514882287</v>
      </c>
      <c r="M564" s="306">
        <f t="shared" ca="1" si="248"/>
        <v>1.2097865883042487</v>
      </c>
      <c r="N564" s="304">
        <f t="shared" ca="1" si="249"/>
        <v>69.315665621364332</v>
      </c>
      <c r="P564" s="310">
        <f t="shared" ca="1" si="250"/>
        <v>16</v>
      </c>
      <c r="Q564" s="304">
        <f t="shared" ca="1" si="251"/>
        <v>2138.973719412741</v>
      </c>
      <c r="R564" s="306">
        <f t="shared" ca="1" si="252"/>
        <v>1.2863234740275042</v>
      </c>
      <c r="S564" s="307">
        <f t="shared" ca="1" si="253"/>
        <v>12.991950180715206</v>
      </c>
      <c r="T564" s="304">
        <f t="shared" ca="1" si="233"/>
        <v>127.45103127281617</v>
      </c>
      <c r="U564" s="311">
        <f t="shared" ca="1" si="234"/>
        <v>0</v>
      </c>
      <c r="V564" s="306">
        <f t="shared" ca="1" si="235"/>
        <v>1.0770121732014923</v>
      </c>
      <c r="W564" s="304">
        <f t="shared" ca="1" si="236"/>
        <v>1353.1540591398082</v>
      </c>
      <c r="Y564" s="314" t="str">
        <f t="shared" ca="1" si="254"/>
        <v/>
      </c>
      <c r="Z564" s="315" t="str">
        <f t="shared" ca="1" si="255"/>
        <v/>
      </c>
      <c r="AA564" s="316" t="str">
        <f t="shared" ca="1" si="256"/>
        <v/>
      </c>
      <c r="AC564" s="310" t="e">
        <f t="shared" ca="1" si="257"/>
        <v>#N/A</v>
      </c>
      <c r="AD564" s="323" t="e">
        <f t="shared" ca="1" si="258"/>
        <v>#N/A</v>
      </c>
      <c r="AE564" s="324">
        <f t="shared" ca="1" si="237"/>
        <v>1285.7258403868098</v>
      </c>
      <c r="AG564" s="306">
        <f t="shared" ca="1" si="259"/>
        <v>51.488785134141906</v>
      </c>
      <c r="AH564" s="304">
        <f t="shared" ca="1" si="260"/>
        <v>60.666693629997489</v>
      </c>
    </row>
    <row r="565" spans="1:34" x14ac:dyDescent="0.2">
      <c r="A565" s="347">
        <f t="shared" ca="1" si="238"/>
        <v>0.01</v>
      </c>
      <c r="B565" s="304">
        <f t="shared" ca="1" si="239"/>
        <v>5.6099999999999248</v>
      </c>
      <c r="D565" s="306">
        <f t="shared" ca="1" si="240"/>
        <v>21.324814723415265</v>
      </c>
      <c r="E565" s="307">
        <f t="shared" ca="1" si="241"/>
        <v>46.671183641923299</v>
      </c>
      <c r="F565" s="304">
        <f t="shared" ca="1" si="242"/>
        <v>51.312251027665091</v>
      </c>
      <c r="G565" s="306">
        <f t="shared" ca="1" si="243"/>
        <v>166.60971088310768</v>
      </c>
      <c r="H565" s="307">
        <f t="shared" ca="1" si="244"/>
        <v>441.18656291356609</v>
      </c>
      <c r="I565" s="304">
        <f t="shared" ca="1" si="245"/>
        <v>471.59768771277783</v>
      </c>
      <c r="J565" s="306">
        <f t="shared" ca="1" si="246"/>
        <v>460.25924693965493</v>
      </c>
      <c r="K565" s="307">
        <f t="shared" ca="1" si="247"/>
        <v>1290.1353724567632</v>
      </c>
      <c r="L565" s="304">
        <f t="shared" ca="1" si="232"/>
        <v>1369.7765707069198</v>
      </c>
      <c r="M565" s="306">
        <f t="shared" ca="1" si="248"/>
        <v>1.2097131129858387</v>
      </c>
      <c r="N565" s="304">
        <f t="shared" ca="1" si="249"/>
        <v>69.311455795721059</v>
      </c>
      <c r="P565" s="310">
        <f t="shared" ca="1" si="250"/>
        <v>16</v>
      </c>
      <c r="Q565" s="304">
        <f t="shared" ca="1" si="251"/>
        <v>2136.738352365433</v>
      </c>
      <c r="R565" s="306">
        <f t="shared" ca="1" si="252"/>
        <v>1.2849791820991261</v>
      </c>
      <c r="S565" s="307">
        <f t="shared" ca="1" si="253"/>
        <v>12.979100388894214</v>
      </c>
      <c r="T565" s="304">
        <f t="shared" ca="1" si="233"/>
        <v>127.32497481505224</v>
      </c>
      <c r="U565" s="311">
        <f t="shared" ca="1" si="234"/>
        <v>0</v>
      </c>
      <c r="V565" s="306">
        <f t="shared" ca="1" si="235"/>
        <v>1.0765353891733229</v>
      </c>
      <c r="W565" s="304">
        <f t="shared" ca="1" si="236"/>
        <v>1355.4964055323378</v>
      </c>
      <c r="Y565" s="314" t="str">
        <f t="shared" ca="1" si="254"/>
        <v/>
      </c>
      <c r="Z565" s="315" t="str">
        <f t="shared" ca="1" si="255"/>
        <v/>
      </c>
      <c r="AA565" s="316" t="str">
        <f t="shared" ca="1" si="256"/>
        <v/>
      </c>
      <c r="AC565" s="310" t="e">
        <f t="shared" ca="1" si="257"/>
        <v>#N/A</v>
      </c>
      <c r="AD565" s="323" t="e">
        <f t="shared" ca="1" si="258"/>
        <v>#N/A</v>
      </c>
      <c r="AE565" s="324">
        <f t="shared" ca="1" si="237"/>
        <v>1290.1353724567632</v>
      </c>
      <c r="AG565" s="306">
        <f t="shared" ca="1" si="259"/>
        <v>51.195120205807392</v>
      </c>
      <c r="AH565" s="304">
        <f t="shared" ca="1" si="260"/>
        <v>60.372773901657467</v>
      </c>
    </row>
    <row r="566" spans="1:34" x14ac:dyDescent="0.2">
      <c r="A566" s="347">
        <f t="shared" ca="1" si="238"/>
        <v>0.01</v>
      </c>
      <c r="B566" s="304">
        <f t="shared" ca="1" si="239"/>
        <v>5.6199999999999246</v>
      </c>
      <c r="D566" s="306">
        <f t="shared" ca="1" si="240"/>
        <v>21.225352350257289</v>
      </c>
      <c r="E566" s="307">
        <f t="shared" ca="1" si="241"/>
        <v>46.39524878414413</v>
      </c>
      <c r="F566" s="304">
        <f t="shared" ca="1" si="242"/>
        <v>51.01994406244679</v>
      </c>
      <c r="G566" s="306">
        <f t="shared" ca="1" si="243"/>
        <v>166.82196440661025</v>
      </c>
      <c r="H566" s="307">
        <f t="shared" ca="1" si="244"/>
        <v>441.65051540140752</v>
      </c>
      <c r="I566" s="304">
        <f t="shared" ca="1" si="245"/>
        <v>472.10670993199113</v>
      </c>
      <c r="J566" s="306">
        <f t="shared" ca="1" si="246"/>
        <v>461.92640531610351</v>
      </c>
      <c r="K566" s="307">
        <f t="shared" ca="1" si="247"/>
        <v>1294.5495578483381</v>
      </c>
      <c r="L566" s="304">
        <f t="shared" ca="1" si="232"/>
        <v>1374.4942930596637</v>
      </c>
      <c r="M566" s="306">
        <f t="shared" ca="1" si="248"/>
        <v>1.2096397026047667</v>
      </c>
      <c r="N566" s="304">
        <f t="shared" ca="1" si="249"/>
        <v>69.307249690713192</v>
      </c>
      <c r="P566" s="310">
        <f t="shared" ca="1" si="250"/>
        <v>16</v>
      </c>
      <c r="Q566" s="304">
        <f t="shared" ca="1" si="251"/>
        <v>2134.5029853181245</v>
      </c>
      <c r="R566" s="306">
        <f t="shared" ca="1" si="252"/>
        <v>1.2836348901707475</v>
      </c>
      <c r="S566" s="307">
        <f t="shared" ca="1" si="253"/>
        <v>12.966264039992506</v>
      </c>
      <c r="T566" s="304">
        <f t="shared" ca="1" si="233"/>
        <v>127.19905023232648</v>
      </c>
      <c r="U566" s="311">
        <f t="shared" ca="1" si="234"/>
        <v>0</v>
      </c>
      <c r="V566" s="306">
        <f t="shared" ca="1" si="235"/>
        <v>1.0760582997723245</v>
      </c>
      <c r="W566" s="304">
        <f t="shared" ca="1" si="236"/>
        <v>1357.8220991584976</v>
      </c>
      <c r="Y566" s="314" t="str">
        <f t="shared" ca="1" si="254"/>
        <v/>
      </c>
      <c r="Z566" s="315" t="str">
        <f t="shared" ca="1" si="255"/>
        <v/>
      </c>
      <c r="AA566" s="316" t="str">
        <f t="shared" ca="1" si="256"/>
        <v/>
      </c>
      <c r="AC566" s="310" t="e">
        <f t="shared" ca="1" si="257"/>
        <v>#N/A</v>
      </c>
      <c r="AD566" s="323" t="e">
        <f t="shared" ca="1" si="258"/>
        <v>#N/A</v>
      </c>
      <c r="AE566" s="324">
        <f t="shared" ca="1" si="237"/>
        <v>1294.5495578483381</v>
      </c>
      <c r="AG566" s="306">
        <f t="shared" ca="1" si="259"/>
        <v>50.902094710195065</v>
      </c>
      <c r="AH566" s="304">
        <f t="shared" ca="1" si="260"/>
        <v>60.079493783487457</v>
      </c>
    </row>
    <row r="567" spans="1:34" x14ac:dyDescent="0.2">
      <c r="A567" s="347">
        <f t="shared" ca="1" si="238"/>
        <v>0.01</v>
      </c>
      <c r="B567" s="304">
        <f t="shared" ca="1" si="239"/>
        <v>5.6299999999999244</v>
      </c>
      <c r="D567" s="306">
        <f t="shared" ca="1" si="240"/>
        <v>21.126072866889661</v>
      </c>
      <c r="E567" s="307">
        <f t="shared" ca="1" si="241"/>
        <v>46.11993106907569</v>
      </c>
      <c r="F567" s="304">
        <f t="shared" ca="1" si="242"/>
        <v>50.728285961516825</v>
      </c>
      <c r="G567" s="306">
        <f t="shared" ca="1" si="243"/>
        <v>167.03322513527914</v>
      </c>
      <c r="H567" s="307">
        <f t="shared" ca="1" si="244"/>
        <v>442.11171471209826</v>
      </c>
      <c r="I567" s="304">
        <f t="shared" ca="1" si="245"/>
        <v>472.61280831645331</v>
      </c>
      <c r="J567" s="306">
        <f t="shared" ca="1" si="246"/>
        <v>463.59568126381293</v>
      </c>
      <c r="K567" s="307">
        <f t="shared" ca="1" si="247"/>
        <v>1298.9683689989056</v>
      </c>
      <c r="L567" s="304">
        <f t="shared" ca="1" si="232"/>
        <v>1379.2170892742506</v>
      </c>
      <c r="M567" s="306">
        <f t="shared" ca="1" si="248"/>
        <v>1.2095663565804038</v>
      </c>
      <c r="N567" s="304">
        <f t="shared" ca="1" si="249"/>
        <v>69.303047273073133</v>
      </c>
      <c r="P567" s="310">
        <f t="shared" ca="1" si="250"/>
        <v>16</v>
      </c>
      <c r="Q567" s="304">
        <f t="shared" ca="1" si="251"/>
        <v>2132.2676182708165</v>
      </c>
      <c r="R567" s="306">
        <f t="shared" ca="1" si="252"/>
        <v>1.2822905982423691</v>
      </c>
      <c r="S567" s="307">
        <f t="shared" ca="1" si="253"/>
        <v>12.953441134010083</v>
      </c>
      <c r="T567" s="304">
        <f t="shared" ca="1" si="233"/>
        <v>127.07325752463892</v>
      </c>
      <c r="U567" s="311">
        <f t="shared" ca="1" si="234"/>
        <v>0</v>
      </c>
      <c r="V567" s="306">
        <f t="shared" ca="1" si="235"/>
        <v>1.0755809084782024</v>
      </c>
      <c r="W567" s="304">
        <f t="shared" ca="1" si="236"/>
        <v>1360.1311425616227</v>
      </c>
      <c r="Y567" s="314" t="str">
        <f t="shared" ca="1" si="254"/>
        <v/>
      </c>
      <c r="Z567" s="315" t="str">
        <f t="shared" ca="1" si="255"/>
        <v/>
      </c>
      <c r="AA567" s="316" t="str">
        <f t="shared" ca="1" si="256"/>
        <v/>
      </c>
      <c r="AC567" s="310" t="e">
        <f t="shared" ca="1" si="257"/>
        <v>#N/A</v>
      </c>
      <c r="AD567" s="323" t="e">
        <f t="shared" ca="1" si="258"/>
        <v>#N/A</v>
      </c>
      <c r="AE567" s="324">
        <f t="shared" ca="1" si="237"/>
        <v>1298.9683689989056</v>
      </c>
      <c r="AG567" s="306">
        <f t="shared" ca="1" si="259"/>
        <v>50.609711321892242</v>
      </c>
      <c r="AH567" s="304">
        <f t="shared" ca="1" si="260"/>
        <v>59.786855948182207</v>
      </c>
    </row>
    <row r="568" spans="1:34" x14ac:dyDescent="0.2">
      <c r="A568" s="347">
        <f t="shared" ca="1" si="238"/>
        <v>0.01</v>
      </c>
      <c r="B568" s="304">
        <f t="shared" ca="1" si="239"/>
        <v>5.6399999999999242</v>
      </c>
      <c r="D568" s="306">
        <f t="shared" ca="1" si="240"/>
        <v>21.026977420899033</v>
      </c>
      <c r="E568" s="307">
        <f t="shared" ca="1" si="241"/>
        <v>45.845232874999866</v>
      </c>
      <c r="F568" s="304">
        <f t="shared" ca="1" si="242"/>
        <v>50.437279435175391</v>
      </c>
      <c r="G568" s="306">
        <f t="shared" ca="1" si="243"/>
        <v>167.24349490948813</v>
      </c>
      <c r="H568" s="307">
        <f t="shared" ca="1" si="244"/>
        <v>442.57016704084828</v>
      </c>
      <c r="I568" s="304">
        <f t="shared" ca="1" si="245"/>
        <v>473.11598931351318</v>
      </c>
      <c r="J568" s="306">
        <f t="shared" ca="1" si="246"/>
        <v>465.2670648640368</v>
      </c>
      <c r="K568" s="307">
        <f t="shared" ca="1" si="247"/>
        <v>1303.3917784076702</v>
      </c>
      <c r="L568" s="304">
        <f t="shared" ca="1" si="232"/>
        <v>1383.9449301427803</v>
      </c>
      <c r="M568" s="306">
        <f t="shared" ca="1" si="248"/>
        <v>1.209493074336063</v>
      </c>
      <c r="N568" s="304">
        <f t="shared" ca="1" si="249"/>
        <v>69.298848509759154</v>
      </c>
      <c r="P568" s="310">
        <f t="shared" ca="1" si="250"/>
        <v>16</v>
      </c>
      <c r="Q568" s="304">
        <f t="shared" ca="1" si="251"/>
        <v>2130.032251223508</v>
      </c>
      <c r="R568" s="306">
        <f t="shared" ca="1" si="252"/>
        <v>1.2809463063139905</v>
      </c>
      <c r="S568" s="307">
        <f t="shared" ca="1" si="253"/>
        <v>12.940631670946942</v>
      </c>
      <c r="T568" s="304">
        <f t="shared" ca="1" si="233"/>
        <v>126.9475966919895</v>
      </c>
      <c r="U568" s="311">
        <f t="shared" ca="1" si="234"/>
        <v>0</v>
      </c>
      <c r="V568" s="306">
        <f t="shared" ca="1" si="235"/>
        <v>1.0751032187590237</v>
      </c>
      <c r="W568" s="304">
        <f t="shared" ca="1" si="236"/>
        <v>1362.4235389843893</v>
      </c>
      <c r="Y568" s="314" t="str">
        <f t="shared" ca="1" si="254"/>
        <v/>
      </c>
      <c r="Z568" s="315" t="str">
        <f t="shared" ca="1" si="255"/>
        <v/>
      </c>
      <c r="AA568" s="316" t="str">
        <f t="shared" ca="1" si="256"/>
        <v/>
      </c>
      <c r="AC568" s="310" t="e">
        <f t="shared" ca="1" si="257"/>
        <v>#N/A</v>
      </c>
      <c r="AD568" s="323" t="e">
        <f t="shared" ca="1" si="258"/>
        <v>#N/A</v>
      </c>
      <c r="AE568" s="324">
        <f t="shared" ca="1" si="237"/>
        <v>1303.3917784076702</v>
      </c>
      <c r="AG568" s="306">
        <f t="shared" ca="1" si="259"/>
        <v>50.317972667549512</v>
      </c>
      <c r="AH568" s="304">
        <f t="shared" ca="1" si="260"/>
        <v>59.494863020511815</v>
      </c>
    </row>
    <row r="569" spans="1:34" x14ac:dyDescent="0.2">
      <c r="A569" s="347">
        <f t="shared" ca="1" si="238"/>
        <v>0.01</v>
      </c>
      <c r="B569" s="304">
        <f t="shared" ca="1" si="239"/>
        <v>5.649999999999924</v>
      </c>
      <c r="D569" s="306">
        <f t="shared" ca="1" si="240"/>
        <v>20.928067142624354</v>
      </c>
      <c r="E569" s="307">
        <f t="shared" ca="1" si="241"/>
        <v>45.571156535660769</v>
      </c>
      <c r="F569" s="304">
        <f t="shared" ca="1" si="242"/>
        <v>50.146927147372551</v>
      </c>
      <c r="G569" s="306">
        <f t="shared" ca="1" si="243"/>
        <v>167.45277558091439</v>
      </c>
      <c r="H569" s="307">
        <f t="shared" ca="1" si="244"/>
        <v>443.02587860620486</v>
      </c>
      <c r="I569" s="304">
        <f t="shared" ca="1" si="245"/>
        <v>473.61625939630898</v>
      </c>
      <c r="J569" s="306">
        <f t="shared" ca="1" si="246"/>
        <v>466.94054621648883</v>
      </c>
      <c r="K569" s="307">
        <f t="shared" ca="1" si="247"/>
        <v>1307.8197586359056</v>
      </c>
      <c r="L569" s="304">
        <f t="shared" ca="1" si="232"/>
        <v>1388.6777865219244</v>
      </c>
      <c r="M569" s="306">
        <f t="shared" ca="1" si="248"/>
        <v>1.2094198552989617</v>
      </c>
      <c r="N569" s="304">
        <f t="shared" ca="1" si="249"/>
        <v>69.294653367953231</v>
      </c>
      <c r="P569" s="310">
        <f t="shared" ca="1" si="250"/>
        <v>16</v>
      </c>
      <c r="Q569" s="304">
        <f t="shared" ca="1" si="251"/>
        <v>2127.7968841761999</v>
      </c>
      <c r="R569" s="306">
        <f t="shared" ca="1" si="252"/>
        <v>1.2796020143856122</v>
      </c>
      <c r="S569" s="307">
        <f t="shared" ca="1" si="253"/>
        <v>12.927835650803086</v>
      </c>
      <c r="T569" s="304">
        <f t="shared" ca="1" si="233"/>
        <v>126.82206773437828</v>
      </c>
      <c r="U569" s="311">
        <f t="shared" ca="1" si="234"/>
        <v>0</v>
      </c>
      <c r="V569" s="306">
        <f t="shared" ca="1" si="235"/>
        <v>1.0746252340711984</v>
      </c>
      <c r="W569" s="304">
        <f t="shared" ca="1" si="236"/>
        <v>1364.6992923626303</v>
      </c>
      <c r="Y569" s="314" t="str">
        <f t="shared" ca="1" si="254"/>
        <v/>
      </c>
      <c r="Z569" s="315" t="str">
        <f t="shared" ca="1" si="255"/>
        <v/>
      </c>
      <c r="AA569" s="316" t="str">
        <f t="shared" ca="1" si="256"/>
        <v/>
      </c>
      <c r="AC569" s="310" t="e">
        <f t="shared" ca="1" si="257"/>
        <v>#N/A</v>
      </c>
      <c r="AD569" s="323" t="e">
        <f t="shared" ca="1" si="258"/>
        <v>#N/A</v>
      </c>
      <c r="AE569" s="324">
        <f t="shared" ca="1" si="237"/>
        <v>1307.8197586359056</v>
      </c>
      <c r="AG569" s="306">
        <f t="shared" ca="1" si="259"/>
        <v>50.026881326094575</v>
      </c>
      <c r="AH569" s="304">
        <f t="shared" ca="1" si="260"/>
        <v>59.2035175775355</v>
      </c>
    </row>
    <row r="570" spans="1:34" x14ac:dyDescent="0.2">
      <c r="A570" s="347">
        <f t="shared" ca="1" si="238"/>
        <v>0.01</v>
      </c>
      <c r="B570" s="304">
        <f t="shared" ca="1" si="239"/>
        <v>5.6599999999999238</v>
      </c>
      <c r="D570" s="306">
        <f t="shared" ca="1" si="240"/>
        <v>20.829343145226126</v>
      </c>
      <c r="E570" s="307">
        <f t="shared" ca="1" si="241"/>
        <v>45.297704340468975</v>
      </c>
      <c r="F570" s="304">
        <f t="shared" ca="1" si="242"/>
        <v>49.857231715951905</v>
      </c>
      <c r="G570" s="306">
        <f t="shared" ca="1" si="243"/>
        <v>167.66106901236665</v>
      </c>
      <c r="H570" s="307">
        <f t="shared" ca="1" si="244"/>
        <v>443.47885564960956</v>
      </c>
      <c r="I570" s="304">
        <f t="shared" ca="1" si="245"/>
        <v>474.11362506329306</v>
      </c>
      <c r="J570" s="306">
        <f t="shared" ca="1" si="246"/>
        <v>468.61611543945526</v>
      </c>
      <c r="K570" s="307">
        <f t="shared" ca="1" si="247"/>
        <v>1312.2522823071847</v>
      </c>
      <c r="L570" s="304">
        <f t="shared" ca="1" si="232"/>
        <v>1393.4156293331791</v>
      </c>
      <c r="M570" s="306">
        <f t="shared" ca="1" si="248"/>
        <v>1.209346698900186</v>
      </c>
      <c r="N570" s="304">
        <f t="shared" ca="1" si="249"/>
        <v>69.290461815059018</v>
      </c>
      <c r="P570" s="310">
        <f t="shared" ca="1" si="250"/>
        <v>16</v>
      </c>
      <c r="Q570" s="304">
        <f t="shared" ca="1" si="251"/>
        <v>2125.5615171288914</v>
      </c>
      <c r="R570" s="306">
        <f t="shared" ca="1" si="252"/>
        <v>1.2782577224572336</v>
      </c>
      <c r="S570" s="307">
        <f t="shared" ca="1" si="253"/>
        <v>12.915053073578514</v>
      </c>
      <c r="T570" s="304">
        <f t="shared" ca="1" si="233"/>
        <v>126.69667065180523</v>
      </c>
      <c r="U570" s="311">
        <f t="shared" ca="1" si="234"/>
        <v>0</v>
      </c>
      <c r="V570" s="306">
        <f t="shared" ca="1" si="235"/>
        <v>1.0741469578594649</v>
      </c>
      <c r="W570" s="304">
        <f t="shared" ca="1" si="236"/>
        <v>1366.9584073191427</v>
      </c>
      <c r="Y570" s="314" t="str">
        <f t="shared" ca="1" si="254"/>
        <v/>
      </c>
      <c r="Z570" s="315" t="str">
        <f t="shared" ca="1" si="255"/>
        <v/>
      </c>
      <c r="AA570" s="316" t="str">
        <f t="shared" ca="1" si="256"/>
        <v/>
      </c>
      <c r="AC570" s="310" t="e">
        <f t="shared" ca="1" si="257"/>
        <v>#N/A</v>
      </c>
      <c r="AD570" s="323" t="e">
        <f t="shared" ca="1" si="258"/>
        <v>#N/A</v>
      </c>
      <c r="AE570" s="324">
        <f t="shared" ca="1" si="237"/>
        <v>1312.2522823071847</v>
      </c>
      <c r="AG570" s="306">
        <f t="shared" ca="1" si="259"/>
        <v>49.736439828947631</v>
      </c>
      <c r="AH570" s="304">
        <f t="shared" ca="1" si="260"/>
        <v>58.912822148816822</v>
      </c>
    </row>
    <row r="571" spans="1:34" x14ac:dyDescent="0.2">
      <c r="A571" s="347">
        <f t="shared" ca="1" si="238"/>
        <v>0.01</v>
      </c>
      <c r="B571" s="304">
        <f t="shared" ca="1" si="239"/>
        <v>5.6699999999999235</v>
      </c>
      <c r="D571" s="306">
        <f t="shared" ca="1" si="240"/>
        <v>20.73080652475667</v>
      </c>
      <c r="E571" s="307">
        <f t="shared" ca="1" si="241"/>
        <v>45.024878534708755</v>
      </c>
      <c r="F571" s="304">
        <f t="shared" ca="1" si="242"/>
        <v>49.56819571289811</v>
      </c>
      <c r="G571" s="306">
        <f t="shared" ca="1" si="243"/>
        <v>167.86837707761421</v>
      </c>
      <c r="H571" s="307">
        <f t="shared" ca="1" si="244"/>
        <v>443.92910443495663</v>
      </c>
      <c r="I571" s="304">
        <f t="shared" ca="1" si="245"/>
        <v>474.60809283775882</v>
      </c>
      <c r="J571" s="306">
        <f t="shared" ca="1" si="246"/>
        <v>470.29376266990516</v>
      </c>
      <c r="K571" s="307">
        <f t="shared" ca="1" si="247"/>
        <v>1316.6893221076075</v>
      </c>
      <c r="L571" s="304">
        <f t="shared" ca="1" si="232"/>
        <v>1398.1584295631194</v>
      </c>
      <c r="M571" s="306">
        <f t="shared" ca="1" si="248"/>
        <v>1.2092736045746537</v>
      </c>
      <c r="N571" s="304">
        <f t="shared" ca="1" si="249"/>
        <v>69.286273818699655</v>
      </c>
      <c r="P571" s="310">
        <f t="shared" ca="1" si="250"/>
        <v>16</v>
      </c>
      <c r="Q571" s="304">
        <f t="shared" ca="1" si="251"/>
        <v>2123.3261500815834</v>
      </c>
      <c r="R571" s="306">
        <f t="shared" ca="1" si="252"/>
        <v>1.2769134305288554</v>
      </c>
      <c r="S571" s="307">
        <f t="shared" ca="1" si="253"/>
        <v>12.902283939273225</v>
      </c>
      <c r="T571" s="304">
        <f t="shared" ca="1" si="233"/>
        <v>126.57140544427034</v>
      </c>
      <c r="U571" s="311">
        <f t="shared" ca="1" si="234"/>
        <v>0</v>
      </c>
      <c r="V571" s="306">
        <f t="shared" ca="1" si="235"/>
        <v>1.0736683935568714</v>
      </c>
      <c r="W571" s="304">
        <f t="shared" ca="1" si="236"/>
        <v>1369.2008891574903</v>
      </c>
      <c r="Y571" s="314" t="str">
        <f t="shared" ca="1" si="254"/>
        <v/>
      </c>
      <c r="Z571" s="315" t="str">
        <f t="shared" ca="1" si="255"/>
        <v/>
      </c>
      <c r="AA571" s="316" t="str">
        <f t="shared" ca="1" si="256"/>
        <v/>
      </c>
      <c r="AC571" s="310" t="e">
        <f t="shared" ca="1" si="257"/>
        <v>#N/A</v>
      </c>
      <c r="AD571" s="323" t="e">
        <f t="shared" ca="1" si="258"/>
        <v>#N/A</v>
      </c>
      <c r="AE571" s="324">
        <f t="shared" ca="1" si="237"/>
        <v>1316.6893221076075</v>
      </c>
      <c r="AG571" s="306">
        <f t="shared" ca="1" si="259"/>
        <v>49.446650660239783</v>
      </c>
      <c r="AH571" s="304">
        <f t="shared" ca="1" si="260"/>
        <v>58.62277921664203</v>
      </c>
    </row>
    <row r="572" spans="1:34" x14ac:dyDescent="0.2">
      <c r="A572" s="347">
        <f t="shared" ca="1" si="238"/>
        <v>0.01</v>
      </c>
      <c r="B572" s="304">
        <f t="shared" ca="1" si="239"/>
        <v>5.6799999999999233</v>
      </c>
      <c r="D572" s="306">
        <f t="shared" ca="1" si="240"/>
        <v>20.632458360231194</v>
      </c>
      <c r="E572" s="307">
        <f t="shared" ca="1" si="241"/>
        <v>44.752681319746891</v>
      </c>
      <c r="F572" s="304">
        <f t="shared" ca="1" si="242"/>
        <v>49.279821664586983</v>
      </c>
      <c r="G572" s="306">
        <f t="shared" ca="1" si="243"/>
        <v>168.07470166121652</v>
      </c>
      <c r="H572" s="307">
        <f t="shared" ca="1" si="244"/>
        <v>444.37663124815407</v>
      </c>
      <c r="I572" s="304">
        <f t="shared" ca="1" si="245"/>
        <v>475.09966926737047</v>
      </c>
      <c r="J572" s="306">
        <f t="shared" ca="1" si="246"/>
        <v>471.97347806359932</v>
      </c>
      <c r="K572" s="307">
        <f t="shared" ca="1" si="247"/>
        <v>1321.1308507860231</v>
      </c>
      <c r="L572" s="304">
        <f t="shared" ca="1" si="232"/>
        <v>1402.9061582636425</v>
      </c>
      <c r="M572" s="306">
        <f t="shared" ca="1" si="248"/>
        <v>1.2092005717610796</v>
      </c>
      <c r="N572" s="304">
        <f t="shared" ca="1" si="249"/>
        <v>69.282089346715892</v>
      </c>
      <c r="P572" s="310">
        <f t="shared" ca="1" si="250"/>
        <v>16</v>
      </c>
      <c r="Q572" s="304">
        <f t="shared" ca="1" si="251"/>
        <v>2121.0907830342749</v>
      </c>
      <c r="R572" s="306">
        <f t="shared" ca="1" si="252"/>
        <v>1.2755691386004768</v>
      </c>
      <c r="S572" s="307">
        <f t="shared" ca="1" si="253"/>
        <v>12.88952824788722</v>
      </c>
      <c r="T572" s="304">
        <f t="shared" ca="1" si="233"/>
        <v>126.44627211177364</v>
      </c>
      <c r="U572" s="311">
        <f t="shared" ca="1" si="234"/>
        <v>0</v>
      </c>
      <c r="V572" s="306">
        <f t="shared" ca="1" si="235"/>
        <v>1.0731895445847599</v>
      </c>
      <c r="W572" s="304">
        <f t="shared" ca="1" si="236"/>
        <v>1371.426743855812</v>
      </c>
      <c r="Y572" s="314" t="str">
        <f t="shared" ca="1" si="254"/>
        <v/>
      </c>
      <c r="Z572" s="315" t="str">
        <f t="shared" ca="1" si="255"/>
        <v/>
      </c>
      <c r="AA572" s="316" t="str">
        <f t="shared" ca="1" si="256"/>
        <v/>
      </c>
      <c r="AC572" s="310" t="e">
        <f t="shared" ca="1" si="257"/>
        <v>#N/A</v>
      </c>
      <c r="AD572" s="323" t="e">
        <f t="shared" ca="1" si="258"/>
        <v>#N/A</v>
      </c>
      <c r="AE572" s="324">
        <f t="shared" ca="1" si="237"/>
        <v>1321.1308507860231</v>
      </c>
      <c r="AG572" s="306">
        <f t="shared" ca="1" si="259"/>
        <v>49.157516257033336</v>
      </c>
      <c r="AH572" s="304">
        <f t="shared" ca="1" si="260"/>
        <v>58.333391216240216</v>
      </c>
    </row>
    <row r="573" spans="1:34" x14ac:dyDescent="0.2">
      <c r="A573" s="347">
        <f t="shared" ca="1" si="238"/>
        <v>0.01</v>
      </c>
      <c r="B573" s="304">
        <f t="shared" ca="1" si="239"/>
        <v>5.6899999999999231</v>
      </c>
      <c r="D573" s="306">
        <f t="shared" ca="1" si="240"/>
        <v>20.534299713699635</v>
      </c>
      <c r="E573" s="307">
        <f t="shared" ca="1" si="241"/>
        <v>44.481114853243724</v>
      </c>
      <c r="F573" s="304">
        <f t="shared" ca="1" si="242"/>
        <v>48.992112052038586</v>
      </c>
      <c r="G573" s="306">
        <f t="shared" ca="1" si="243"/>
        <v>168.28004465835352</v>
      </c>
      <c r="H573" s="307">
        <f t="shared" ca="1" si="244"/>
        <v>444.82144239668651</v>
      </c>
      <c r="I573" s="304">
        <f t="shared" ca="1" si="245"/>
        <v>475.58836092369432</v>
      </c>
      <c r="J573" s="306">
        <f t="shared" ca="1" si="246"/>
        <v>473.65525179519716</v>
      </c>
      <c r="K573" s="307">
        <f t="shared" ca="1" si="247"/>
        <v>1325.5768411542472</v>
      </c>
      <c r="L573" s="304">
        <f t="shared" ca="1" si="232"/>
        <v>1407.6587865522113</v>
      </c>
      <c r="M573" s="306">
        <f t="shared" ca="1" si="248"/>
        <v>1.20912759990194</v>
      </c>
      <c r="N573" s="304">
        <f t="shared" ca="1" si="249"/>
        <v>69.277908367163974</v>
      </c>
      <c r="P573" s="310">
        <f t="shared" ca="1" si="250"/>
        <v>16</v>
      </c>
      <c r="Q573" s="304">
        <f t="shared" ca="1" si="251"/>
        <v>2118.8554159869668</v>
      </c>
      <c r="R573" s="306">
        <f t="shared" ca="1" si="252"/>
        <v>1.2742248466720985</v>
      </c>
      <c r="S573" s="307">
        <f t="shared" ca="1" si="253"/>
        <v>12.8767859994205</v>
      </c>
      <c r="T573" s="304">
        <f t="shared" ca="1" si="233"/>
        <v>126.32127065431511</v>
      </c>
      <c r="U573" s="311">
        <f t="shared" ca="1" si="234"/>
        <v>0</v>
      </c>
      <c r="V573" s="306">
        <f t="shared" ca="1" si="235"/>
        <v>1.072710414352753</v>
      </c>
      <c r="W573" s="304">
        <f t="shared" ca="1" si="236"/>
        <v>1373.6359780606251</v>
      </c>
      <c r="Y573" s="314" t="str">
        <f t="shared" ca="1" si="254"/>
        <v/>
      </c>
      <c r="Z573" s="315" t="str">
        <f t="shared" ca="1" si="255"/>
        <v/>
      </c>
      <c r="AA573" s="316" t="str">
        <f t="shared" ca="1" si="256"/>
        <v/>
      </c>
      <c r="AC573" s="310" t="e">
        <f t="shared" ca="1" si="257"/>
        <v>#N/A</v>
      </c>
      <c r="AD573" s="323" t="e">
        <f t="shared" ca="1" si="258"/>
        <v>#N/A</v>
      </c>
      <c r="AE573" s="324">
        <f t="shared" ca="1" si="237"/>
        <v>1325.5768411542472</v>
      </c>
      <c r="AG573" s="306">
        <f t="shared" ca="1" si="259"/>
        <v>48.869039009544345</v>
      </c>
      <c r="AH573" s="304">
        <f t="shared" ca="1" si="260"/>
        <v>58.044660536005779</v>
      </c>
    </row>
    <row r="574" spans="1:34" x14ac:dyDescent="0.2">
      <c r="A574" s="347">
        <f t="shared" ca="1" si="238"/>
        <v>0.01</v>
      </c>
      <c r="B574" s="304">
        <f t="shared" ca="1" si="239"/>
        <v>5.6999999999999229</v>
      </c>
      <c r="D574" s="306">
        <f t="shared" ca="1" si="240"/>
        <v>20.436331630319192</v>
      </c>
      <c r="E574" s="307">
        <f t="shared" ca="1" si="241"/>
        <v>44.210181249365704</v>
      </c>
      <c r="F574" s="304">
        <f t="shared" ca="1" si="242"/>
        <v>48.705069311172856</v>
      </c>
      <c r="G574" s="306">
        <f t="shared" ca="1" si="243"/>
        <v>168.4844079746567</v>
      </c>
      <c r="H574" s="307">
        <f t="shared" ca="1" si="244"/>
        <v>445.26354420918017</v>
      </c>
      <c r="I574" s="304">
        <f t="shared" ca="1" si="245"/>
        <v>476.07417440173236</v>
      </c>
      <c r="J574" s="306">
        <f t="shared" ca="1" si="246"/>
        <v>475.3390740583622</v>
      </c>
      <c r="K574" s="307">
        <f t="shared" ca="1" si="247"/>
        <v>1330.0272660872765</v>
      </c>
      <c r="L574" s="304">
        <f t="shared" ca="1" si="232"/>
        <v>1412.4162856120913</v>
      </c>
      <c r="M574" s="306">
        <f t="shared" ca="1" si="248"/>
        <v>1.2090546884434377</v>
      </c>
      <c r="N574" s="304">
        <f t="shared" ca="1" si="249"/>
        <v>69.273730848313647</v>
      </c>
      <c r="P574" s="310">
        <f t="shared" ca="1" si="250"/>
        <v>16</v>
      </c>
      <c r="Q574" s="304">
        <f t="shared" ca="1" si="251"/>
        <v>2116.6200489396583</v>
      </c>
      <c r="R574" s="306">
        <f t="shared" ca="1" si="252"/>
        <v>1.2728805547437199</v>
      </c>
      <c r="S574" s="307">
        <f t="shared" ca="1" si="253"/>
        <v>12.864057193873062</v>
      </c>
      <c r="T574" s="304">
        <f t="shared" ca="1" si="233"/>
        <v>126.19640107189475</v>
      </c>
      <c r="U574" s="311">
        <f t="shared" ca="1" si="234"/>
        <v>0</v>
      </c>
      <c r="V574" s="306">
        <f t="shared" ca="1" si="235"/>
        <v>1.0722310062587384</v>
      </c>
      <c r="W574" s="304">
        <f t="shared" ca="1" si="236"/>
        <v>1375.8285990806248</v>
      </c>
      <c r="Y574" s="314" t="str">
        <f t="shared" ca="1" si="254"/>
        <v/>
      </c>
      <c r="Z574" s="315" t="str">
        <f t="shared" ca="1" si="255"/>
        <v/>
      </c>
      <c r="AA574" s="316" t="str">
        <f t="shared" ca="1" si="256"/>
        <v/>
      </c>
      <c r="AC574" s="310" t="e">
        <f t="shared" ca="1" si="257"/>
        <v>#N/A</v>
      </c>
      <c r="AD574" s="323" t="e">
        <f t="shared" ca="1" si="258"/>
        <v>#N/A</v>
      </c>
      <c r="AE574" s="324">
        <f t="shared" ca="1" si="237"/>
        <v>1330.0272660872765</v>
      </c>
      <c r="AG574" s="306">
        <f t="shared" ca="1" si="259"/>
        <v>48.581221261366942</v>
      </c>
      <c r="AH574" s="304">
        <f t="shared" ca="1" si="260"/>
        <v>57.756589517722624</v>
      </c>
    </row>
    <row r="575" spans="1:34" x14ac:dyDescent="0.2">
      <c r="A575" s="347">
        <f t="shared" ca="1" si="238"/>
        <v>0.01</v>
      </c>
      <c r="B575" s="304">
        <f t="shared" ca="1" si="239"/>
        <v>5.7099999999999227</v>
      </c>
      <c r="D575" s="306">
        <f t="shared" ca="1" si="240"/>
        <v>20.33855513842796</v>
      </c>
      <c r="E575" s="307">
        <f t="shared" ca="1" si="241"/>
        <v>43.93988257900083</v>
      </c>
      <c r="F575" s="304">
        <f t="shared" ca="1" si="242"/>
        <v>48.418695833069023</v>
      </c>
      <c r="G575" s="306">
        <f t="shared" ca="1" si="243"/>
        <v>168.68779352604099</v>
      </c>
      <c r="H575" s="307">
        <f t="shared" ca="1" si="244"/>
        <v>445.70294303497019</v>
      </c>
      <c r="I575" s="304">
        <f t="shared" ca="1" si="245"/>
        <v>476.55711631945871</v>
      </c>
      <c r="J575" s="306">
        <f t="shared" ca="1" si="246"/>
        <v>477.02493506586569</v>
      </c>
      <c r="K575" s="307">
        <f t="shared" ca="1" si="247"/>
        <v>1334.4820985234974</v>
      </c>
      <c r="L575" s="304">
        <f t="shared" ca="1" si="232"/>
        <v>1417.1786266925812</v>
      </c>
      <c r="M575" s="306">
        <f t="shared" ca="1" si="248"/>
        <v>1.2089818368354674</v>
      </c>
      <c r="N575" s="304">
        <f t="shared" ca="1" si="249"/>
        <v>69.269556758646218</v>
      </c>
      <c r="P575" s="310">
        <f t="shared" ca="1" si="250"/>
        <v>16</v>
      </c>
      <c r="Q575" s="304">
        <f t="shared" ca="1" si="251"/>
        <v>2114.3846818923503</v>
      </c>
      <c r="R575" s="306">
        <f t="shared" ca="1" si="252"/>
        <v>1.2715362628153415</v>
      </c>
      <c r="S575" s="307">
        <f t="shared" ca="1" si="253"/>
        <v>12.851341831244909</v>
      </c>
      <c r="T575" s="304">
        <f t="shared" ca="1" si="233"/>
        <v>126.07166336451256</v>
      </c>
      <c r="U575" s="311">
        <f t="shared" ca="1" si="234"/>
        <v>0</v>
      </c>
      <c r="V575" s="306">
        <f t="shared" ca="1" si="235"/>
        <v>1.0717513236888538</v>
      </c>
      <c r="W575" s="304">
        <f t="shared" ca="1" si="236"/>
        <v>1378.0046148804918</v>
      </c>
      <c r="Y575" s="314" t="str">
        <f t="shared" ca="1" si="254"/>
        <v/>
      </c>
      <c r="Z575" s="315" t="str">
        <f t="shared" ca="1" si="255"/>
        <v/>
      </c>
      <c r="AA575" s="316" t="str">
        <f t="shared" ca="1" si="256"/>
        <v/>
      </c>
      <c r="AC575" s="310" t="e">
        <f t="shared" ca="1" si="257"/>
        <v>#N/A</v>
      </c>
      <c r="AD575" s="323" t="e">
        <f t="shared" ca="1" si="258"/>
        <v>#N/A</v>
      </c>
      <c r="AE575" s="324">
        <f t="shared" ca="1" si="237"/>
        <v>1334.4820985234974</v>
      </c>
      <c r="AG575" s="306">
        <f t="shared" ca="1" si="259"/>
        <v>48.294065309700628</v>
      </c>
      <c r="AH575" s="304">
        <f t="shared" ca="1" si="260"/>
        <v>57.469180456791378</v>
      </c>
    </row>
    <row r="576" spans="1:34" x14ac:dyDescent="0.2">
      <c r="A576" s="347">
        <f t="shared" ca="1" si="238"/>
        <v>0.01</v>
      </c>
      <c r="B576" s="304">
        <f t="shared" ca="1" si="239"/>
        <v>5.7199999999999225</v>
      </c>
      <c r="D576" s="306">
        <f t="shared" ca="1" si="240"/>
        <v>20.240971249618966</v>
      </c>
      <c r="E576" s="307">
        <f t="shared" ca="1" si="241"/>
        <v>43.670220869974862</v>
      </c>
      <c r="F576" s="304">
        <f t="shared" ca="1" si="242"/>
        <v>48.132993964226763</v>
      </c>
      <c r="G576" s="306">
        <f t="shared" ca="1" si="243"/>
        <v>168.89020323853717</v>
      </c>
      <c r="H576" s="307">
        <f t="shared" ca="1" si="244"/>
        <v>446.13964524366992</v>
      </c>
      <c r="I576" s="304">
        <f t="shared" ca="1" si="245"/>
        <v>477.03719331735761</v>
      </c>
      <c r="J576" s="306">
        <f t="shared" ca="1" si="246"/>
        <v>478.7128250496886</v>
      </c>
      <c r="K576" s="307">
        <f t="shared" ca="1" si="247"/>
        <v>1338.9413114648905</v>
      </c>
      <c r="L576" s="304">
        <f t="shared" ca="1" si="232"/>
        <v>1421.9457811092429</v>
      </c>
      <c r="M576" s="306">
        <f t="shared" ca="1" si="248"/>
        <v>1.2089090445315831</v>
      </c>
      <c r="N576" s="304">
        <f t="shared" ca="1" si="249"/>
        <v>69.265386066852599</v>
      </c>
      <c r="P576" s="310">
        <f t="shared" ca="1" si="250"/>
        <v>16</v>
      </c>
      <c r="Q576" s="304">
        <f t="shared" ca="1" si="251"/>
        <v>2112.1493148450418</v>
      </c>
      <c r="R576" s="306">
        <f t="shared" ca="1" si="252"/>
        <v>1.2701919708869629</v>
      </c>
      <c r="S576" s="307">
        <f t="shared" ca="1" si="253"/>
        <v>12.83863991153604</v>
      </c>
      <c r="T576" s="304">
        <f t="shared" ca="1" si="233"/>
        <v>125.94705753216856</v>
      </c>
      <c r="U576" s="311">
        <f t="shared" ca="1" si="234"/>
        <v>0</v>
      </c>
      <c r="V576" s="306">
        <f t="shared" ca="1" si="235"/>
        <v>1.0712713700174759</v>
      </c>
      <c r="W576" s="304">
        <f t="shared" ca="1" si="236"/>
        <v>1380.1640340746933</v>
      </c>
      <c r="Y576" s="314" t="str">
        <f t="shared" ca="1" si="254"/>
        <v/>
      </c>
      <c r="Z576" s="315" t="str">
        <f t="shared" ca="1" si="255"/>
        <v/>
      </c>
      <c r="AA576" s="316" t="str">
        <f t="shared" ca="1" si="256"/>
        <v/>
      </c>
      <c r="AC576" s="310" t="e">
        <f t="shared" ca="1" si="257"/>
        <v>#N/A</v>
      </c>
      <c r="AD576" s="323" t="e">
        <f t="shared" ca="1" si="258"/>
        <v>#N/A</v>
      </c>
      <c r="AE576" s="324">
        <f t="shared" ca="1" si="237"/>
        <v>1338.9413114648905</v>
      </c>
      <c r="AG576" s="306">
        <f t="shared" ca="1" si="259"/>
        <v>48.007573405578512</v>
      </c>
      <c r="AH576" s="304">
        <f t="shared" ca="1" si="260"/>
        <v>57.182435602457481</v>
      </c>
    </row>
    <row r="577" spans="1:34" x14ac:dyDescent="0.2">
      <c r="A577" s="347">
        <f t="shared" ca="1" si="238"/>
        <v>0.01</v>
      </c>
      <c r="B577" s="304">
        <f t="shared" ca="1" si="239"/>
        <v>5.7299999999999223</v>
      </c>
      <c r="D577" s="306">
        <f t="shared" ca="1" si="240"/>
        <v>20.143580958815207</v>
      </c>
      <c r="E577" s="307">
        <f t="shared" ca="1" si="241"/>
        <v>43.40119810727041</v>
      </c>
      <c r="F577" s="304">
        <f t="shared" ca="1" si="242"/>
        <v>47.847966006831214</v>
      </c>
      <c r="G577" s="306">
        <f t="shared" ca="1" si="243"/>
        <v>169.09163904812533</v>
      </c>
      <c r="H577" s="307">
        <f t="shared" ca="1" si="244"/>
        <v>446.57365722474265</v>
      </c>
      <c r="I577" s="304">
        <f t="shared" ca="1" si="245"/>
        <v>477.51441205796442</v>
      </c>
      <c r="J577" s="306">
        <f t="shared" ca="1" si="246"/>
        <v>480.40273426112191</v>
      </c>
      <c r="K577" s="307">
        <f t="shared" ca="1" si="247"/>
        <v>1343.4048779772327</v>
      </c>
      <c r="L577" s="304">
        <f t="shared" ca="1" si="232"/>
        <v>1426.7177202441221</v>
      </c>
      <c r="M577" s="306">
        <f t="shared" ca="1" si="248"/>
        <v>1.2088363109889617</v>
      </c>
      <c r="N577" s="304">
        <f t="shared" ca="1" si="249"/>
        <v>69.261218741831371</v>
      </c>
      <c r="P577" s="310">
        <f t="shared" ca="1" si="250"/>
        <v>16</v>
      </c>
      <c r="Q577" s="304">
        <f t="shared" ca="1" si="251"/>
        <v>2109.9139477977337</v>
      </c>
      <c r="R577" s="306">
        <f t="shared" ca="1" si="252"/>
        <v>1.2688476789585845</v>
      </c>
      <c r="S577" s="307">
        <f t="shared" ca="1" si="253"/>
        <v>12.825951434746454</v>
      </c>
      <c r="T577" s="304">
        <f t="shared" ca="1" si="233"/>
        <v>125.82258357486272</v>
      </c>
      <c r="U577" s="311">
        <f t="shared" ca="1" si="234"/>
        <v>0</v>
      </c>
      <c r="V577" s="306">
        <f t="shared" ca="1" si="235"/>
        <v>1.0707911486072066</v>
      </c>
      <c r="W577" s="304">
        <f t="shared" ca="1" si="236"/>
        <v>1382.3068659212956</v>
      </c>
      <c r="Y577" s="314" t="str">
        <f t="shared" ca="1" si="254"/>
        <v/>
      </c>
      <c r="Z577" s="315" t="str">
        <f t="shared" ca="1" si="255"/>
        <v/>
      </c>
      <c r="AA577" s="316" t="str">
        <f t="shared" ca="1" si="256"/>
        <v/>
      </c>
      <c r="AC577" s="310" t="e">
        <f t="shared" ca="1" si="257"/>
        <v>#N/A</v>
      </c>
      <c r="AD577" s="323" t="e">
        <f t="shared" ca="1" si="258"/>
        <v>#N/A</v>
      </c>
      <c r="AE577" s="324">
        <f t="shared" ca="1" si="237"/>
        <v>1343.4048779772327</v>
      </c>
      <c r="AG577" s="306">
        <f t="shared" ca="1" si="259"/>
        <v>47.721747754098551</v>
      </c>
      <c r="AH577" s="304">
        <f t="shared" ca="1" si="260"/>
        <v>56.896357158042385</v>
      </c>
    </row>
    <row r="578" spans="1:34" x14ac:dyDescent="0.2">
      <c r="A578" s="347">
        <f t="shared" ca="1" si="238"/>
        <v>0.01</v>
      </c>
      <c r="B578" s="304">
        <f t="shared" ca="1" si="239"/>
        <v>5.7399999999999221</v>
      </c>
      <c r="D578" s="306">
        <f t="shared" ca="1" si="240"/>
        <v>20.046385244345245</v>
      </c>
      <c r="E578" s="307">
        <f t="shared" ca="1" si="241"/>
        <v>43.13281623324665</v>
      </c>
      <c r="F578" s="304">
        <f t="shared" ca="1" si="242"/>
        <v>47.563614219019655</v>
      </c>
      <c r="G578" s="306">
        <f t="shared" ca="1" si="243"/>
        <v>169.29210290056878</v>
      </c>
      <c r="H578" s="307">
        <f t="shared" ca="1" si="244"/>
        <v>447.00498538707512</v>
      </c>
      <c r="I578" s="304">
        <f t="shared" ca="1" si="245"/>
        <v>477.98877922540817</v>
      </c>
      <c r="J578" s="306">
        <f t="shared" ca="1" si="246"/>
        <v>482.09465297086535</v>
      </c>
      <c r="K578" s="307">
        <f t="shared" ca="1" si="247"/>
        <v>1347.8727711902918</v>
      </c>
      <c r="L578" s="304">
        <f t="shared" ca="1" si="232"/>
        <v>1431.4944155459691</v>
      </c>
      <c r="M578" s="306">
        <f t="shared" ca="1" si="248"/>
        <v>1.2087636356683726</v>
      </c>
      <c r="N578" s="304">
        <f t="shared" ca="1" si="249"/>
        <v>69.257054752686855</v>
      </c>
      <c r="P578" s="310">
        <f t="shared" ca="1" si="250"/>
        <v>16</v>
      </c>
      <c r="Q578" s="304">
        <f t="shared" ca="1" si="251"/>
        <v>2107.6785807504252</v>
      </c>
      <c r="R578" s="306">
        <f t="shared" ca="1" si="252"/>
        <v>1.2675033870302059</v>
      </c>
      <c r="S578" s="307">
        <f t="shared" ca="1" si="253"/>
        <v>12.813276400876152</v>
      </c>
      <c r="T578" s="304">
        <f t="shared" ca="1" si="233"/>
        <v>125.69824149259506</v>
      </c>
      <c r="U578" s="311">
        <f t="shared" ca="1" si="234"/>
        <v>0</v>
      </c>
      <c r="V578" s="306">
        <f t="shared" ca="1" si="235"/>
        <v>1.0703106628088601</v>
      </c>
      <c r="W578" s="304">
        <f t="shared" ca="1" si="236"/>
        <v>1384.4331203157665</v>
      </c>
      <c r="Y578" s="314" t="str">
        <f t="shared" ca="1" si="254"/>
        <v/>
      </c>
      <c r="Z578" s="315" t="str">
        <f t="shared" ca="1" si="255"/>
        <v/>
      </c>
      <c r="AA578" s="316" t="str">
        <f t="shared" ca="1" si="256"/>
        <v/>
      </c>
      <c r="AC578" s="310" t="e">
        <f t="shared" ca="1" si="257"/>
        <v>#N/A</v>
      </c>
      <c r="AD578" s="323" t="e">
        <f t="shared" ca="1" si="258"/>
        <v>#N/A</v>
      </c>
      <c r="AE578" s="324">
        <f t="shared" ca="1" si="237"/>
        <v>1347.8727711902918</v>
      </c>
      <c r="AG578" s="306">
        <f t="shared" ca="1" si="259"/>
        <v>47.436590514655634</v>
      </c>
      <c r="AH578" s="304">
        <f t="shared" ca="1" si="260"/>
        <v>56.61094728117547</v>
      </c>
    </row>
    <row r="579" spans="1:34" x14ac:dyDescent="0.2">
      <c r="A579" s="347">
        <f t="shared" ca="1" si="238"/>
        <v>0.01</v>
      </c>
      <c r="B579" s="304">
        <f t="shared" ca="1" si="239"/>
        <v>5.7499999999999218</v>
      </c>
      <c r="D579" s="306">
        <f t="shared" ca="1" si="240"/>
        <v>19.949385068019737</v>
      </c>
      <c r="E579" s="307">
        <f t="shared" ca="1" si="241"/>
        <v>42.865077147862273</v>
      </c>
      <c r="F579" s="304">
        <f t="shared" ca="1" si="242"/>
        <v>47.279940815152393</v>
      </c>
      <c r="G579" s="306">
        <f t="shared" ca="1" si="243"/>
        <v>169.49159675124898</v>
      </c>
      <c r="H579" s="307">
        <f t="shared" ca="1" si="244"/>
        <v>447.43363615855372</v>
      </c>
      <c r="I579" s="304">
        <f t="shared" ca="1" si="245"/>
        <v>478.46030152495729</v>
      </c>
      <c r="J579" s="306">
        <f t="shared" ca="1" si="246"/>
        <v>483.78857146912446</v>
      </c>
      <c r="K579" s="307">
        <f t="shared" ca="1" si="247"/>
        <v>1352.3449642980199</v>
      </c>
      <c r="L579" s="304">
        <f t="shared" ca="1" si="232"/>
        <v>1436.2758385304505</v>
      </c>
      <c r="M579" s="306">
        <f t="shared" ca="1" si="248"/>
        <v>1.2086910180341426</v>
      </c>
      <c r="N579" s="304">
        <f t="shared" ca="1" si="249"/>
        <v>69.252894068727244</v>
      </c>
      <c r="P579" s="310">
        <f t="shared" ca="1" si="250"/>
        <v>16</v>
      </c>
      <c r="Q579" s="304">
        <f t="shared" ca="1" si="251"/>
        <v>2105.4432137031172</v>
      </c>
      <c r="R579" s="306">
        <f t="shared" ca="1" si="252"/>
        <v>1.2661590951018278</v>
      </c>
      <c r="S579" s="307">
        <f t="shared" ca="1" si="253"/>
        <v>12.800614809925134</v>
      </c>
      <c r="T579" s="304">
        <f t="shared" ca="1" si="233"/>
        <v>125.57403128536558</v>
      </c>
      <c r="U579" s="311">
        <f t="shared" ca="1" si="234"/>
        <v>0</v>
      </c>
      <c r="V579" s="306">
        <f t="shared" ca="1" si="235"/>
        <v>1.0698299159614539</v>
      </c>
      <c r="W579" s="304">
        <f t="shared" ca="1" si="236"/>
        <v>1386.542807784796</v>
      </c>
      <c r="Y579" s="314" t="str">
        <f t="shared" ca="1" si="254"/>
        <v/>
      </c>
      <c r="Z579" s="315" t="str">
        <f t="shared" ca="1" si="255"/>
        <v/>
      </c>
      <c r="AA579" s="316" t="str">
        <f t="shared" ca="1" si="256"/>
        <v/>
      </c>
      <c r="AC579" s="310" t="e">
        <f t="shared" ca="1" si="257"/>
        <v>#N/A</v>
      </c>
      <c r="AD579" s="323" t="e">
        <f t="shared" ca="1" si="258"/>
        <v>#N/A</v>
      </c>
      <c r="AE579" s="324">
        <f t="shared" ca="1" si="237"/>
        <v>1352.3449642980199</v>
      </c>
      <c r="AG579" s="306">
        <f t="shared" ca="1" si="259"/>
        <v>47.152103801176935</v>
      </c>
      <c r="AH579" s="304">
        <f t="shared" ca="1" si="260"/>
        <v>56.326208084029332</v>
      </c>
    </row>
    <row r="580" spans="1:34" x14ac:dyDescent="0.2">
      <c r="A580" s="347">
        <f t="shared" ca="1" si="238"/>
        <v>0.01</v>
      </c>
      <c r="B580" s="304">
        <f t="shared" ca="1" si="239"/>
        <v>5.7599999999999216</v>
      </c>
      <c r="D580" s="306">
        <f t="shared" ca="1" si="240"/>
        <v>19.852581375208338</v>
      </c>
      <c r="E580" s="307">
        <f t="shared" ca="1" si="241"/>
        <v>42.597982708898442</v>
      </c>
      <c r="F580" s="304">
        <f t="shared" ca="1" si="242"/>
        <v>46.996947966084775</v>
      </c>
      <c r="G580" s="306">
        <f t="shared" ca="1" si="243"/>
        <v>169.69012256500105</v>
      </c>
      <c r="H580" s="307">
        <f t="shared" ca="1" si="244"/>
        <v>447.85961598564273</v>
      </c>
      <c r="I580" s="304">
        <f t="shared" ca="1" si="245"/>
        <v>478.92898568256697</v>
      </c>
      <c r="J580" s="306">
        <f t="shared" ca="1" si="246"/>
        <v>485.48448006570572</v>
      </c>
      <c r="K580" s="307">
        <f t="shared" ca="1" si="247"/>
        <v>1356.821430558741</v>
      </c>
      <c r="L580" s="304">
        <f t="shared" ref="L580:L643" ca="1" si="261">SQRT(pos_x^2+pos_z^2)</f>
        <v>1441.0619607803603</v>
      </c>
      <c r="M580" s="306">
        <f t="shared" ca="1" si="248"/>
        <v>1.2086184575541252</v>
      </c>
      <c r="N580" s="304">
        <f t="shared" ca="1" si="249"/>
        <v>69.248736659462807</v>
      </c>
      <c r="P580" s="310">
        <f t="shared" ca="1" si="250"/>
        <v>16</v>
      </c>
      <c r="Q580" s="304">
        <f t="shared" ca="1" si="251"/>
        <v>2103.2078466558087</v>
      </c>
      <c r="R580" s="306">
        <f t="shared" ca="1" si="252"/>
        <v>1.2648148031734492</v>
      </c>
      <c r="S580" s="307">
        <f t="shared" ca="1" si="253"/>
        <v>12.7879666618934</v>
      </c>
      <c r="T580" s="304">
        <f t="shared" ref="T580:T643" ca="1" si="262">m*g</f>
        <v>125.44995295317426</v>
      </c>
      <c r="U580" s="311">
        <f t="shared" ref="U580:U643" ca="1" si="263">IF(pos_xz&lt;L_rampe,Poids*COS(Beta),0)</f>
        <v>0</v>
      </c>
      <c r="V580" s="306">
        <f t="shared" ref="V580:V643" ca="1" si="264">Rho_moyen*(20000-Alt_rampe-pos_z)/(20000+Alt_rampe+pos_z)</f>
        <v>1.0693489113921972</v>
      </c>
      <c r="W580" s="304">
        <f t="shared" ref="W580:W643" ca="1" si="265">1/2*Rho*Sref*Cx*vit_xz^2</f>
        <v>1388.6359394801095</v>
      </c>
      <c r="Y580" s="314" t="str">
        <f t="shared" ca="1" si="254"/>
        <v/>
      </c>
      <c r="Z580" s="315" t="str">
        <f t="shared" ca="1" si="255"/>
        <v/>
      </c>
      <c r="AA580" s="316" t="str">
        <f t="shared" ca="1" si="256"/>
        <v/>
      </c>
      <c r="AC580" s="310" t="e">
        <f t="shared" ca="1" si="257"/>
        <v>#N/A</v>
      </c>
      <c r="AD580" s="323" t="e">
        <f t="shared" ca="1" si="258"/>
        <v>#N/A</v>
      </c>
      <c r="AE580" s="324">
        <f t="shared" ref="AE580:AE643" ca="1" si="266">IF(t&lt;T_para, pos_z, NA())</f>
        <v>1356.821430558741</v>
      </c>
      <c r="AG580" s="306">
        <f t="shared" ca="1" si="259"/>
        <v>46.868289682357464</v>
      </c>
      <c r="AH580" s="304">
        <f t="shared" ca="1" si="260"/>
        <v>56.042141633555254</v>
      </c>
    </row>
    <row r="581" spans="1:34" x14ac:dyDescent="0.2">
      <c r="A581" s="347">
        <f t="shared" ref="A581:A644" ca="1" si="267">IF(B580+0.01&lt;=T_ini+ROUNDUP(Temps_fin_propu,0), 0.01, IF(K580&gt;0, 0.1, 0.0001))</f>
        <v>0.01</v>
      </c>
      <c r="B581" s="304">
        <f t="shared" ref="B581:B644" ca="1" si="268">B580+pas</f>
        <v>5.7699999999999214</v>
      </c>
      <c r="D581" s="306">
        <f t="shared" ref="D581:D644" ca="1" si="269">IF(AND(L580&lt;L_rampe,Poussee&lt;Poids*SIN(M580)),0,(-W580+Poussee)/m*COS(M580)-U580/m*SIN(M580))</f>
        <v>19.755975094917584</v>
      </c>
      <c r="E581" s="307">
        <f t="shared" ref="E581:E644" ca="1" si="270">IF(AND(L580&lt;L_rampe,Poussee&lt;Poids*SIN(M580)),0,(-W580+Poussee)/m*SIN(M580)+U580/m*COS(M580)-Poids/m)</f>
        <v>42.331534732184899</v>
      </c>
      <c r="F581" s="304">
        <f t="shared" ref="F581:F644" ca="1" si="271">SQRT(acc_x^2+acc_z^2)</f>
        <v>46.714637799443338</v>
      </c>
      <c r="G581" s="306">
        <f t="shared" ref="G581:G644" ca="1" si="272">G580+acc_x*pas</f>
        <v>169.88768231595023</v>
      </c>
      <c r="H581" s="307">
        <f t="shared" ref="H581:H644" ca="1" si="273">H580+acc_z*pas</f>
        <v>448.28293133296461</v>
      </c>
      <c r="I581" s="304">
        <f t="shared" ref="I581:I644" ca="1" si="274">SQRT(vit_x^2+vit_z^2)</f>
        <v>479.39483844442952</v>
      </c>
      <c r="J581" s="306">
        <f t="shared" ref="J581:J644" ca="1" si="275">J580+0.5*(vit_x+G580)*pas*(K580&gt;=0)</f>
        <v>487.18236909011046</v>
      </c>
      <c r="K581" s="307">
        <f t="shared" ref="K581:K644" ca="1" si="276">K580+0.5*(vit_z+H580)*pas</f>
        <v>1361.302143295334</v>
      </c>
      <c r="L581" s="304">
        <f t="shared" ca="1" si="261"/>
        <v>1445.8527539458237</v>
      </c>
      <c r="M581" s="306">
        <f t="shared" ref="M581:M644" ca="1" si="277">IF(AND(L580&gt;L_rampe,G581&gt;0),ATAN2(G581,H581),$M$4)</f>
        <v>1.2085459536996661</v>
      </c>
      <c r="N581" s="304">
        <f t="shared" ref="N581:N644" ca="1" si="278">DEGREES(Beta)</f>
        <v>69.244582494603861</v>
      </c>
      <c r="P581" s="310">
        <f t="shared" ref="P581:P644" ca="1" si="279">MATCH(t-pas/2-T_ini,CdP_t)</f>
        <v>16</v>
      </c>
      <c r="Q581" s="304">
        <f t="shared" ref="Q581:Q644" ca="1" si="280">(INDEX(CdP,2,i_P+1)-INDEX(CdP,2,i_P+0))/(INDEX(CdP,1,i_P+1)-INDEX(CdP,1,i_P+0))*(t-pas/2-T_ini-INDEX(CdP,1,i_P+0))+INDEX(CdP,2,i_P+0)</f>
        <v>2100.9724796085006</v>
      </c>
      <c r="R581" s="306">
        <f t="shared" ref="R581:R644" ca="1" si="281">Poussee/(g*ISP)</f>
        <v>1.2634705112450708</v>
      </c>
      <c r="S581" s="307">
        <f t="shared" ref="S581:S644" ca="1" si="282">S580-Débit*pas</f>
        <v>12.775331956780949</v>
      </c>
      <c r="T581" s="304">
        <f t="shared" ca="1" si="262"/>
        <v>125.32600649602112</v>
      </c>
      <c r="U581" s="311">
        <f t="shared" ca="1" si="263"/>
        <v>0</v>
      </c>
      <c r="V581" s="306">
        <f t="shared" ca="1" si="264"/>
        <v>1.0688676524164804</v>
      </c>
      <c r="W581" s="304">
        <f t="shared" ca="1" si="265"/>
        <v>1390.7125271722937</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f t="shared" ca="1" si="266"/>
        <v>1361.302143295334</v>
      </c>
      <c r="AG581" s="306">
        <f t="shared" ref="AG581:AG644" ca="1" si="288">IF(AND(L580&lt;L_rampe,Poussee&lt;Poids*SIN(M580)),0,(-W580+Poussee)/m-Poids*SIN(M580)/m)</f>
        <v>46.585150181898918</v>
      </c>
      <c r="AH581" s="304">
        <f t="shared" ref="AH581:AH644" ca="1" si="289">IF(AND(L580&lt;L_rampe,Poussee&lt;Poids*SIN(M580)), g*SIN(M580), (-W580+Poussee)/m)</f>
        <v>55.75874995172191</v>
      </c>
    </row>
    <row r="582" spans="1:34" x14ac:dyDescent="0.2">
      <c r="A582" s="347">
        <f t="shared" ca="1" si="267"/>
        <v>0.01</v>
      </c>
      <c r="B582" s="304">
        <f t="shared" ca="1" si="268"/>
        <v>5.7799999999999212</v>
      </c>
      <c r="D582" s="306">
        <f t="shared" ca="1" si="269"/>
        <v>19.659567139869306</v>
      </c>
      <c r="E582" s="307">
        <f t="shared" ca="1" si="270"/>
        <v>42.065734991826467</v>
      </c>
      <c r="F582" s="304">
        <f t="shared" ca="1" si="271"/>
        <v>46.43301239990361</v>
      </c>
      <c r="G582" s="306">
        <f t="shared" ca="1" si="272"/>
        <v>170.08427798734891</v>
      </c>
      <c r="H582" s="307">
        <f t="shared" ca="1" si="273"/>
        <v>448.70358868288287</v>
      </c>
      <c r="I582" s="304">
        <f t="shared" ca="1" si="274"/>
        <v>479.85786657652653</v>
      </c>
      <c r="J582" s="306">
        <f t="shared" ca="1" si="275"/>
        <v>488.88222889162694</v>
      </c>
      <c r="K582" s="307">
        <f t="shared" ca="1" si="276"/>
        <v>1365.7870758954132</v>
      </c>
      <c r="L582" s="304">
        <f t="shared" ca="1" si="261"/>
        <v>1450.6481897444978</v>
      </c>
      <c r="M582" s="306">
        <f t="shared" ca="1" si="277"/>
        <v>1.208473505945574</v>
      </c>
      <c r="N582" s="304">
        <f t="shared" ca="1" si="278"/>
        <v>69.240431544059192</v>
      </c>
      <c r="P582" s="310">
        <f t="shared" ca="1" si="279"/>
        <v>16</v>
      </c>
      <c r="Q582" s="304">
        <f t="shared" ca="1" si="280"/>
        <v>2098.7371125611921</v>
      </c>
      <c r="R582" s="306">
        <f t="shared" ca="1" si="281"/>
        <v>1.2621262193166922</v>
      </c>
      <c r="S582" s="307">
        <f t="shared" ca="1" si="282"/>
        <v>12.762710694587783</v>
      </c>
      <c r="T582" s="304">
        <f t="shared" ca="1" si="262"/>
        <v>125.20219191390616</v>
      </c>
      <c r="U582" s="311">
        <f t="shared" ca="1" si="263"/>
        <v>0</v>
      </c>
      <c r="V582" s="306">
        <f t="shared" ca="1" si="264"/>
        <v>1.0683861423378656</v>
      </c>
      <c r="W582" s="304">
        <f t="shared" ca="1" si="265"/>
        <v>1392.7725832446201</v>
      </c>
      <c r="Y582" s="314" t="str">
        <f t="shared" ca="1" si="283"/>
        <v/>
      </c>
      <c r="Z582" s="315" t="str">
        <f t="shared" ca="1" si="284"/>
        <v/>
      </c>
      <c r="AA582" s="316" t="str">
        <f t="shared" ca="1" si="285"/>
        <v/>
      </c>
      <c r="AC582" s="310" t="e">
        <f t="shared" ca="1" si="286"/>
        <v>#N/A</v>
      </c>
      <c r="AD582" s="323" t="e">
        <f t="shared" ca="1" si="287"/>
        <v>#N/A</v>
      </c>
      <c r="AE582" s="324">
        <f t="shared" ca="1" si="266"/>
        <v>1365.7870758954132</v>
      </c>
      <c r="AG582" s="306">
        <f t="shared" ca="1" si="288"/>
        <v>46.302687278749048</v>
      </c>
      <c r="AH582" s="304">
        <f t="shared" ca="1" si="289"/>
        <v>55.476035015754668</v>
      </c>
    </row>
    <row r="583" spans="1:34" x14ac:dyDescent="0.2">
      <c r="A583" s="347">
        <f t="shared" ca="1" si="267"/>
        <v>0.01</v>
      </c>
      <c r="B583" s="304">
        <f t="shared" ca="1" si="268"/>
        <v>5.789999999999921</v>
      </c>
      <c r="D583" s="306">
        <f t="shared" ca="1" si="269"/>
        <v>19.563358406579745</v>
      </c>
      <c r="E583" s="307">
        <f t="shared" ca="1" si="270"/>
        <v>41.800585220432346</v>
      </c>
      <c r="F583" s="304">
        <f t="shared" ca="1" si="271"/>
        <v>46.15207380947168</v>
      </c>
      <c r="G583" s="306">
        <f t="shared" ca="1" si="272"/>
        <v>170.27991157141471</v>
      </c>
      <c r="H583" s="307">
        <f t="shared" ca="1" si="273"/>
        <v>449.12159453508718</v>
      </c>
      <c r="I583" s="304">
        <f t="shared" ca="1" si="274"/>
        <v>480.31807686418387</v>
      </c>
      <c r="J583" s="306">
        <f t="shared" ca="1" si="275"/>
        <v>490.58404983942074</v>
      </c>
      <c r="K583" s="307">
        <f t="shared" ca="1" si="276"/>
        <v>1370.2762018115031</v>
      </c>
      <c r="L583" s="304">
        <f t="shared" ca="1" si="261"/>
        <v>1455.4482399617673</v>
      </c>
      <c r="M583" s="306">
        <f t="shared" ca="1" si="277"/>
        <v>1.2084011137700865</v>
      </c>
      <c r="N583" s="304">
        <f t="shared" ca="1" si="278"/>
        <v>69.236283777933991</v>
      </c>
      <c r="P583" s="310">
        <f t="shared" ca="1" si="279"/>
        <v>16</v>
      </c>
      <c r="Q583" s="304">
        <f t="shared" ca="1" si="280"/>
        <v>2096.5017455138841</v>
      </c>
      <c r="R583" s="306">
        <f t="shared" ca="1" si="281"/>
        <v>1.2607819273883139</v>
      </c>
      <c r="S583" s="307">
        <f t="shared" ca="1" si="282"/>
        <v>12.7501028753139</v>
      </c>
      <c r="T583" s="304">
        <f t="shared" ca="1" si="262"/>
        <v>125.07850920682937</v>
      </c>
      <c r="U583" s="311">
        <f t="shared" ca="1" si="263"/>
        <v>0</v>
      </c>
      <c r="V583" s="306">
        <f t="shared" ca="1" si="264"/>
        <v>1.0679043844480773</v>
      </c>
      <c r="W583" s="304">
        <f t="shared" ca="1" si="265"/>
        <v>1394.8161206868824</v>
      </c>
      <c r="Y583" s="314" t="str">
        <f t="shared" ca="1" si="283"/>
        <v/>
      </c>
      <c r="Z583" s="315" t="str">
        <f t="shared" ca="1" si="284"/>
        <v/>
      </c>
      <c r="AA583" s="316" t="str">
        <f t="shared" ca="1" si="285"/>
        <v/>
      </c>
      <c r="AC583" s="310" t="e">
        <f t="shared" ca="1" si="286"/>
        <v>#N/A</v>
      </c>
      <c r="AD583" s="323" t="e">
        <f t="shared" ca="1" si="287"/>
        <v>#N/A</v>
      </c>
      <c r="AE583" s="324">
        <f t="shared" ca="1" si="266"/>
        <v>1370.2762018115031</v>
      </c>
      <c r="AG583" s="306">
        <f t="shared" ca="1" si="288"/>
        <v>46.020902907343924</v>
      </c>
      <c r="AH583" s="304">
        <f t="shared" ca="1" si="289"/>
        <v>55.193998758377752</v>
      </c>
    </row>
    <row r="584" spans="1:34" x14ac:dyDescent="0.2">
      <c r="A584" s="347">
        <f t="shared" ca="1" si="267"/>
        <v>0.01</v>
      </c>
      <c r="B584" s="304">
        <f t="shared" ca="1" si="268"/>
        <v>5.7999999999999208</v>
      </c>
      <c r="D584" s="306">
        <f t="shared" ca="1" si="269"/>
        <v>19.46734977543926</v>
      </c>
      <c r="E584" s="307">
        <f t="shared" ca="1" si="270"/>
        <v>41.536087109345743</v>
      </c>
      <c r="F584" s="304">
        <f t="shared" ca="1" si="271"/>
        <v>45.871824027767339</v>
      </c>
      <c r="G584" s="306">
        <f t="shared" ca="1" si="272"/>
        <v>170.47458506916911</v>
      </c>
      <c r="H584" s="307">
        <f t="shared" ca="1" si="273"/>
        <v>449.53695540618065</v>
      </c>
      <c r="I584" s="304">
        <f t="shared" ca="1" si="274"/>
        <v>480.7754761116293</v>
      </c>
      <c r="J584" s="306">
        <f t="shared" ca="1" si="275"/>
        <v>492.28782232262364</v>
      </c>
      <c r="K584" s="307">
        <f t="shared" ca="1" si="276"/>
        <v>1374.7694945612095</v>
      </c>
      <c r="L584" s="304">
        <f t="shared" ca="1" si="261"/>
        <v>1460.2528764509366</v>
      </c>
      <c r="M584" s="306">
        <f t="shared" ca="1" si="277"/>
        <v>1.2083287766548414</v>
      </c>
      <c r="N584" s="304">
        <f t="shared" ca="1" si="278"/>
        <v>69.232139166528285</v>
      </c>
      <c r="P584" s="310">
        <f t="shared" ca="1" si="279"/>
        <v>16</v>
      </c>
      <c r="Q584" s="304">
        <f t="shared" ca="1" si="280"/>
        <v>2094.2663784665756</v>
      </c>
      <c r="R584" s="306">
        <f t="shared" ca="1" si="281"/>
        <v>1.2594376354599353</v>
      </c>
      <c r="S584" s="307">
        <f t="shared" ca="1" si="282"/>
        <v>12.737508498959301</v>
      </c>
      <c r="T584" s="304">
        <f t="shared" ca="1" si="262"/>
        <v>124.95495837479075</v>
      </c>
      <c r="U584" s="311">
        <f t="shared" ca="1" si="263"/>
        <v>0</v>
      </c>
      <c r="V584" s="306">
        <f t="shared" ca="1" si="264"/>
        <v>1.0674223820269972</v>
      </c>
      <c r="W584" s="304">
        <f t="shared" ca="1" si="265"/>
        <v>1396.8431530892419</v>
      </c>
      <c r="Y584" s="314" t="str">
        <f t="shared" ca="1" si="283"/>
        <v/>
      </c>
      <c r="Z584" s="315" t="str">
        <f t="shared" ca="1" si="284"/>
        <v/>
      </c>
      <c r="AA584" s="316" t="str">
        <f t="shared" ca="1" si="285"/>
        <v/>
      </c>
      <c r="AC584" s="310" t="e">
        <f t="shared" ca="1" si="286"/>
        <v>#N/A</v>
      </c>
      <c r="AD584" s="323" t="e">
        <f t="shared" ca="1" si="287"/>
        <v>#N/A</v>
      </c>
      <c r="AE584" s="324">
        <f t="shared" ca="1" si="266"/>
        <v>1374.7694945612095</v>
      </c>
      <c r="AG584" s="306">
        <f t="shared" ca="1" si="288"/>
        <v>45.739798957850681</v>
      </c>
      <c r="AH584" s="304">
        <f t="shared" ca="1" si="289"/>
        <v>54.912643068056894</v>
      </c>
    </row>
    <row r="585" spans="1:34" x14ac:dyDescent="0.2">
      <c r="A585" s="347">
        <f t="shared" ca="1" si="267"/>
        <v>0.01</v>
      </c>
      <c r="B585" s="304">
        <f t="shared" ca="1" si="268"/>
        <v>5.8099999999999206</v>
      </c>
      <c r="D585" s="306">
        <f t="shared" ca="1" si="269"/>
        <v>19.371542110792554</v>
      </c>
      <c r="E585" s="307">
        <f t="shared" ca="1" si="270"/>
        <v>41.272242308875491</v>
      </c>
      <c r="F585" s="304">
        <f t="shared" ca="1" si="271"/>
        <v>45.592265012310385</v>
      </c>
      <c r="G585" s="306">
        <f t="shared" ca="1" si="272"/>
        <v>170.66830049027703</v>
      </c>
      <c r="H585" s="307">
        <f t="shared" ca="1" si="273"/>
        <v>449.94967782926943</v>
      </c>
      <c r="I585" s="304">
        <f t="shared" ca="1" si="274"/>
        <v>481.23007114155166</v>
      </c>
      <c r="J585" s="306">
        <f t="shared" ca="1" si="275"/>
        <v>493.99353675042084</v>
      </c>
      <c r="K585" s="307">
        <f t="shared" ca="1" si="276"/>
        <v>1379.2669277273867</v>
      </c>
      <c r="L585" s="304">
        <f t="shared" ca="1" si="261"/>
        <v>1465.0620711334157</v>
      </c>
      <c r="M585" s="306">
        <f t="shared" ca="1" si="277"/>
        <v>1.2082564940848435</v>
      </c>
      <c r="N585" s="304">
        <f t="shared" ca="1" si="278"/>
        <v>69.227997680335051</v>
      </c>
      <c r="P585" s="310">
        <f t="shared" ca="1" si="279"/>
        <v>16</v>
      </c>
      <c r="Q585" s="304">
        <f t="shared" ca="1" si="280"/>
        <v>2092.0310114192675</v>
      </c>
      <c r="R585" s="306">
        <f t="shared" ca="1" si="281"/>
        <v>1.2580933435315571</v>
      </c>
      <c r="S585" s="307">
        <f t="shared" ca="1" si="282"/>
        <v>12.724927565523984</v>
      </c>
      <c r="T585" s="304">
        <f t="shared" ca="1" si="262"/>
        <v>124.8315394177903</v>
      </c>
      <c r="U585" s="311">
        <f t="shared" ca="1" si="263"/>
        <v>0</v>
      </c>
      <c r="V585" s="306">
        <f t="shared" ca="1" si="264"/>
        <v>1.0669401383426527</v>
      </c>
      <c r="W585" s="304">
        <f t="shared" ca="1" si="265"/>
        <v>1398.8536946360684</v>
      </c>
      <c r="Y585" s="314" t="str">
        <f t="shared" ca="1" si="283"/>
        <v/>
      </c>
      <c r="Z585" s="315" t="str">
        <f t="shared" ca="1" si="284"/>
        <v/>
      </c>
      <c r="AA585" s="316" t="str">
        <f t="shared" ca="1" si="285"/>
        <v/>
      </c>
      <c r="AC585" s="310" t="e">
        <f t="shared" ca="1" si="286"/>
        <v>#N/A</v>
      </c>
      <c r="AD585" s="323" t="e">
        <f t="shared" ca="1" si="287"/>
        <v>#N/A</v>
      </c>
      <c r="AE585" s="324">
        <f t="shared" ca="1" si="266"/>
        <v>1379.2669277273867</v>
      </c>
      <c r="AG585" s="306">
        <f t="shared" ca="1" si="288"/>
        <v>45.459377276412376</v>
      </c>
      <c r="AH585" s="304">
        <f t="shared" ca="1" si="289"/>
        <v>54.631969789244089</v>
      </c>
    </row>
    <row r="586" spans="1:34" x14ac:dyDescent="0.2">
      <c r="A586" s="347">
        <f t="shared" ca="1" si="267"/>
        <v>0.01</v>
      </c>
      <c r="B586" s="304">
        <f t="shared" ca="1" si="268"/>
        <v>5.8199999999999203</v>
      </c>
      <c r="D586" s="306">
        <f t="shared" ca="1" si="269"/>
        <v>19.275936261019819</v>
      </c>
      <c r="E586" s="307">
        <f t="shared" ca="1" si="270"/>
        <v>41.009052428529408</v>
      </c>
      <c r="F586" s="304">
        <f t="shared" ca="1" si="271"/>
        <v>45.313398678809918</v>
      </c>
      <c r="G586" s="306">
        <f t="shared" ca="1" si="272"/>
        <v>170.86105985288722</v>
      </c>
      <c r="H586" s="307">
        <f t="shared" ca="1" si="273"/>
        <v>450.35976835355473</v>
      </c>
      <c r="I586" s="304">
        <f t="shared" ca="1" si="274"/>
        <v>481.6818687946635</v>
      </c>
      <c r="J586" s="306">
        <f t="shared" ca="1" si="275"/>
        <v>495.70118355213668</v>
      </c>
      <c r="K586" s="307">
        <f t="shared" ca="1" si="276"/>
        <v>1383.7684749583009</v>
      </c>
      <c r="L586" s="304">
        <f t="shared" ca="1" si="261"/>
        <v>1469.8757959989036</v>
      </c>
      <c r="M586" s="306">
        <f t="shared" ca="1" si="277"/>
        <v>1.2081842655484361</v>
      </c>
      <c r="N586" s="304">
        <f t="shared" ca="1" si="278"/>
        <v>69.22385929003849</v>
      </c>
      <c r="P586" s="310">
        <f t="shared" ca="1" si="279"/>
        <v>16</v>
      </c>
      <c r="Q586" s="304">
        <f t="shared" ca="1" si="280"/>
        <v>2089.795644371959</v>
      </c>
      <c r="R586" s="306">
        <f t="shared" ca="1" si="281"/>
        <v>1.2567490516031785</v>
      </c>
      <c r="S586" s="307">
        <f t="shared" ca="1" si="282"/>
        <v>12.712360075007952</v>
      </c>
      <c r="T586" s="304">
        <f t="shared" ca="1" si="262"/>
        <v>124.70825233582802</v>
      </c>
      <c r="U586" s="311">
        <f t="shared" ca="1" si="263"/>
        <v>0</v>
      </c>
      <c r="V586" s="306">
        <f t="shared" ca="1" si="264"/>
        <v>1.0664576566512114</v>
      </c>
      <c r="W586" s="304">
        <f t="shared" ca="1" si="265"/>
        <v>1400.8477600998044</v>
      </c>
      <c r="Y586" s="314" t="str">
        <f t="shared" ca="1" si="283"/>
        <v/>
      </c>
      <c r="Z586" s="315" t="str">
        <f t="shared" ca="1" si="284"/>
        <v/>
      </c>
      <c r="AA586" s="316" t="str">
        <f t="shared" ca="1" si="285"/>
        <v/>
      </c>
      <c r="AC586" s="310" t="e">
        <f t="shared" ca="1" si="286"/>
        <v>#N/A</v>
      </c>
      <c r="AD586" s="323" t="e">
        <f t="shared" ca="1" si="287"/>
        <v>#N/A</v>
      </c>
      <c r="AE586" s="324">
        <f t="shared" ca="1" si="266"/>
        <v>1383.7684749583009</v>
      </c>
      <c r="AG586" s="306">
        <f t="shared" ca="1" si="288"/>
        <v>45.17963966539476</v>
      </c>
      <c r="AH586" s="304">
        <f t="shared" ca="1" si="289"/>
        <v>54.351980722624269</v>
      </c>
    </row>
    <row r="587" spans="1:34" x14ac:dyDescent="0.2">
      <c r="A587" s="347">
        <f t="shared" ca="1" si="267"/>
        <v>0.01</v>
      </c>
      <c r="B587" s="304">
        <f t="shared" ca="1" si="268"/>
        <v>5.8299999999999201</v>
      </c>
      <c r="D587" s="306">
        <f t="shared" ca="1" si="269"/>
        <v>19.180533058618128</v>
      </c>
      <c r="E587" s="307">
        <f t="shared" ca="1" si="270"/>
        <v>40.746519037248568</v>
      </c>
      <c r="F587" s="304">
        <f t="shared" ca="1" si="271"/>
        <v>45.035226901455744</v>
      </c>
      <c r="G587" s="306">
        <f t="shared" ca="1" si="272"/>
        <v>171.05286518347341</v>
      </c>
      <c r="H587" s="307">
        <f t="shared" ca="1" si="273"/>
        <v>450.7672335439272</v>
      </c>
      <c r="I587" s="304">
        <f t="shared" ca="1" si="274"/>
        <v>482.13087592926564</v>
      </c>
      <c r="J587" s="306">
        <f t="shared" ca="1" si="275"/>
        <v>497.4107531773185</v>
      </c>
      <c r="K587" s="307">
        <f t="shared" ca="1" si="276"/>
        <v>1388.2741099677883</v>
      </c>
      <c r="L587" s="304">
        <f t="shared" ca="1" si="261"/>
        <v>1474.6940231055669</v>
      </c>
      <c r="M587" s="306">
        <f t="shared" ca="1" si="277"/>
        <v>1.2081120905372693</v>
      </c>
      <c r="N587" s="304">
        <f t="shared" ca="1" si="278"/>
        <v>69.219723966512333</v>
      </c>
      <c r="P587" s="310">
        <f t="shared" ca="1" si="279"/>
        <v>16</v>
      </c>
      <c r="Q587" s="304">
        <f t="shared" ca="1" si="280"/>
        <v>2087.560277324651</v>
      </c>
      <c r="R587" s="306">
        <f t="shared" ca="1" si="281"/>
        <v>1.2554047596748001</v>
      </c>
      <c r="S587" s="307">
        <f t="shared" ca="1" si="282"/>
        <v>12.699806027411205</v>
      </c>
      <c r="T587" s="304">
        <f t="shared" ca="1" si="262"/>
        <v>124.58509712890393</v>
      </c>
      <c r="U587" s="311">
        <f t="shared" ca="1" si="263"/>
        <v>0</v>
      </c>
      <c r="V587" s="306">
        <f t="shared" ca="1" si="264"/>
        <v>1.0659749401969769</v>
      </c>
      <c r="W587" s="304">
        <f t="shared" ca="1" si="265"/>
        <v>1402.8253648348305</v>
      </c>
      <c r="Y587" s="314" t="str">
        <f t="shared" ca="1" si="283"/>
        <v/>
      </c>
      <c r="Z587" s="315" t="str">
        <f t="shared" ca="1" si="284"/>
        <v/>
      </c>
      <c r="AA587" s="316" t="str">
        <f t="shared" ca="1" si="285"/>
        <v/>
      </c>
      <c r="AC587" s="310" t="e">
        <f t="shared" ca="1" si="286"/>
        <v>#N/A</v>
      </c>
      <c r="AD587" s="323" t="e">
        <f t="shared" ca="1" si="287"/>
        <v>#N/A</v>
      </c>
      <c r="AE587" s="324">
        <f t="shared" ca="1" si="266"/>
        <v>1388.2741099677883</v>
      </c>
      <c r="AG587" s="306">
        <f t="shared" ca="1" si="288"/>
        <v>44.900587883633918</v>
      </c>
      <c r="AH587" s="304">
        <f t="shared" ca="1" si="289"/>
        <v>54.072677625362886</v>
      </c>
    </row>
    <row r="588" spans="1:34" x14ac:dyDescent="0.2">
      <c r="A588" s="347">
        <f t="shared" ca="1" si="267"/>
        <v>0.01</v>
      </c>
      <c r="B588" s="304">
        <f t="shared" ca="1" si="268"/>
        <v>5.8399999999999199</v>
      </c>
      <c r="D588" s="306">
        <f t="shared" ca="1" si="269"/>
        <v>19.085333320283514</v>
      </c>
      <c r="E588" s="307">
        <f t="shared" ca="1" si="270"/>
        <v>40.484643663642835</v>
      </c>
      <c r="F588" s="304">
        <f t="shared" ca="1" si="271"/>
        <v>44.757751513212327</v>
      </c>
      <c r="G588" s="306">
        <f t="shared" ca="1" si="272"/>
        <v>171.24371851667624</v>
      </c>
      <c r="H588" s="307">
        <f t="shared" ca="1" si="273"/>
        <v>451.17207998056364</v>
      </c>
      <c r="I588" s="304">
        <f t="shared" ca="1" si="274"/>
        <v>482.57709942081459</v>
      </c>
      <c r="J588" s="306">
        <f t="shared" ca="1" si="275"/>
        <v>499.12223609581923</v>
      </c>
      <c r="K588" s="307">
        <f t="shared" ca="1" si="276"/>
        <v>1392.7838065354108</v>
      </c>
      <c r="L588" s="304">
        <f t="shared" ca="1" si="261"/>
        <v>1479.5167245802122</v>
      </c>
      <c r="M588" s="306">
        <f t="shared" ca="1" si="277"/>
        <v>1.2080399685462717</v>
      </c>
      <c r="N588" s="304">
        <f t="shared" ca="1" si="278"/>
        <v>69.215591680818093</v>
      </c>
      <c r="P588" s="310">
        <f t="shared" ca="1" si="279"/>
        <v>16</v>
      </c>
      <c r="Q588" s="304">
        <f t="shared" ca="1" si="280"/>
        <v>2085.3249102773425</v>
      </c>
      <c r="R588" s="306">
        <f t="shared" ca="1" si="281"/>
        <v>1.2540604677464215</v>
      </c>
      <c r="S588" s="307">
        <f t="shared" ca="1" si="282"/>
        <v>12.68726542273374</v>
      </c>
      <c r="T588" s="304">
        <f t="shared" ca="1" si="262"/>
        <v>124.46207379701799</v>
      </c>
      <c r="U588" s="311">
        <f t="shared" ca="1" si="263"/>
        <v>0</v>
      </c>
      <c r="V588" s="306">
        <f t="shared" ca="1" si="264"/>
        <v>1.0654919922123782</v>
      </c>
      <c r="W588" s="304">
        <f t="shared" ca="1" si="265"/>
        <v>1404.7865247713385</v>
      </c>
      <c r="Y588" s="314" t="str">
        <f t="shared" ca="1" si="283"/>
        <v/>
      </c>
      <c r="Z588" s="315" t="str">
        <f t="shared" ca="1" si="284"/>
        <v/>
      </c>
      <c r="AA588" s="316" t="str">
        <f t="shared" ca="1" si="285"/>
        <v/>
      </c>
      <c r="AC588" s="310" t="e">
        <f t="shared" ca="1" si="286"/>
        <v>#N/A</v>
      </c>
      <c r="AD588" s="323" t="e">
        <f t="shared" ca="1" si="287"/>
        <v>#N/A</v>
      </c>
      <c r="AE588" s="324">
        <f t="shared" ca="1" si="266"/>
        <v>1392.7838065354108</v>
      </c>
      <c r="AG588" s="306">
        <f t="shared" ca="1" si="288"/>
        <v>44.622223646685498</v>
      </c>
      <c r="AH588" s="304">
        <f t="shared" ca="1" si="289"/>
        <v>53.794062211355005</v>
      </c>
    </row>
    <row r="589" spans="1:34" x14ac:dyDescent="0.2">
      <c r="A589" s="347">
        <f t="shared" ca="1" si="267"/>
        <v>0.01</v>
      </c>
      <c r="B589" s="304">
        <f t="shared" ca="1" si="268"/>
        <v>5.8499999999999197</v>
      </c>
      <c r="D589" s="306">
        <f t="shared" ca="1" si="269"/>
        <v>18.990337846993743</v>
      </c>
      <c r="E589" s="307">
        <f t="shared" ca="1" si="270"/>
        <v>40.223427796228421</v>
      </c>
      <c r="F589" s="304">
        <f t="shared" ca="1" si="271"/>
        <v>44.480974306116138</v>
      </c>
      <c r="G589" s="306">
        <f t="shared" ca="1" si="272"/>
        <v>171.43362189514619</v>
      </c>
      <c r="H589" s="307">
        <f t="shared" ca="1" si="273"/>
        <v>451.57431425852593</v>
      </c>
      <c r="I589" s="304">
        <f t="shared" ca="1" si="274"/>
        <v>483.02054616149184</v>
      </c>
      <c r="J589" s="306">
        <f t="shared" ca="1" si="275"/>
        <v>500.83562279787833</v>
      </c>
      <c r="K589" s="307">
        <f t="shared" ca="1" si="276"/>
        <v>1397.2975385066063</v>
      </c>
      <c r="L589" s="304">
        <f t="shared" ca="1" si="261"/>
        <v>1484.3438726184575</v>
      </c>
      <c r="M589" s="306">
        <f t="shared" ca="1" si="277"/>
        <v>1.2079678990736193</v>
      </c>
      <c r="N589" s="304">
        <f t="shared" ca="1" si="278"/>
        <v>69.211462404203374</v>
      </c>
      <c r="P589" s="310">
        <f t="shared" ca="1" si="279"/>
        <v>16</v>
      </c>
      <c r="Q589" s="304">
        <f t="shared" ca="1" si="280"/>
        <v>2083.0895432300345</v>
      </c>
      <c r="R589" s="306">
        <f t="shared" ca="1" si="281"/>
        <v>1.2527161758180432</v>
      </c>
      <c r="S589" s="307">
        <f t="shared" ca="1" si="282"/>
        <v>12.674738260975559</v>
      </c>
      <c r="T589" s="304">
        <f t="shared" ca="1" si="262"/>
        <v>124.33918234017024</v>
      </c>
      <c r="U589" s="311">
        <f t="shared" ca="1" si="263"/>
        <v>0</v>
      </c>
      <c r="V589" s="306">
        <f t="shared" ca="1" si="264"/>
        <v>1.0650088159179698</v>
      </c>
      <c r="W589" s="304">
        <f t="shared" ca="1" si="265"/>
        <v>1406.7312564092224</v>
      </c>
      <c r="Y589" s="314" t="str">
        <f t="shared" ca="1" si="283"/>
        <v/>
      </c>
      <c r="Z589" s="315" t="str">
        <f t="shared" ca="1" si="284"/>
        <v/>
      </c>
      <c r="AA589" s="316" t="str">
        <f t="shared" ca="1" si="285"/>
        <v/>
      </c>
      <c r="AC589" s="310" t="e">
        <f t="shared" ca="1" si="286"/>
        <v>#N/A</v>
      </c>
      <c r="AD589" s="323" t="e">
        <f t="shared" ca="1" si="287"/>
        <v>#N/A</v>
      </c>
      <c r="AE589" s="324">
        <f t="shared" ca="1" si="266"/>
        <v>1397.2975385066063</v>
      </c>
      <c r="AG589" s="306">
        <f t="shared" ca="1" si="288"/>
        <v>44.344548627075945</v>
      </c>
      <c r="AH589" s="304">
        <f t="shared" ca="1" si="289"/>
        <v>53.516136151476459</v>
      </c>
    </row>
    <row r="590" spans="1:34" x14ac:dyDescent="0.2">
      <c r="A590" s="347">
        <f t="shared" ca="1" si="267"/>
        <v>0.01</v>
      </c>
      <c r="B590" s="304">
        <f t="shared" ca="1" si="268"/>
        <v>5.8599999999999195</v>
      </c>
      <c r="D590" s="306">
        <f t="shared" ca="1" si="269"/>
        <v>18.895547424091362</v>
      </c>
      <c r="E590" s="307">
        <f t="shared" ca="1" si="270"/>
        <v>39.962872883665632</v>
      </c>
      <c r="F590" s="304">
        <f t="shared" ca="1" si="271"/>
        <v>44.204897031574497</v>
      </c>
      <c r="G590" s="306">
        <f t="shared" ca="1" si="272"/>
        <v>171.6225773693871</v>
      </c>
      <c r="H590" s="307">
        <f t="shared" ca="1" si="273"/>
        <v>451.97394298736259</v>
      </c>
      <c r="I590" s="304">
        <f t="shared" ca="1" si="274"/>
        <v>483.46122305977644</v>
      </c>
      <c r="J590" s="306">
        <f t="shared" ca="1" si="275"/>
        <v>502.55090379420102</v>
      </c>
      <c r="K590" s="307">
        <f t="shared" ca="1" si="276"/>
        <v>1401.8152797928358</v>
      </c>
      <c r="L590" s="304">
        <f t="shared" ca="1" si="261"/>
        <v>1489.1754394848965</v>
      </c>
      <c r="M590" s="306">
        <f t="shared" ca="1" si="277"/>
        <v>1.2078958816207077</v>
      </c>
      <c r="N590" s="304">
        <f t="shared" ca="1" si="278"/>
        <v>69.20733610810025</v>
      </c>
      <c r="P590" s="310">
        <f t="shared" ca="1" si="279"/>
        <v>16</v>
      </c>
      <c r="Q590" s="304">
        <f t="shared" ca="1" si="280"/>
        <v>2080.854176182726</v>
      </c>
      <c r="R590" s="306">
        <f t="shared" ca="1" si="281"/>
        <v>1.2513718838896646</v>
      </c>
      <c r="S590" s="307">
        <f t="shared" ca="1" si="282"/>
        <v>12.662224542136663</v>
      </c>
      <c r="T590" s="304">
        <f t="shared" ca="1" si="262"/>
        <v>124.21642275836066</v>
      </c>
      <c r="U590" s="311">
        <f t="shared" ca="1" si="263"/>
        <v>0</v>
      </c>
      <c r="V590" s="306">
        <f t="shared" ca="1" si="264"/>
        <v>1.0645254145224223</v>
      </c>
      <c r="W590" s="304">
        <f t="shared" ca="1" si="265"/>
        <v>1408.6595768119716</v>
      </c>
      <c r="Y590" s="314" t="str">
        <f t="shared" ca="1" si="283"/>
        <v/>
      </c>
      <c r="Z590" s="315" t="str">
        <f t="shared" ca="1" si="284"/>
        <v/>
      </c>
      <c r="AA590" s="316" t="str">
        <f t="shared" ca="1" si="285"/>
        <v/>
      </c>
      <c r="AC590" s="310" t="e">
        <f t="shared" ca="1" si="286"/>
        <v>#N/A</v>
      </c>
      <c r="AD590" s="323" t="e">
        <f t="shared" ca="1" si="287"/>
        <v>#N/A</v>
      </c>
      <c r="AE590" s="324">
        <f t="shared" ca="1" si="266"/>
        <v>1401.8152797928358</v>
      </c>
      <c r="AG590" s="306">
        <f t="shared" ca="1" si="288"/>
        <v>44.067564454554031</v>
      </c>
      <c r="AH590" s="304">
        <f t="shared" ca="1" si="289"/>
        <v>53.238901073835322</v>
      </c>
    </row>
    <row r="591" spans="1:34" x14ac:dyDescent="0.2">
      <c r="A591" s="347">
        <f t="shared" ca="1" si="267"/>
        <v>0.01</v>
      </c>
      <c r="B591" s="304">
        <f t="shared" ca="1" si="268"/>
        <v>5.8699999999999193</v>
      </c>
      <c r="D591" s="306">
        <f t="shared" ca="1" si="269"/>
        <v>18.800962821367559</v>
      </c>
      <c r="E591" s="307">
        <f t="shared" ca="1" si="270"/>
        <v>39.702980334998998</v>
      </c>
      <c r="F591" s="304">
        <f t="shared" ca="1" si="271"/>
        <v>43.929521400668165</v>
      </c>
      <c r="G591" s="306">
        <f t="shared" ca="1" si="272"/>
        <v>171.81058699760078</v>
      </c>
      <c r="H591" s="307">
        <f t="shared" ca="1" si="273"/>
        <v>452.37097279071259</v>
      </c>
      <c r="I591" s="304">
        <f t="shared" ca="1" si="274"/>
        <v>483.8991370400197</v>
      </c>
      <c r="J591" s="306">
        <f t="shared" ca="1" si="275"/>
        <v>504.26806961603597</v>
      </c>
      <c r="K591" s="307">
        <f t="shared" ca="1" si="276"/>
        <v>1406.3370043717262</v>
      </c>
      <c r="L591" s="304">
        <f t="shared" ca="1" si="261"/>
        <v>1494.0113975132599</v>
      </c>
      <c r="M591" s="306">
        <f t="shared" ca="1" si="277"/>
        <v>1.2078239156921216</v>
      </c>
      <c r="N591" s="304">
        <f t="shared" ca="1" si="278"/>
        <v>69.203212764123535</v>
      </c>
      <c r="P591" s="310">
        <f t="shared" ca="1" si="279"/>
        <v>16</v>
      </c>
      <c r="Q591" s="304">
        <f t="shared" ca="1" si="280"/>
        <v>2078.6188091354179</v>
      </c>
      <c r="R591" s="306">
        <f t="shared" ca="1" si="281"/>
        <v>1.2500275919612862</v>
      </c>
      <c r="S591" s="307">
        <f t="shared" ca="1" si="282"/>
        <v>12.649724266217049</v>
      </c>
      <c r="T591" s="304">
        <f t="shared" ca="1" si="262"/>
        <v>124.09379505158925</v>
      </c>
      <c r="U591" s="311">
        <f t="shared" ca="1" si="263"/>
        <v>0</v>
      </c>
      <c r="V591" s="306">
        <f t="shared" ca="1" si="264"/>
        <v>1.0640417912225215</v>
      </c>
      <c r="W591" s="304">
        <f t="shared" ca="1" si="265"/>
        <v>1410.5715036005829</v>
      </c>
      <c r="Y591" s="314" t="str">
        <f t="shared" ca="1" si="283"/>
        <v/>
      </c>
      <c r="Z591" s="315" t="str">
        <f t="shared" ca="1" si="284"/>
        <v/>
      </c>
      <c r="AA591" s="316" t="str">
        <f t="shared" ca="1" si="285"/>
        <v/>
      </c>
      <c r="AC591" s="310" t="e">
        <f t="shared" ca="1" si="286"/>
        <v>#N/A</v>
      </c>
      <c r="AD591" s="323" t="e">
        <f t="shared" ca="1" si="287"/>
        <v>#N/A</v>
      </c>
      <c r="AE591" s="324">
        <f t="shared" ca="1" si="266"/>
        <v>1406.3370043717262</v>
      </c>
      <c r="AG591" s="306">
        <f t="shared" ca="1" si="288"/>
        <v>43.791272716344928</v>
      </c>
      <c r="AH591" s="304">
        <f t="shared" ca="1" si="289"/>
        <v>52.962358564025855</v>
      </c>
    </row>
    <row r="592" spans="1:34" x14ac:dyDescent="0.2">
      <c r="A592" s="347">
        <f t="shared" ca="1" si="267"/>
        <v>0.01</v>
      </c>
      <c r="B592" s="304">
        <f t="shared" ca="1" si="268"/>
        <v>5.8799999999999191</v>
      </c>
      <c r="D592" s="306">
        <f t="shared" ca="1" si="269"/>
        <v>18.706584793146295</v>
      </c>
      <c r="E592" s="307">
        <f t="shared" ca="1" si="270"/>
        <v>39.44375151989739</v>
      </c>
      <c r="F592" s="304">
        <f t="shared" ca="1" si="271"/>
        <v>43.654849084455435</v>
      </c>
      <c r="G592" s="306">
        <f t="shared" ca="1" si="272"/>
        <v>171.99765284553223</v>
      </c>
      <c r="H592" s="307">
        <f t="shared" ca="1" si="273"/>
        <v>452.76541030591159</v>
      </c>
      <c r="I592" s="304">
        <f t="shared" ca="1" si="274"/>
        <v>484.33429504202229</v>
      </c>
      <c r="J592" s="306">
        <f t="shared" ca="1" si="275"/>
        <v>505.98711081525164</v>
      </c>
      <c r="K592" s="307">
        <f t="shared" ca="1" si="276"/>
        <v>1410.8626862872093</v>
      </c>
      <c r="L592" s="304">
        <f t="shared" ca="1" si="261"/>
        <v>1498.8517191065721</v>
      </c>
      <c r="M592" s="306">
        <f t="shared" ca="1" si="277"/>
        <v>1.207752000795608</v>
      </c>
      <c r="N592" s="304">
        <f t="shared" ca="1" si="278"/>
        <v>69.199092344069186</v>
      </c>
      <c r="P592" s="310">
        <f t="shared" ca="1" si="279"/>
        <v>16</v>
      </c>
      <c r="Q592" s="304">
        <f t="shared" ca="1" si="280"/>
        <v>2076.3834420881094</v>
      </c>
      <c r="R592" s="306">
        <f t="shared" ca="1" si="281"/>
        <v>1.2486833000329076</v>
      </c>
      <c r="S592" s="307">
        <f t="shared" ca="1" si="282"/>
        <v>12.63723743321672</v>
      </c>
      <c r="T592" s="304">
        <f t="shared" ca="1" si="262"/>
        <v>123.97129921985604</v>
      </c>
      <c r="U592" s="311">
        <f t="shared" ca="1" si="263"/>
        <v>0</v>
      </c>
      <c r="V592" s="306">
        <f t="shared" ca="1" si="264"/>
        <v>1.0635579492031642</v>
      </c>
      <c r="W592" s="304">
        <f t="shared" ca="1" si="265"/>
        <v>1412.4670549474797</v>
      </c>
      <c r="Y592" s="314" t="str">
        <f t="shared" ca="1" si="283"/>
        <v/>
      </c>
      <c r="Z592" s="315" t="str">
        <f t="shared" ca="1" si="284"/>
        <v/>
      </c>
      <c r="AA592" s="316" t="str">
        <f t="shared" ca="1" si="285"/>
        <v/>
      </c>
      <c r="AC592" s="310" t="e">
        <f t="shared" ca="1" si="286"/>
        <v>#N/A</v>
      </c>
      <c r="AD592" s="323" t="e">
        <f t="shared" ca="1" si="287"/>
        <v>#N/A</v>
      </c>
      <c r="AE592" s="324">
        <f t="shared" ca="1" si="266"/>
        <v>1410.8626862872093</v>
      </c>
      <c r="AG592" s="306">
        <f t="shared" ca="1" si="288"/>
        <v>43.5156749574044</v>
      </c>
      <c r="AH592" s="304">
        <f t="shared" ca="1" si="289"/>
        <v>52.686510165382622</v>
      </c>
    </row>
    <row r="593" spans="1:34" x14ac:dyDescent="0.2">
      <c r="A593" s="347">
        <f t="shared" ca="1" si="267"/>
        <v>0.01</v>
      </c>
      <c r="B593" s="304">
        <f t="shared" ca="1" si="268"/>
        <v>5.8899999999999189</v>
      </c>
      <c r="D593" s="306">
        <f t="shared" ca="1" si="269"/>
        <v>18.612414078369042</v>
      </c>
      <c r="E593" s="307">
        <f t="shared" ca="1" si="270"/>
        <v>39.185187768896277</v>
      </c>
      <c r="F593" s="304">
        <f t="shared" ca="1" si="271"/>
        <v>43.380881714279717</v>
      </c>
      <c r="G593" s="306">
        <f t="shared" ca="1" si="272"/>
        <v>172.18377698631593</v>
      </c>
      <c r="H593" s="307">
        <f t="shared" ca="1" si="273"/>
        <v>453.15726218360055</v>
      </c>
      <c r="I593" s="304">
        <f t="shared" ca="1" si="274"/>
        <v>484.76670402061427</v>
      </c>
      <c r="J593" s="306">
        <f t="shared" ca="1" si="275"/>
        <v>507.70801796441089</v>
      </c>
      <c r="K593" s="307">
        <f t="shared" ca="1" si="276"/>
        <v>1415.3922996496569</v>
      </c>
      <c r="L593" s="304">
        <f t="shared" ca="1" si="261"/>
        <v>1503.6963767373036</v>
      </c>
      <c r="M593" s="306">
        <f t="shared" ca="1" si="277"/>
        <v>1.2076801364420464</v>
      </c>
      <c r="N593" s="304">
        <f t="shared" ca="1" si="278"/>
        <v>69.194974819912673</v>
      </c>
      <c r="P593" s="310">
        <f t="shared" ca="1" si="279"/>
        <v>16</v>
      </c>
      <c r="Q593" s="304">
        <f t="shared" ca="1" si="280"/>
        <v>2074.1480750408014</v>
      </c>
      <c r="R593" s="306">
        <f t="shared" ca="1" si="281"/>
        <v>1.2473390081045295</v>
      </c>
      <c r="S593" s="307">
        <f t="shared" ca="1" si="282"/>
        <v>12.624764043135675</v>
      </c>
      <c r="T593" s="304">
        <f t="shared" ca="1" si="262"/>
        <v>123.84893526316098</v>
      </c>
      <c r="U593" s="311">
        <f t="shared" ca="1" si="263"/>
        <v>0</v>
      </c>
      <c r="V593" s="306">
        <f t="shared" ca="1" si="264"/>
        <v>1.0630738916373532</v>
      </c>
      <c r="W593" s="304">
        <f t="shared" ca="1" si="265"/>
        <v>1414.3462495704437</v>
      </c>
      <c r="Y593" s="314" t="str">
        <f t="shared" ca="1" si="283"/>
        <v/>
      </c>
      <c r="Z593" s="315" t="str">
        <f t="shared" ca="1" si="284"/>
        <v/>
      </c>
      <c r="AA593" s="316" t="str">
        <f t="shared" ca="1" si="285"/>
        <v/>
      </c>
      <c r="AC593" s="310" t="e">
        <f t="shared" ca="1" si="286"/>
        <v>#N/A</v>
      </c>
      <c r="AD593" s="323" t="e">
        <f t="shared" ca="1" si="287"/>
        <v>#N/A</v>
      </c>
      <c r="AE593" s="324">
        <f t="shared" ca="1" si="266"/>
        <v>1415.3922996496569</v>
      </c>
      <c r="AG593" s="306">
        <f t="shared" ca="1" si="288"/>
        <v>43.240772680675136</v>
      </c>
      <c r="AH593" s="304">
        <f t="shared" ca="1" si="289"/>
        <v>52.41135737923674</v>
      </c>
    </row>
    <row r="594" spans="1:34" x14ac:dyDescent="0.2">
      <c r="A594" s="347">
        <f t="shared" ca="1" si="267"/>
        <v>0.01</v>
      </c>
      <c r="B594" s="304">
        <f t="shared" ca="1" si="268"/>
        <v>5.8999999999999186</v>
      </c>
      <c r="D594" s="306">
        <f t="shared" ca="1" si="269"/>
        <v>18.518451400680089</v>
      </c>
      <c r="E594" s="307">
        <f t="shared" ca="1" si="270"/>
        <v>38.927290373640567</v>
      </c>
      <c r="F594" s="304">
        <f t="shared" ca="1" si="271"/>
        <v>43.107620882079303</v>
      </c>
      <c r="G594" s="306">
        <f t="shared" ca="1" si="272"/>
        <v>172.36896150032274</v>
      </c>
      <c r="H594" s="307">
        <f t="shared" ca="1" si="273"/>
        <v>453.54653508733696</v>
      </c>
      <c r="I594" s="304">
        <f t="shared" ca="1" si="274"/>
        <v>485.19637094523773</v>
      </c>
      <c r="J594" s="306">
        <f t="shared" ca="1" si="275"/>
        <v>509.43078165684409</v>
      </c>
      <c r="K594" s="307">
        <f t="shared" ca="1" si="276"/>
        <v>1419.9258186360116</v>
      </c>
      <c r="L594" s="304">
        <f t="shared" ca="1" si="261"/>
        <v>1508.5453429475201</v>
      </c>
      <c r="M594" s="306">
        <f t="shared" ca="1" si="277"/>
        <v>1.2076083221454226</v>
      </c>
      <c r="N594" s="304">
        <f t="shared" ca="1" si="278"/>
        <v>69.190860163807415</v>
      </c>
      <c r="P594" s="310">
        <f t="shared" ca="1" si="279"/>
        <v>16</v>
      </c>
      <c r="Q594" s="304">
        <f t="shared" ca="1" si="280"/>
        <v>2071.9127079934929</v>
      </c>
      <c r="R594" s="306">
        <f t="shared" ca="1" si="281"/>
        <v>1.2459947161761509</v>
      </c>
      <c r="S594" s="307">
        <f t="shared" ca="1" si="282"/>
        <v>12.612304095973913</v>
      </c>
      <c r="T594" s="304">
        <f t="shared" ca="1" si="262"/>
        <v>123.72670318150409</v>
      </c>
      <c r="U594" s="311">
        <f t="shared" ca="1" si="263"/>
        <v>0</v>
      </c>
      <c r="V594" s="306">
        <f t="shared" ca="1" si="264"/>
        <v>1.062589621686199</v>
      </c>
      <c r="W594" s="304">
        <f t="shared" ca="1" si="265"/>
        <v>1416.2091067265683</v>
      </c>
      <c r="Y594" s="314" t="str">
        <f t="shared" ca="1" si="283"/>
        <v/>
      </c>
      <c r="Z594" s="315" t="str">
        <f t="shared" ca="1" si="284"/>
        <v/>
      </c>
      <c r="AA594" s="316" t="str">
        <f t="shared" ca="1" si="285"/>
        <v/>
      </c>
      <c r="AC594" s="310" t="e">
        <f t="shared" ca="1" si="286"/>
        <v>#N/A</v>
      </c>
      <c r="AD594" s="323" t="e">
        <f t="shared" ca="1" si="287"/>
        <v>#N/A</v>
      </c>
      <c r="AE594" s="324">
        <f t="shared" ca="1" si="266"/>
        <v>1419.9258186360116</v>
      </c>
      <c r="AG594" s="306">
        <f t="shared" ca="1" si="288"/>
        <v>42.966567347343833</v>
      </c>
      <c r="AH594" s="304">
        <f t="shared" ca="1" si="289"/>
        <v>52.136901665172893</v>
      </c>
    </row>
    <row r="595" spans="1:34" x14ac:dyDescent="0.2">
      <c r="A595" s="347">
        <f t="shared" ca="1" si="267"/>
        <v>0.01</v>
      </c>
      <c r="B595" s="304">
        <f t="shared" ca="1" si="268"/>
        <v>5.9099999999999184</v>
      </c>
      <c r="D595" s="306">
        <f t="shared" ca="1" si="269"/>
        <v>18.424697468511955</v>
      </c>
      <c r="E595" s="307">
        <f t="shared" ca="1" si="270"/>
        <v>38.670060587128276</v>
      </c>
      <c r="F595" s="304">
        <f t="shared" ca="1" si="271"/>
        <v>42.83506814069942</v>
      </c>
      <c r="G595" s="306">
        <f t="shared" ca="1" si="272"/>
        <v>172.55320847500786</v>
      </c>
      <c r="H595" s="307">
        <f t="shared" ca="1" si="273"/>
        <v>453.93323569320825</v>
      </c>
      <c r="I595" s="304">
        <f t="shared" ca="1" si="274"/>
        <v>485.6233027995313</v>
      </c>
      <c r="J595" s="306">
        <f t="shared" ca="1" si="275"/>
        <v>511.15539250672072</v>
      </c>
      <c r="K595" s="307">
        <f t="shared" ca="1" si="276"/>
        <v>1424.4632174899143</v>
      </c>
      <c r="L595" s="304">
        <f t="shared" ca="1" si="261"/>
        <v>1513.3985903490259</v>
      </c>
      <c r="M595" s="306">
        <f t="shared" ca="1" si="277"/>
        <v>1.2075365574227985</v>
      </c>
      <c r="N595" s="304">
        <f t="shared" ca="1" si="278"/>
        <v>69.186748348083142</v>
      </c>
      <c r="P595" s="310">
        <f t="shared" ca="1" si="279"/>
        <v>16</v>
      </c>
      <c r="Q595" s="304">
        <f t="shared" ca="1" si="280"/>
        <v>2069.6773409461848</v>
      </c>
      <c r="R595" s="306">
        <f t="shared" ca="1" si="281"/>
        <v>1.2446504242477725</v>
      </c>
      <c r="S595" s="307">
        <f t="shared" ca="1" si="282"/>
        <v>12.599857591731435</v>
      </c>
      <c r="T595" s="304">
        <f t="shared" ca="1" si="262"/>
        <v>123.6046029748854</v>
      </c>
      <c r="U595" s="311">
        <f t="shared" ca="1" si="263"/>
        <v>0</v>
      </c>
      <c r="V595" s="306">
        <f t="shared" ca="1" si="264"/>
        <v>1.0621051424989134</v>
      </c>
      <c r="W595" s="304">
        <f t="shared" ca="1" si="265"/>
        <v>1418.0556462062111</v>
      </c>
      <c r="Y595" s="314" t="str">
        <f t="shared" ca="1" si="283"/>
        <v/>
      </c>
      <c r="Z595" s="315" t="str">
        <f t="shared" ca="1" si="284"/>
        <v/>
      </c>
      <c r="AA595" s="316" t="str">
        <f t="shared" ca="1" si="285"/>
        <v/>
      </c>
      <c r="AC595" s="310" t="e">
        <f t="shared" ca="1" si="286"/>
        <v>#N/A</v>
      </c>
      <c r="AD595" s="323" t="e">
        <f t="shared" ca="1" si="287"/>
        <v>#N/A</v>
      </c>
      <c r="AE595" s="324">
        <f t="shared" ca="1" si="266"/>
        <v>1424.4632174899143</v>
      </c>
      <c r="AG595" s="306">
        <f t="shared" ca="1" si="288"/>
        <v>42.693060377099194</v>
      </c>
      <c r="AH595" s="304">
        <f t="shared" ca="1" si="289"/>
        <v>51.863144441287197</v>
      </c>
    </row>
    <row r="596" spans="1:34" x14ac:dyDescent="0.2">
      <c r="A596" s="347">
        <f t="shared" ca="1" si="267"/>
        <v>0.01</v>
      </c>
      <c r="B596" s="304">
        <f t="shared" ca="1" si="268"/>
        <v>5.9199999999999182</v>
      </c>
      <c r="D596" s="306">
        <f t="shared" ca="1" si="269"/>
        <v>18.331152975171808</v>
      </c>
      <c r="E596" s="307">
        <f t="shared" ca="1" si="270"/>
        <v>38.413499623955865</v>
      </c>
      <c r="F596" s="304">
        <f t="shared" ca="1" si="271"/>
        <v>42.563225004207652</v>
      </c>
      <c r="G596" s="306">
        <f t="shared" ca="1" si="272"/>
        <v>172.73652000475957</v>
      </c>
      <c r="H596" s="307">
        <f t="shared" ca="1" si="273"/>
        <v>454.31737068944778</v>
      </c>
      <c r="I596" s="304">
        <f t="shared" ca="1" si="274"/>
        <v>486.04750658091831</v>
      </c>
      <c r="J596" s="306">
        <f t="shared" ca="1" si="275"/>
        <v>512.88184114911951</v>
      </c>
      <c r="K596" s="307">
        <f t="shared" ca="1" si="276"/>
        <v>1429.0044705218277</v>
      </c>
      <c r="L596" s="304">
        <f t="shared" ca="1" si="261"/>
        <v>1518.2560916235047</v>
      </c>
      <c r="M596" s="306">
        <f t="shared" ca="1" si="277"/>
        <v>1.2074648417942875</v>
      </c>
      <c r="N596" s="304">
        <f t="shared" ca="1" si="278"/>
        <v>69.182639345244326</v>
      </c>
      <c r="P596" s="310">
        <f t="shared" ca="1" si="279"/>
        <v>16</v>
      </c>
      <c r="Q596" s="304">
        <f t="shared" ca="1" si="280"/>
        <v>2067.4419738988763</v>
      </c>
      <c r="R596" s="306">
        <f t="shared" ca="1" si="281"/>
        <v>1.2433061323193939</v>
      </c>
      <c r="S596" s="307">
        <f t="shared" ca="1" si="282"/>
        <v>12.587424530408242</v>
      </c>
      <c r="T596" s="304">
        <f t="shared" ca="1" si="262"/>
        <v>123.48263464330486</v>
      </c>
      <c r="U596" s="311">
        <f t="shared" ca="1" si="263"/>
        <v>0</v>
      </c>
      <c r="V596" s="306">
        <f t="shared" ca="1" si="264"/>
        <v>1.0616204572128114</v>
      </c>
      <c r="W596" s="304">
        <f t="shared" ca="1" si="265"/>
        <v>1419.8858883269736</v>
      </c>
      <c r="Y596" s="314" t="str">
        <f t="shared" ca="1" si="283"/>
        <v/>
      </c>
      <c r="Z596" s="315" t="str">
        <f t="shared" ca="1" si="284"/>
        <v/>
      </c>
      <c r="AA596" s="316" t="str">
        <f t="shared" ca="1" si="285"/>
        <v/>
      </c>
      <c r="AC596" s="310" t="e">
        <f t="shared" ca="1" si="286"/>
        <v>#N/A</v>
      </c>
      <c r="AD596" s="323" t="e">
        <f t="shared" ca="1" si="287"/>
        <v>#N/A</v>
      </c>
      <c r="AE596" s="324">
        <f t="shared" ca="1" si="266"/>
        <v>1429.0044705218277</v>
      </c>
      <c r="AG596" s="306">
        <f t="shared" ca="1" si="288"/>
        <v>42.42025314839173</v>
      </c>
      <c r="AH596" s="304">
        <f t="shared" ca="1" si="289"/>
        <v>51.590087084446971</v>
      </c>
    </row>
    <row r="597" spans="1:34" x14ac:dyDescent="0.2">
      <c r="A597" s="347">
        <f t="shared" ca="1" si="267"/>
        <v>0.01</v>
      </c>
      <c r="B597" s="304">
        <f t="shared" ca="1" si="268"/>
        <v>5.929999999999918</v>
      </c>
      <c r="D597" s="306">
        <f t="shared" ca="1" si="269"/>
        <v>18.237818598927852</v>
      </c>
      <c r="E597" s="307">
        <f t="shared" ca="1" si="270"/>
        <v>38.157608660564115</v>
      </c>
      <c r="F597" s="304">
        <f t="shared" ca="1" si="271"/>
        <v>42.292092948211447</v>
      </c>
      <c r="G597" s="306">
        <f t="shared" ca="1" si="272"/>
        <v>172.91889819074885</v>
      </c>
      <c r="H597" s="307">
        <f t="shared" ca="1" si="273"/>
        <v>454.69894677605345</v>
      </c>
      <c r="I597" s="304">
        <f t="shared" ca="1" si="274"/>
        <v>486.46898930019665</v>
      </c>
      <c r="J597" s="306">
        <f t="shared" ca="1" si="275"/>
        <v>514.61011824009711</v>
      </c>
      <c r="K597" s="307">
        <f t="shared" ca="1" si="276"/>
        <v>1433.5495521091552</v>
      </c>
      <c r="L597" s="304">
        <f t="shared" ca="1" si="261"/>
        <v>1523.1178195226546</v>
      </c>
      <c r="M597" s="306">
        <f t="shared" ca="1" si="277"/>
        <v>1.2073931747830249</v>
      </c>
      <c r="N597" s="304">
        <f t="shared" ca="1" si="278"/>
        <v>69.178533127968663</v>
      </c>
      <c r="P597" s="310">
        <f t="shared" ca="1" si="279"/>
        <v>16</v>
      </c>
      <c r="Q597" s="304">
        <f t="shared" ca="1" si="280"/>
        <v>2065.2066068515683</v>
      </c>
      <c r="R597" s="306">
        <f t="shared" ca="1" si="281"/>
        <v>1.2419618403910155</v>
      </c>
      <c r="S597" s="307">
        <f t="shared" ca="1" si="282"/>
        <v>12.575004912004331</v>
      </c>
      <c r="T597" s="304">
        <f t="shared" ca="1" si="262"/>
        <v>123.36079818676249</v>
      </c>
      <c r="U597" s="311">
        <f t="shared" ca="1" si="263"/>
        <v>0</v>
      </c>
      <c r="V597" s="306">
        <f t="shared" ca="1" si="264"/>
        <v>1.0611355689533088</v>
      </c>
      <c r="W597" s="304">
        <f t="shared" ca="1" si="265"/>
        <v>1421.6998539276904</v>
      </c>
      <c r="Y597" s="314" t="str">
        <f t="shared" ca="1" si="283"/>
        <v/>
      </c>
      <c r="Z597" s="315" t="str">
        <f t="shared" ca="1" si="284"/>
        <v/>
      </c>
      <c r="AA597" s="316" t="str">
        <f t="shared" ca="1" si="285"/>
        <v/>
      </c>
      <c r="AC597" s="310" t="e">
        <f t="shared" ca="1" si="286"/>
        <v>#N/A</v>
      </c>
      <c r="AD597" s="323" t="e">
        <f t="shared" ca="1" si="287"/>
        <v>#N/A</v>
      </c>
      <c r="AE597" s="324">
        <f t="shared" ca="1" si="266"/>
        <v>1433.5495521091552</v>
      </c>
      <c r="AG597" s="306">
        <f t="shared" ca="1" si="288"/>
        <v>42.148146998694074</v>
      </c>
      <c r="AH597" s="304">
        <f t="shared" ca="1" si="289"/>
        <v>51.317730930550937</v>
      </c>
    </row>
    <row r="598" spans="1:34" x14ac:dyDescent="0.2">
      <c r="A598" s="347">
        <f t="shared" ca="1" si="267"/>
        <v>0.01</v>
      </c>
      <c r="B598" s="304">
        <f t="shared" ca="1" si="268"/>
        <v>5.9399999999999178</v>
      </c>
      <c r="D598" s="306">
        <f t="shared" ca="1" si="269"/>
        <v>18.144695003096292</v>
      </c>
      <c r="E598" s="307">
        <f t="shared" ca="1" si="270"/>
        <v>37.902388835484729</v>
      </c>
      <c r="F598" s="304">
        <f t="shared" ca="1" si="271"/>
        <v>42.021673410178053</v>
      </c>
      <c r="G598" s="306">
        <f t="shared" ca="1" si="272"/>
        <v>173.10034514077981</v>
      </c>
      <c r="H598" s="307">
        <f t="shared" ca="1" si="273"/>
        <v>455.07797066440827</v>
      </c>
      <c r="I598" s="304">
        <f t="shared" ca="1" si="274"/>
        <v>486.88775798113176</v>
      </c>
      <c r="J598" s="306">
        <f t="shared" ca="1" si="275"/>
        <v>516.34021445675478</v>
      </c>
      <c r="K598" s="307">
        <f t="shared" ca="1" si="276"/>
        <v>1438.0984366963576</v>
      </c>
      <c r="L598" s="304">
        <f t="shared" ca="1" si="261"/>
        <v>1527.9837468683218</v>
      </c>
      <c r="M598" s="306">
        <f t="shared" ca="1" si="277"/>
        <v>1.2073215559151427</v>
      </c>
      <c r="N598" s="304">
        <f t="shared" ca="1" si="278"/>
        <v>69.174429669105507</v>
      </c>
      <c r="P598" s="310">
        <f t="shared" ca="1" si="279"/>
        <v>16</v>
      </c>
      <c r="Q598" s="304">
        <f t="shared" ca="1" si="280"/>
        <v>2062.9712398042598</v>
      </c>
      <c r="R598" s="306">
        <f t="shared" ca="1" si="281"/>
        <v>1.2406175484626369</v>
      </c>
      <c r="S598" s="307">
        <f t="shared" ca="1" si="282"/>
        <v>12.562598736519705</v>
      </c>
      <c r="T598" s="304">
        <f t="shared" ca="1" si="262"/>
        <v>123.23909360525832</v>
      </c>
      <c r="U598" s="311">
        <f t="shared" ca="1" si="263"/>
        <v>0</v>
      </c>
      <c r="V598" s="306">
        <f t="shared" ca="1" si="264"/>
        <v>1.0606504808339232</v>
      </c>
      <c r="W598" s="304">
        <f t="shared" ca="1" si="265"/>
        <v>1423.4975643624332</v>
      </c>
      <c r="Y598" s="314" t="str">
        <f t="shared" ca="1" si="283"/>
        <v/>
      </c>
      <c r="Z598" s="315" t="str">
        <f t="shared" ca="1" si="284"/>
        <v/>
      </c>
      <c r="AA598" s="316" t="str">
        <f t="shared" ca="1" si="285"/>
        <v/>
      </c>
      <c r="AC598" s="310" t="e">
        <f t="shared" ca="1" si="286"/>
        <v>#N/A</v>
      </c>
      <c r="AD598" s="323" t="e">
        <f t="shared" ca="1" si="287"/>
        <v>#N/A</v>
      </c>
      <c r="AE598" s="324">
        <f t="shared" ca="1" si="266"/>
        <v>1438.0984366963576</v>
      </c>
      <c r="AG598" s="306">
        <f t="shared" ca="1" si="288"/>
        <v>41.876743224762251</v>
      </c>
      <c r="AH598" s="304">
        <f t="shared" ca="1" si="289"/>
        <v>51.046077274790427</v>
      </c>
    </row>
    <row r="599" spans="1:34" x14ac:dyDescent="0.2">
      <c r="A599" s="347">
        <f t="shared" ca="1" si="267"/>
        <v>0.01</v>
      </c>
      <c r="B599" s="304">
        <f t="shared" ca="1" si="268"/>
        <v>5.9499999999999176</v>
      </c>
      <c r="D599" s="306">
        <f t="shared" ca="1" si="269"/>
        <v>18.051782836128819</v>
      </c>
      <c r="E599" s="307">
        <f t="shared" ca="1" si="270"/>
        <v>37.64784124958846</v>
      </c>
      <c r="F599" s="304">
        <f t="shared" ca="1" si="271"/>
        <v>41.751967789757757</v>
      </c>
      <c r="G599" s="306">
        <f t="shared" ca="1" si="272"/>
        <v>173.28086296914108</v>
      </c>
      <c r="H599" s="307">
        <f t="shared" ca="1" si="273"/>
        <v>455.45444907690415</v>
      </c>
      <c r="I599" s="304">
        <f t="shared" ca="1" si="274"/>
        <v>487.30381966005206</v>
      </c>
      <c r="J599" s="306">
        <f t="shared" ca="1" si="275"/>
        <v>518.07212049730435</v>
      </c>
      <c r="K599" s="307">
        <f t="shared" ca="1" si="276"/>
        <v>1442.6510987950642</v>
      </c>
      <c r="L599" s="304">
        <f t="shared" ca="1" si="261"/>
        <v>1532.8538465526253</v>
      </c>
      <c r="M599" s="306">
        <f t="shared" ca="1" si="277"/>
        <v>1.2072499847197427</v>
      </c>
      <c r="N599" s="304">
        <f t="shared" ca="1" si="278"/>
        <v>69.170328941674384</v>
      </c>
      <c r="P599" s="310">
        <f t="shared" ca="1" si="279"/>
        <v>16</v>
      </c>
      <c r="Q599" s="304">
        <f t="shared" ca="1" si="280"/>
        <v>2060.7358727569517</v>
      </c>
      <c r="R599" s="306">
        <f t="shared" ca="1" si="281"/>
        <v>1.2392732565342588</v>
      </c>
      <c r="S599" s="307">
        <f t="shared" ca="1" si="282"/>
        <v>12.550206003954363</v>
      </c>
      <c r="T599" s="304">
        <f t="shared" ca="1" si="262"/>
        <v>123.11752089879231</v>
      </c>
      <c r="U599" s="311">
        <f t="shared" ca="1" si="263"/>
        <v>0</v>
      </c>
      <c r="V599" s="306">
        <f t="shared" ca="1" si="264"/>
        <v>1.0601651959562723</v>
      </c>
      <c r="W599" s="304">
        <f t="shared" ca="1" si="265"/>
        <v>1425.2790414945339</v>
      </c>
      <c r="Y599" s="314" t="str">
        <f t="shared" ca="1" si="283"/>
        <v/>
      </c>
      <c r="Z599" s="315" t="str">
        <f t="shared" ca="1" si="284"/>
        <v/>
      </c>
      <c r="AA599" s="316" t="str">
        <f t="shared" ca="1" si="285"/>
        <v/>
      </c>
      <c r="AC599" s="310" t="e">
        <f t="shared" ca="1" si="286"/>
        <v>#N/A</v>
      </c>
      <c r="AD599" s="323" t="e">
        <f t="shared" ca="1" si="287"/>
        <v>#N/A</v>
      </c>
      <c r="AE599" s="324">
        <f t="shared" ca="1" si="266"/>
        <v>1442.6510987950642</v>
      </c>
      <c r="AG599" s="306">
        <f t="shared" ca="1" si="288"/>
        <v>41.606043082898488</v>
      </c>
      <c r="AH599" s="304">
        <f t="shared" ca="1" si="289"/>
        <v>50.775127371912077</v>
      </c>
    </row>
    <row r="600" spans="1:34" x14ac:dyDescent="0.2">
      <c r="A600" s="347">
        <f t="shared" ca="1" si="267"/>
        <v>0.01</v>
      </c>
      <c r="B600" s="304">
        <f t="shared" ca="1" si="268"/>
        <v>5.9599999999999174</v>
      </c>
      <c r="D600" s="306">
        <f t="shared" ca="1" si="269"/>
        <v>17.959082731700246</v>
      </c>
      <c r="E600" s="307">
        <f t="shared" ca="1" si="270"/>
        <v>37.39396696633338</v>
      </c>
      <c r="F600" s="304">
        <f t="shared" ca="1" si="271"/>
        <v>41.482977449109001</v>
      </c>
      <c r="G600" s="306">
        <f t="shared" ca="1" si="272"/>
        <v>173.4604537964581</v>
      </c>
      <c r="H600" s="307">
        <f t="shared" ca="1" si="273"/>
        <v>455.8283887465675</v>
      </c>
      <c r="I600" s="304">
        <f t="shared" ca="1" si="274"/>
        <v>487.71718138544702</v>
      </c>
      <c r="J600" s="306">
        <f t="shared" ca="1" si="275"/>
        <v>519.80582708113241</v>
      </c>
      <c r="K600" s="307">
        <f t="shared" ca="1" si="276"/>
        <v>1447.2075129841814</v>
      </c>
      <c r="L600" s="304">
        <f t="shared" ca="1" si="261"/>
        <v>1537.7280915380848</v>
      </c>
      <c r="M600" s="306">
        <f t="shared" ca="1" si="277"/>
        <v>1.2071784607288698</v>
      </c>
      <c r="N600" s="304">
        <f t="shared" ca="1" si="278"/>
        <v>69.166230918863434</v>
      </c>
      <c r="P600" s="310">
        <f t="shared" ca="1" si="279"/>
        <v>16</v>
      </c>
      <c r="Q600" s="304">
        <f t="shared" ca="1" si="280"/>
        <v>2058.5005057096432</v>
      </c>
      <c r="R600" s="306">
        <f t="shared" ca="1" si="281"/>
        <v>1.2379289646058802</v>
      </c>
      <c r="S600" s="307">
        <f t="shared" ca="1" si="282"/>
        <v>12.537826714308304</v>
      </c>
      <c r="T600" s="304">
        <f t="shared" ca="1" si="262"/>
        <v>122.99608006736447</v>
      </c>
      <c r="U600" s="311">
        <f t="shared" ca="1" si="263"/>
        <v>0</v>
      </c>
      <c r="V600" s="306">
        <f t="shared" ca="1" si="264"/>
        <v>1.0596797174100778</v>
      </c>
      <c r="W600" s="304">
        <f t="shared" ca="1" si="265"/>
        <v>1427.044307690622</v>
      </c>
      <c r="Y600" s="314" t="str">
        <f t="shared" ca="1" si="283"/>
        <v/>
      </c>
      <c r="Z600" s="315" t="str">
        <f t="shared" ca="1" si="284"/>
        <v/>
      </c>
      <c r="AA600" s="316" t="str">
        <f t="shared" ca="1" si="285"/>
        <v/>
      </c>
      <c r="AC600" s="310" t="e">
        <f t="shared" ca="1" si="286"/>
        <v>#N/A</v>
      </c>
      <c r="AD600" s="323" t="e">
        <f t="shared" ca="1" si="287"/>
        <v>#N/A</v>
      </c>
      <c r="AE600" s="324">
        <f t="shared" ca="1" si="266"/>
        <v>1447.2075129841814</v>
      </c>
      <c r="AG600" s="306">
        <f t="shared" ca="1" si="288"/>
        <v>41.336047789214227</v>
      </c>
      <c r="AH600" s="304">
        <f t="shared" ca="1" si="289"/>
        <v>50.504882436480806</v>
      </c>
    </row>
    <row r="601" spans="1:34" x14ac:dyDescent="0.2">
      <c r="A601" s="347">
        <f t="shared" ca="1" si="267"/>
        <v>0.01</v>
      </c>
      <c r="B601" s="304">
        <f t="shared" ca="1" si="268"/>
        <v>5.9699999999999172</v>
      </c>
      <c r="D601" s="306">
        <f t="shared" ca="1" si="269"/>
        <v>17.866595308796768</v>
      </c>
      <c r="E601" s="307">
        <f t="shared" ca="1" si="270"/>
        <v>37.140767012014507</v>
      </c>
      <c r="F601" s="304">
        <f t="shared" ca="1" si="271"/>
        <v>41.214703713226712</v>
      </c>
      <c r="G601" s="306">
        <f t="shared" ca="1" si="272"/>
        <v>173.63911974954607</v>
      </c>
      <c r="H601" s="307">
        <f t="shared" ca="1" si="273"/>
        <v>456.19979641668766</v>
      </c>
      <c r="I601" s="304">
        <f t="shared" ca="1" si="274"/>
        <v>488.12785021756798</v>
      </c>
      <c r="J601" s="306">
        <f t="shared" ca="1" si="275"/>
        <v>521.54132494886244</v>
      </c>
      <c r="K601" s="307">
        <f t="shared" ca="1" si="276"/>
        <v>1451.7676539099978</v>
      </c>
      <c r="L601" s="304">
        <f t="shared" ca="1" si="261"/>
        <v>1542.6064548577367</v>
      </c>
      <c r="M601" s="306">
        <f t="shared" ca="1" si="277"/>
        <v>1.2071069834774868</v>
      </c>
      <c r="N601" s="304">
        <f t="shared" ca="1" si="278"/>
        <v>69.162135574027985</v>
      </c>
      <c r="P601" s="310">
        <f t="shared" ca="1" si="279"/>
        <v>16</v>
      </c>
      <c r="Q601" s="304">
        <f t="shared" ca="1" si="280"/>
        <v>2056.2651386623352</v>
      </c>
      <c r="R601" s="306">
        <f t="shared" ca="1" si="281"/>
        <v>1.2365846726775018</v>
      </c>
      <c r="S601" s="307">
        <f t="shared" ca="1" si="282"/>
        <v>12.525460867581529</v>
      </c>
      <c r="T601" s="304">
        <f t="shared" ca="1" si="262"/>
        <v>122.87477111097481</v>
      </c>
      <c r="U601" s="311">
        <f t="shared" ca="1" si="263"/>
        <v>0</v>
      </c>
      <c r="V601" s="306">
        <f t="shared" ca="1" si="264"/>
        <v>1.0591940482731643</v>
      </c>
      <c r="W601" s="304">
        <f t="shared" ca="1" si="265"/>
        <v>1428.7933858146789</v>
      </c>
      <c r="Y601" s="314" t="str">
        <f t="shared" ca="1" si="283"/>
        <v/>
      </c>
      <c r="Z601" s="315" t="str">
        <f t="shared" ca="1" si="284"/>
        <v/>
      </c>
      <c r="AA601" s="316" t="str">
        <f t="shared" ca="1" si="285"/>
        <v/>
      </c>
      <c r="AC601" s="310" t="e">
        <f t="shared" ca="1" si="286"/>
        <v>#N/A</v>
      </c>
      <c r="AD601" s="323" t="e">
        <f t="shared" ca="1" si="287"/>
        <v>#N/A</v>
      </c>
      <c r="AE601" s="324">
        <f t="shared" ca="1" si="266"/>
        <v>1451.7676539099978</v>
      </c>
      <c r="AG601" s="306">
        <f t="shared" ca="1" si="288"/>
        <v>41.06675851989462</v>
      </c>
      <c r="AH601" s="304">
        <f t="shared" ca="1" si="289"/>
        <v>50.235343643144198</v>
      </c>
    </row>
    <row r="602" spans="1:34" x14ac:dyDescent="0.2">
      <c r="A602" s="347">
        <f t="shared" ca="1" si="267"/>
        <v>0.01</v>
      </c>
      <c r="B602" s="304">
        <f t="shared" ca="1" si="268"/>
        <v>5.9799999999999169</v>
      </c>
      <c r="D602" s="306">
        <f t="shared" ca="1" si="269"/>
        <v>17.774321171804388</v>
      </c>
      <c r="E602" s="307">
        <f t="shared" ca="1" si="270"/>
        <v>36.888242376013778</v>
      </c>
      <c r="F602" s="304">
        <f t="shared" ca="1" si="271"/>
        <v>40.947147870272872</v>
      </c>
      <c r="G602" s="306">
        <f t="shared" ca="1" si="272"/>
        <v>173.81686296126412</v>
      </c>
      <c r="H602" s="307">
        <f t="shared" ca="1" si="273"/>
        <v>456.56867884044777</v>
      </c>
      <c r="I602" s="304">
        <f t="shared" ca="1" si="274"/>
        <v>488.53583322803132</v>
      </c>
      <c r="J602" s="306">
        <f t="shared" ca="1" si="275"/>
        <v>523.2786048624165</v>
      </c>
      <c r="K602" s="307">
        <f t="shared" ca="1" si="276"/>
        <v>1456.3314962862835</v>
      </c>
      <c r="L602" s="304">
        <f t="shared" ca="1" si="261"/>
        <v>1547.4889096152522</v>
      </c>
      <c r="M602" s="306">
        <f t="shared" ca="1" si="277"/>
        <v>1.2070355525034475</v>
      </c>
      <c r="N602" s="304">
        <f t="shared" ca="1" si="278"/>
        <v>69.158042880689024</v>
      </c>
      <c r="P602" s="310">
        <f t="shared" ca="1" si="279"/>
        <v>16</v>
      </c>
      <c r="Q602" s="304">
        <f t="shared" ca="1" si="280"/>
        <v>2054.0297716150267</v>
      </c>
      <c r="R602" s="306">
        <f t="shared" ca="1" si="281"/>
        <v>1.2352403807491232</v>
      </c>
      <c r="S602" s="307">
        <f t="shared" ca="1" si="282"/>
        <v>12.513108463774039</v>
      </c>
      <c r="T602" s="304">
        <f t="shared" ca="1" si="262"/>
        <v>122.75359402962333</v>
      </c>
      <c r="U602" s="311">
        <f t="shared" ca="1" si="263"/>
        <v>0</v>
      </c>
      <c r="V602" s="306">
        <f t="shared" ca="1" si="264"/>
        <v>1.058708191611462</v>
      </c>
      <c r="W602" s="304">
        <f t="shared" ca="1" si="265"/>
        <v>1430.5262992221108</v>
      </c>
      <c r="Y602" s="314" t="str">
        <f t="shared" ca="1" si="283"/>
        <v/>
      </c>
      <c r="Z602" s="315" t="str">
        <f t="shared" ca="1" si="284"/>
        <v/>
      </c>
      <c r="AA602" s="316" t="str">
        <f t="shared" ca="1" si="285"/>
        <v/>
      </c>
      <c r="AC602" s="310" t="e">
        <f t="shared" ca="1" si="286"/>
        <v>#N/A</v>
      </c>
      <c r="AD602" s="323" t="e">
        <f t="shared" ca="1" si="287"/>
        <v>#N/A</v>
      </c>
      <c r="AE602" s="324">
        <f t="shared" ca="1" si="266"/>
        <v>1456.3314962862835</v>
      </c>
      <c r="AG602" s="306">
        <f t="shared" ca="1" si="288"/>
        <v>40.798176411463459</v>
      </c>
      <c r="AH602" s="304">
        <f t="shared" ca="1" si="289"/>
        <v>49.966512126897378</v>
      </c>
    </row>
    <row r="603" spans="1:34" x14ac:dyDescent="0.2">
      <c r="A603" s="347">
        <f t="shared" ca="1" si="267"/>
        <v>0.01</v>
      </c>
      <c r="B603" s="304">
        <f t="shared" ca="1" si="268"/>
        <v>5.9899999999999167</v>
      </c>
      <c r="D603" s="306">
        <f t="shared" ca="1" si="269"/>
        <v>17.682260910597901</v>
      </c>
      <c r="E603" s="307">
        <f t="shared" ca="1" si="270"/>
        <v>36.636394011051266</v>
      </c>
      <c r="F603" s="304">
        <f t="shared" ca="1" si="271"/>
        <v>40.680311171910319</v>
      </c>
      <c r="G603" s="306">
        <f t="shared" ca="1" si="272"/>
        <v>173.9936855703701</v>
      </c>
      <c r="H603" s="307">
        <f t="shared" ca="1" si="273"/>
        <v>456.93504278055826</v>
      </c>
      <c r="I603" s="304">
        <f t="shared" ca="1" si="274"/>
        <v>488.94113749942477</v>
      </c>
      <c r="J603" s="306">
        <f t="shared" ca="1" si="275"/>
        <v>525.01765760507465</v>
      </c>
      <c r="K603" s="307">
        <f t="shared" ca="1" si="276"/>
        <v>1460.8990148943885</v>
      </c>
      <c r="L603" s="304">
        <f t="shared" ca="1" si="261"/>
        <v>1552.3754289850488</v>
      </c>
      <c r="M603" s="306">
        <f t="shared" ca="1" si="277"/>
        <v>1.2069641673474725</v>
      </c>
      <c r="N603" s="304">
        <f t="shared" ca="1" si="278"/>
        <v>69.153952812531784</v>
      </c>
      <c r="P603" s="310">
        <f t="shared" ca="1" si="279"/>
        <v>16</v>
      </c>
      <c r="Q603" s="304">
        <f t="shared" ca="1" si="280"/>
        <v>2051.7944045677186</v>
      </c>
      <c r="R603" s="306">
        <f t="shared" ca="1" si="281"/>
        <v>1.2338960888207449</v>
      </c>
      <c r="S603" s="307">
        <f t="shared" ca="1" si="282"/>
        <v>12.500769502885831</v>
      </c>
      <c r="T603" s="304">
        <f t="shared" ca="1" si="262"/>
        <v>122.63254882331</v>
      </c>
      <c r="U603" s="311">
        <f t="shared" ca="1" si="263"/>
        <v>0</v>
      </c>
      <c r="V603" s="306">
        <f t="shared" ca="1" si="264"/>
        <v>1.0582221504790086</v>
      </c>
      <c r="W603" s="304">
        <f t="shared" ca="1" si="265"/>
        <v>1432.2430717538382</v>
      </c>
      <c r="Y603" s="314" t="str">
        <f t="shared" ca="1" si="283"/>
        <v/>
      </c>
      <c r="Z603" s="315" t="str">
        <f t="shared" ca="1" si="284"/>
        <v/>
      </c>
      <c r="AA603" s="316" t="str">
        <f t="shared" ca="1" si="285"/>
        <v/>
      </c>
      <c r="AC603" s="310" t="e">
        <f t="shared" ca="1" si="286"/>
        <v>#N/A</v>
      </c>
      <c r="AD603" s="323" t="e">
        <f t="shared" ca="1" si="287"/>
        <v>#N/A</v>
      </c>
      <c r="AE603" s="324">
        <f t="shared" ca="1" si="266"/>
        <v>1460.8990148943885</v>
      </c>
      <c r="AG603" s="306">
        <f t="shared" ca="1" si="288"/>
        <v>40.53030256104941</v>
      </c>
      <c r="AH603" s="304">
        <f t="shared" ca="1" si="289"/>
        <v>49.698388983349126</v>
      </c>
    </row>
    <row r="604" spans="1:34" x14ac:dyDescent="0.2">
      <c r="A604" s="347">
        <f t="shared" ca="1" si="267"/>
        <v>0.01</v>
      </c>
      <c r="B604" s="304">
        <f t="shared" ca="1" si="268"/>
        <v>5.9999999999999165</v>
      </c>
      <c r="D604" s="306">
        <f t="shared" ca="1" si="269"/>
        <v>17.590415100629954</v>
      </c>
      <c r="E604" s="307">
        <f t="shared" ca="1" si="270"/>
        <v>36.38522283343648</v>
      </c>
      <c r="F604" s="304">
        <f t="shared" ca="1" si="271"/>
        <v>40.414194833638561</v>
      </c>
      <c r="G604" s="306">
        <f t="shared" ca="1" si="272"/>
        <v>174.16958972137641</v>
      </c>
      <c r="H604" s="307">
        <f t="shared" ca="1" si="273"/>
        <v>457.2988950088926</v>
      </c>
      <c r="I604" s="304">
        <f t="shared" ca="1" si="274"/>
        <v>489.34377012491615</v>
      </c>
      <c r="J604" s="306">
        <f t="shared" ca="1" si="275"/>
        <v>526.75847398153337</v>
      </c>
      <c r="K604" s="307">
        <f t="shared" ca="1" si="276"/>
        <v>1465.4701845833358</v>
      </c>
      <c r="L604" s="304">
        <f t="shared" ca="1" si="261"/>
        <v>1557.2659862123974</v>
      </c>
      <c r="M604" s="306">
        <f t="shared" ca="1" si="277"/>
        <v>1.206892827553123</v>
      </c>
      <c r="N604" s="304">
        <f t="shared" ca="1" si="278"/>
        <v>69.149865343404215</v>
      </c>
      <c r="P604" s="310">
        <f t="shared" ca="1" si="279"/>
        <v>16</v>
      </c>
      <c r="Q604" s="304">
        <f t="shared" ca="1" si="280"/>
        <v>2049.5590375204101</v>
      </c>
      <c r="R604" s="306">
        <f t="shared" ca="1" si="281"/>
        <v>1.2325517968923663</v>
      </c>
      <c r="S604" s="307">
        <f t="shared" ca="1" si="282"/>
        <v>12.488443984916907</v>
      </c>
      <c r="T604" s="304">
        <f t="shared" ca="1" si="262"/>
        <v>122.51163549203487</v>
      </c>
      <c r="U604" s="311">
        <f t="shared" ca="1" si="263"/>
        <v>0</v>
      </c>
      <c r="V604" s="306">
        <f t="shared" ca="1" si="264"/>
        <v>1.0577359279179532</v>
      </c>
      <c r="W604" s="304">
        <f t="shared" ca="1" si="265"/>
        <v>1433.943727730408</v>
      </c>
      <c r="Y604" s="314" t="str">
        <f t="shared" ca="1" si="283"/>
        <v/>
      </c>
      <c r="Z604" s="315" t="str">
        <f t="shared" ca="1" si="284"/>
        <v/>
      </c>
      <c r="AA604" s="316" t="str">
        <f t="shared" ca="1" si="285"/>
        <v/>
      </c>
      <c r="AC604" s="310">
        <f t="shared" ca="1" si="286"/>
        <v>5.9999999999999165</v>
      </c>
      <c r="AD604" s="323">
        <f t="shared" ca="1" si="287"/>
        <v>526.75847398153337</v>
      </c>
      <c r="AE604" s="324">
        <f t="shared" ca="1" si="266"/>
        <v>1465.4701845833358</v>
      </c>
      <c r="AG604" s="306">
        <f t="shared" ca="1" si="288"/>
        <v>40.263138026652342</v>
      </c>
      <c r="AH604" s="304">
        <f t="shared" ca="1" si="289"/>
        <v>49.430975268988185</v>
      </c>
    </row>
    <row r="605" spans="1:34" x14ac:dyDescent="0.2">
      <c r="A605" s="347">
        <f t="shared" ca="1" si="267"/>
        <v>0.01</v>
      </c>
      <c r="B605" s="304">
        <f t="shared" ca="1" si="268"/>
        <v>6.0099999999999163</v>
      </c>
      <c r="D605" s="306">
        <f t="shared" ca="1" si="269"/>
        <v>17.498784303020674</v>
      </c>
      <c r="E605" s="307">
        <f t="shared" ca="1" si="270"/>
        <v>36.134729723320774</v>
      </c>
      <c r="F605" s="304">
        <f t="shared" ca="1" si="271"/>
        <v>40.148800035132865</v>
      </c>
      <c r="G605" s="306">
        <f t="shared" ca="1" si="272"/>
        <v>174.34457756440662</v>
      </c>
      <c r="H605" s="307">
        <f t="shared" ca="1" si="273"/>
        <v>457.66024230612578</v>
      </c>
      <c r="I605" s="304">
        <f t="shared" ca="1" si="274"/>
        <v>489.74373820786434</v>
      </c>
      <c r="J605" s="306">
        <f t="shared" ca="1" si="275"/>
        <v>528.50104481796234</v>
      </c>
      <c r="K605" s="307">
        <f t="shared" ca="1" si="276"/>
        <v>1470.0449802699109</v>
      </c>
      <c r="L605" s="304">
        <f t="shared" ca="1" si="261"/>
        <v>1562.1605546135265</v>
      </c>
      <c r="M605" s="306">
        <f t="shared" ca="1" si="277"/>
        <v>1.2068215326667771</v>
      </c>
      <c r="N605" s="304">
        <f t="shared" ca="1" si="278"/>
        <v>69.14578044731573</v>
      </c>
      <c r="P605" s="310">
        <f t="shared" ca="1" si="279"/>
        <v>16</v>
      </c>
      <c r="Q605" s="304">
        <f t="shared" ca="1" si="280"/>
        <v>2047.3236704731021</v>
      </c>
      <c r="R605" s="306">
        <f t="shared" ca="1" si="281"/>
        <v>1.2312075049639879</v>
      </c>
      <c r="S605" s="307">
        <f t="shared" ca="1" si="282"/>
        <v>12.476131909867268</v>
      </c>
      <c r="T605" s="304">
        <f t="shared" ca="1" si="262"/>
        <v>122.39085403579791</v>
      </c>
      <c r="U605" s="311">
        <f t="shared" ca="1" si="263"/>
        <v>0</v>
      </c>
      <c r="V605" s="306">
        <f t="shared" ca="1" si="264"/>
        <v>1.0572495269585596</v>
      </c>
      <c r="W605" s="304">
        <f t="shared" ca="1" si="265"/>
        <v>1435.6282919461166</v>
      </c>
      <c r="Y605" s="314" t="str">
        <f t="shared" ca="1" si="283"/>
        <v/>
      </c>
      <c r="Z605" s="315" t="str">
        <f t="shared" ca="1" si="284"/>
        <v/>
      </c>
      <c r="AA605" s="316" t="str">
        <f t="shared" ca="1" si="285"/>
        <v/>
      </c>
      <c r="AC605" s="310" t="e">
        <f t="shared" ca="1" si="286"/>
        <v>#N/A</v>
      </c>
      <c r="AD605" s="323" t="e">
        <f t="shared" ca="1" si="287"/>
        <v>#N/A</v>
      </c>
      <c r="AE605" s="324">
        <f t="shared" ca="1" si="266"/>
        <v>1470.0449802699109</v>
      </c>
      <c r="AG605" s="306">
        <f t="shared" ca="1" si="288"/>
        <v>39.996683827410976</v>
      </c>
      <c r="AH605" s="304">
        <f t="shared" ca="1" si="289"/>
        <v>49.16427200145079</v>
      </c>
    </row>
    <row r="606" spans="1:34" x14ac:dyDescent="0.2">
      <c r="A606" s="347">
        <f t="shared" ca="1" si="267"/>
        <v>0.01</v>
      </c>
      <c r="B606" s="304">
        <f t="shared" ca="1" si="268"/>
        <v>6.0199999999999161</v>
      </c>
      <c r="D606" s="306">
        <f t="shared" ca="1" si="269"/>
        <v>17.40736906464743</v>
      </c>
      <c r="E606" s="307">
        <f t="shared" ca="1" si="270"/>
        <v>35.884915524950273</v>
      </c>
      <c r="F606" s="304">
        <f t="shared" ca="1" si="271"/>
        <v>39.884127920585918</v>
      </c>
      <c r="G606" s="306">
        <f t="shared" ca="1" si="272"/>
        <v>174.5186512550531</v>
      </c>
      <c r="H606" s="307">
        <f t="shared" ca="1" si="273"/>
        <v>458.0190914613753</v>
      </c>
      <c r="I606" s="304">
        <f t="shared" ca="1" si="274"/>
        <v>490.14104886143389</v>
      </c>
      <c r="J606" s="306">
        <f t="shared" ca="1" si="275"/>
        <v>530.24536096205964</v>
      </c>
      <c r="K606" s="307">
        <f t="shared" ca="1" si="276"/>
        <v>1474.6233769387484</v>
      </c>
      <c r="L606" s="304">
        <f t="shared" ca="1" si="261"/>
        <v>1567.0591075757236</v>
      </c>
      <c r="M606" s="306">
        <f t="shared" ca="1" si="277"/>
        <v>1.2067502822376035</v>
      </c>
      <c r="N606" s="304">
        <f t="shared" ca="1" si="278"/>
        <v>69.141698098435597</v>
      </c>
      <c r="P606" s="310">
        <f t="shared" ca="1" si="279"/>
        <v>16</v>
      </c>
      <c r="Q606" s="304">
        <f t="shared" ca="1" si="280"/>
        <v>2045.0883034257938</v>
      </c>
      <c r="R606" s="306">
        <f t="shared" ca="1" si="281"/>
        <v>1.2298632130356095</v>
      </c>
      <c r="S606" s="307">
        <f t="shared" ca="1" si="282"/>
        <v>12.463833277736912</v>
      </c>
      <c r="T606" s="304">
        <f t="shared" ca="1" si="262"/>
        <v>122.27020445459911</v>
      </c>
      <c r="U606" s="311">
        <f t="shared" ca="1" si="263"/>
        <v>0</v>
      </c>
      <c r="V606" s="306">
        <f t="shared" ca="1" si="264"/>
        <v>1.0567629506192091</v>
      </c>
      <c r="W606" s="304">
        <f t="shared" ca="1" si="265"/>
        <v>1437.2967896631635</v>
      </c>
      <c r="Y606" s="314" t="str">
        <f t="shared" ca="1" si="283"/>
        <v/>
      </c>
      <c r="Z606" s="315" t="str">
        <f t="shared" ca="1" si="284"/>
        <v/>
      </c>
      <c r="AA606" s="316" t="str">
        <f t="shared" ca="1" si="285"/>
        <v/>
      </c>
      <c r="AC606" s="310" t="e">
        <f t="shared" ca="1" si="286"/>
        <v>#N/A</v>
      </c>
      <c r="AD606" s="323" t="e">
        <f t="shared" ca="1" si="287"/>
        <v>#N/A</v>
      </c>
      <c r="AE606" s="324">
        <f t="shared" ca="1" si="266"/>
        <v>1474.6233769387484</v>
      </c>
      <c r="AG606" s="306">
        <f t="shared" ca="1" si="288"/>
        <v>39.730940943870998</v>
      </c>
      <c r="AH606" s="304">
        <f t="shared" ca="1" si="289"/>
        <v>48.898280159788712</v>
      </c>
    </row>
    <row r="607" spans="1:34" x14ac:dyDescent="0.2">
      <c r="A607" s="347">
        <f t="shared" ca="1" si="267"/>
        <v>0.01</v>
      </c>
      <c r="B607" s="304">
        <f t="shared" ca="1" si="268"/>
        <v>6.0299999999999159</v>
      </c>
      <c r="D607" s="306">
        <f t="shared" ca="1" si="269"/>
        <v>17.316169918234976</v>
      </c>
      <c r="E607" s="307">
        <f t="shared" ca="1" si="270"/>
        <v>35.635781046919142</v>
      </c>
      <c r="F607" s="304">
        <f t="shared" ca="1" si="271"/>
        <v>39.620179599052143</v>
      </c>
      <c r="G607" s="306">
        <f t="shared" ca="1" si="272"/>
        <v>174.69181295423544</v>
      </c>
      <c r="H607" s="307">
        <f t="shared" ca="1" si="273"/>
        <v>458.3754492718445</v>
      </c>
      <c r="I607" s="304">
        <f t="shared" ca="1" si="274"/>
        <v>490.5357092082113</v>
      </c>
      <c r="J607" s="306">
        <f t="shared" ca="1" si="275"/>
        <v>531.99141328310611</v>
      </c>
      <c r="K607" s="307">
        <f t="shared" ca="1" si="276"/>
        <v>1479.2053496424144</v>
      </c>
      <c r="L607" s="304">
        <f t="shared" ca="1" si="261"/>
        <v>1571.9616185574296</v>
      </c>
      <c r="M607" s="306">
        <f t="shared" ca="1" si="277"/>
        <v>1.2066790758175383</v>
      </c>
      <c r="N607" s="304">
        <f t="shared" ca="1" si="278"/>
        <v>69.137618271091625</v>
      </c>
      <c r="P607" s="310">
        <f t="shared" ca="1" si="279"/>
        <v>16</v>
      </c>
      <c r="Q607" s="304">
        <f t="shared" ca="1" si="280"/>
        <v>2042.8529363784855</v>
      </c>
      <c r="R607" s="306">
        <f t="shared" ca="1" si="281"/>
        <v>1.2285189211072312</v>
      </c>
      <c r="S607" s="307">
        <f t="shared" ca="1" si="282"/>
        <v>12.45154808852584</v>
      </c>
      <c r="T607" s="304">
        <f t="shared" ca="1" si="262"/>
        <v>122.1496867484385</v>
      </c>
      <c r="U607" s="311">
        <f t="shared" ca="1" si="263"/>
        <v>0</v>
      </c>
      <c r="V607" s="306">
        <f t="shared" ca="1" si="264"/>
        <v>1.0562762019064058</v>
      </c>
      <c r="W607" s="304">
        <f t="shared" ca="1" si="265"/>
        <v>1438.9492466058123</v>
      </c>
      <c r="Y607" s="314" t="str">
        <f t="shared" ca="1" si="283"/>
        <v/>
      </c>
      <c r="Z607" s="315" t="str">
        <f t="shared" ca="1" si="284"/>
        <v/>
      </c>
      <c r="AA607" s="316" t="str">
        <f t="shared" ca="1" si="285"/>
        <v/>
      </c>
      <c r="AC607" s="310" t="e">
        <f t="shared" ca="1" si="286"/>
        <v>#N/A</v>
      </c>
      <c r="AD607" s="323" t="e">
        <f t="shared" ca="1" si="287"/>
        <v>#N/A</v>
      </c>
      <c r="AE607" s="324">
        <f t="shared" ca="1" si="266"/>
        <v>1479.2053496424144</v>
      </c>
      <c r="AG607" s="306">
        <f t="shared" ca="1" si="288"/>
        <v>39.465910318253577</v>
      </c>
      <c r="AH607" s="304">
        <f t="shared" ca="1" si="289"/>
        <v>48.633000684737738</v>
      </c>
    </row>
    <row r="608" spans="1:34" x14ac:dyDescent="0.2">
      <c r="A608" s="347">
        <f t="shared" ca="1" si="267"/>
        <v>0.01</v>
      </c>
      <c r="B608" s="304">
        <f t="shared" ca="1" si="268"/>
        <v>6.0399999999999157</v>
      </c>
      <c r="D608" s="306">
        <f t="shared" ca="1" si="269"/>
        <v>17.225187382445931</v>
      </c>
      <c r="E608" s="307">
        <f t="shared" ca="1" si="270"/>
        <v>35.387327062423907</v>
      </c>
      <c r="F608" s="304">
        <f t="shared" ca="1" si="271"/>
        <v>39.356956144795213</v>
      </c>
      <c r="G608" s="306">
        <f t="shared" ca="1" si="272"/>
        <v>174.8640648280599</v>
      </c>
      <c r="H608" s="307">
        <f t="shared" ca="1" si="273"/>
        <v>458.72932254246876</v>
      </c>
      <c r="I608" s="304">
        <f t="shared" ca="1" si="274"/>
        <v>490.92772637982495</v>
      </c>
      <c r="J608" s="306">
        <f t="shared" ca="1" si="275"/>
        <v>533.73919267201757</v>
      </c>
      <c r="K608" s="307">
        <f t="shared" ca="1" si="276"/>
        <v>1483.790873501486</v>
      </c>
      <c r="L608" s="304">
        <f t="shared" ca="1" si="261"/>
        <v>1576.8680610883332</v>
      </c>
      <c r="M608" s="306">
        <f t="shared" ca="1" si="277"/>
        <v>1.2066079129612606</v>
      </c>
      <c r="N608" s="304">
        <f t="shared" ca="1" si="278"/>
        <v>69.133540939768807</v>
      </c>
      <c r="P608" s="310">
        <f t="shared" ca="1" si="279"/>
        <v>16</v>
      </c>
      <c r="Q608" s="304">
        <f t="shared" ca="1" si="280"/>
        <v>2040.6175693311773</v>
      </c>
      <c r="R608" s="306">
        <f t="shared" ca="1" si="281"/>
        <v>1.2271746291788526</v>
      </c>
      <c r="S608" s="307">
        <f t="shared" ca="1" si="282"/>
        <v>12.43927634223405</v>
      </c>
      <c r="T608" s="304">
        <f t="shared" ca="1" si="262"/>
        <v>122.02930091731604</v>
      </c>
      <c r="U608" s="311">
        <f t="shared" ca="1" si="263"/>
        <v>0</v>
      </c>
      <c r="V608" s="306">
        <f t="shared" ca="1" si="264"/>
        <v>1.0557892838147818</v>
      </c>
      <c r="W608" s="304">
        <f t="shared" ca="1" si="265"/>
        <v>1440.5856889545835</v>
      </c>
      <c r="Y608" s="314" t="str">
        <f t="shared" ca="1" si="283"/>
        <v/>
      </c>
      <c r="Z608" s="315" t="str">
        <f t="shared" ca="1" si="284"/>
        <v/>
      </c>
      <c r="AA608" s="316" t="str">
        <f t="shared" ca="1" si="285"/>
        <v/>
      </c>
      <c r="AC608" s="310" t="e">
        <f t="shared" ca="1" si="286"/>
        <v>#N/A</v>
      </c>
      <c r="AD608" s="323" t="e">
        <f t="shared" ca="1" si="287"/>
        <v>#N/A</v>
      </c>
      <c r="AE608" s="324">
        <f t="shared" ca="1" si="266"/>
        <v>1483.790873501486</v>
      </c>
      <c r="AG608" s="306">
        <f t="shared" ca="1" si="288"/>
        <v>39.20159285472517</v>
      </c>
      <c r="AH608" s="304">
        <f t="shared" ca="1" si="289"/>
        <v>48.368434478987339</v>
      </c>
    </row>
    <row r="609" spans="1:34" x14ac:dyDescent="0.2">
      <c r="A609" s="347">
        <f t="shared" ca="1" si="267"/>
        <v>0.01</v>
      </c>
      <c r="B609" s="304">
        <f t="shared" ca="1" si="268"/>
        <v>6.0499999999999154</v>
      </c>
      <c r="D609" s="306">
        <f t="shared" ca="1" si="269"/>
        <v>17.134421961971324</v>
      </c>
      <c r="E609" s="307">
        <f t="shared" ca="1" si="270"/>
        <v>35.139554309517713</v>
      </c>
      <c r="F609" s="304">
        <f t="shared" ca="1" si="271"/>
        <v>39.094458597637981</v>
      </c>
      <c r="G609" s="306">
        <f t="shared" ca="1" si="272"/>
        <v>175.03540904767962</v>
      </c>
      <c r="H609" s="307">
        <f t="shared" ca="1" si="273"/>
        <v>459.08071808556394</v>
      </c>
      <c r="I609" s="304">
        <f t="shared" ca="1" si="274"/>
        <v>491.31710751656669</v>
      </c>
      <c r="J609" s="306">
        <f t="shared" ca="1" si="275"/>
        <v>535.48869004139624</v>
      </c>
      <c r="K609" s="307">
        <f t="shared" ca="1" si="276"/>
        <v>1488.3799237046262</v>
      </c>
      <c r="L609" s="304">
        <f t="shared" ca="1" si="261"/>
        <v>1581.7784087694581</v>
      </c>
      <c r="M609" s="306">
        <f t="shared" ca="1" si="277"/>
        <v>1.2065367932261681</v>
      </c>
      <c r="N609" s="304">
        <f t="shared" ca="1" si="278"/>
        <v>69.129466079107928</v>
      </c>
      <c r="P609" s="310">
        <f t="shared" ca="1" si="279"/>
        <v>16</v>
      </c>
      <c r="Q609" s="304">
        <f t="shared" ca="1" si="280"/>
        <v>2038.382202283869</v>
      </c>
      <c r="R609" s="306">
        <f t="shared" ca="1" si="281"/>
        <v>1.2258303372504742</v>
      </c>
      <c r="S609" s="307">
        <f t="shared" ca="1" si="282"/>
        <v>12.427018038861545</v>
      </c>
      <c r="T609" s="304">
        <f t="shared" ca="1" si="262"/>
        <v>121.90904696123177</v>
      </c>
      <c r="U609" s="311">
        <f t="shared" ca="1" si="263"/>
        <v>0</v>
      </c>
      <c r="V609" s="306">
        <f t="shared" ca="1" si="264"/>
        <v>1.0553021993271019</v>
      </c>
      <c r="W609" s="304">
        <f t="shared" ca="1" si="265"/>
        <v>1442.2061433404606</v>
      </c>
      <c r="Y609" s="314" t="str">
        <f t="shared" ca="1" si="283"/>
        <v/>
      </c>
      <c r="Z609" s="315" t="str">
        <f t="shared" ca="1" si="284"/>
        <v/>
      </c>
      <c r="AA609" s="316" t="str">
        <f t="shared" ca="1" si="285"/>
        <v/>
      </c>
      <c r="AC609" s="310" t="e">
        <f t="shared" ca="1" si="286"/>
        <v>#N/A</v>
      </c>
      <c r="AD609" s="323" t="e">
        <f t="shared" ca="1" si="287"/>
        <v>#N/A</v>
      </c>
      <c r="AE609" s="324">
        <f t="shared" ca="1" si="266"/>
        <v>1488.3799237046262</v>
      </c>
      <c r="AG609" s="306">
        <f t="shared" ca="1" si="288"/>
        <v>38.937989419667076</v>
      </c>
      <c r="AH609" s="304">
        <f t="shared" ca="1" si="289"/>
        <v>48.104582407450209</v>
      </c>
    </row>
    <row r="610" spans="1:34" x14ac:dyDescent="0.2">
      <c r="A610" s="347">
        <f t="shared" ca="1" si="267"/>
        <v>0.01</v>
      </c>
      <c r="B610" s="304">
        <f t="shared" ca="1" si="268"/>
        <v>6.0599999999999152</v>
      </c>
      <c r="D610" s="306">
        <f t="shared" ca="1" si="269"/>
        <v>17.04387414762164</v>
      </c>
      <c r="E610" s="307">
        <f t="shared" ca="1" si="270"/>
        <v>34.89246349136549</v>
      </c>
      <c r="F610" s="304">
        <f t="shared" ca="1" si="271"/>
        <v>38.832687963315635</v>
      </c>
      <c r="G610" s="306">
        <f t="shared" ca="1" si="272"/>
        <v>175.20584778915583</v>
      </c>
      <c r="H610" s="307">
        <f t="shared" ca="1" si="273"/>
        <v>459.4296427204776</v>
      </c>
      <c r="I610" s="304">
        <f t="shared" ca="1" si="274"/>
        <v>491.70385976701721</v>
      </c>
      <c r="J610" s="306">
        <f t="shared" ca="1" si="275"/>
        <v>537.23989632558039</v>
      </c>
      <c r="K610" s="307">
        <f t="shared" ca="1" si="276"/>
        <v>1492.9724755086563</v>
      </c>
      <c r="L610" s="304">
        <f t="shared" ca="1" si="261"/>
        <v>1586.6926352732482</v>
      </c>
      <c r="M610" s="306">
        <f t="shared" ca="1" si="277"/>
        <v>1.206465716172354</v>
      </c>
      <c r="N610" s="304">
        <f t="shared" ca="1" si="278"/>
        <v>69.125393663904148</v>
      </c>
      <c r="P610" s="310">
        <f t="shared" ca="1" si="279"/>
        <v>16</v>
      </c>
      <c r="Q610" s="304">
        <f t="shared" ca="1" si="280"/>
        <v>2036.1468352365607</v>
      </c>
      <c r="R610" s="306">
        <f t="shared" ca="1" si="281"/>
        <v>1.2244860453220958</v>
      </c>
      <c r="S610" s="307">
        <f t="shared" ca="1" si="282"/>
        <v>12.414773178408325</v>
      </c>
      <c r="T610" s="304">
        <f t="shared" ca="1" si="262"/>
        <v>121.78892488018568</v>
      </c>
      <c r="U610" s="311">
        <f t="shared" ca="1" si="263"/>
        <v>0</v>
      </c>
      <c r="V610" s="306">
        <f t="shared" ca="1" si="264"/>
        <v>1.0548149514142695</v>
      </c>
      <c r="W610" s="304">
        <f t="shared" ca="1" si="265"/>
        <v>1443.8106368391202</v>
      </c>
      <c r="Y610" s="314" t="str">
        <f t="shared" ca="1" si="283"/>
        <v/>
      </c>
      <c r="Z610" s="315" t="str">
        <f t="shared" ca="1" si="284"/>
        <v/>
      </c>
      <c r="AA610" s="316" t="str">
        <f t="shared" ca="1" si="285"/>
        <v/>
      </c>
      <c r="AC610" s="310" t="e">
        <f t="shared" ca="1" si="286"/>
        <v>#N/A</v>
      </c>
      <c r="AD610" s="323" t="e">
        <f t="shared" ca="1" si="287"/>
        <v>#N/A</v>
      </c>
      <c r="AE610" s="324">
        <f t="shared" ca="1" si="266"/>
        <v>1492.9724755086563</v>
      </c>
      <c r="AG610" s="306">
        <f t="shared" ca="1" si="288"/>
        <v>38.675100841946161</v>
      </c>
      <c r="AH610" s="304">
        <f t="shared" ca="1" si="289"/>
        <v>47.841445297532871</v>
      </c>
    </row>
    <row r="611" spans="1:34" x14ac:dyDescent="0.2">
      <c r="A611" s="347">
        <f t="shared" ca="1" si="267"/>
        <v>0.01</v>
      </c>
      <c r="B611" s="304">
        <f t="shared" ca="1" si="268"/>
        <v>6.069999999999915</v>
      </c>
      <c r="D611" s="306">
        <f t="shared" ca="1" si="269"/>
        <v>16.953544416417955</v>
      </c>
      <c r="E611" s="307">
        <f t="shared" ca="1" si="270"/>
        <v>34.646055276499368</v>
      </c>
      <c r="F611" s="304">
        <f t="shared" ca="1" si="271"/>
        <v>38.571645213831701</v>
      </c>
      <c r="G611" s="306">
        <f t="shared" ca="1" si="272"/>
        <v>175.37538323332001</v>
      </c>
      <c r="H611" s="307">
        <f t="shared" ca="1" si="273"/>
        <v>459.7761032732426</v>
      </c>
      <c r="I611" s="304">
        <f t="shared" ca="1" si="274"/>
        <v>492.08799028767334</v>
      </c>
      <c r="J611" s="306">
        <f t="shared" ca="1" si="275"/>
        <v>538.99280248069272</v>
      </c>
      <c r="K611" s="307">
        <f t="shared" ca="1" si="276"/>
        <v>1497.5685042386249</v>
      </c>
      <c r="L611" s="304">
        <f t="shared" ca="1" si="261"/>
        <v>1591.61071434365</v>
      </c>
      <c r="M611" s="306">
        <f t="shared" ca="1" si="277"/>
        <v>1.2063946813625834</v>
      </c>
      <c r="N611" s="304">
        <f t="shared" ca="1" si="278"/>
        <v>69.121323669105792</v>
      </c>
      <c r="P611" s="310">
        <f t="shared" ca="1" si="279"/>
        <v>16</v>
      </c>
      <c r="Q611" s="304">
        <f t="shared" ca="1" si="280"/>
        <v>2033.9114681892524</v>
      </c>
      <c r="R611" s="306">
        <f t="shared" ca="1" si="281"/>
        <v>1.2231417533937172</v>
      </c>
      <c r="S611" s="307">
        <f t="shared" ca="1" si="282"/>
        <v>12.402541760874387</v>
      </c>
      <c r="T611" s="304">
        <f t="shared" ca="1" si="262"/>
        <v>121.66893467417775</v>
      </c>
      <c r="U611" s="311">
        <f t="shared" ca="1" si="263"/>
        <v>0</v>
      </c>
      <c r="V611" s="306">
        <f t="shared" ca="1" si="264"/>
        <v>1.0543275430353338</v>
      </c>
      <c r="W611" s="304">
        <f t="shared" ca="1" si="265"/>
        <v>1445.3991969651854</v>
      </c>
      <c r="Y611" s="314" t="str">
        <f t="shared" ca="1" si="283"/>
        <v/>
      </c>
      <c r="Z611" s="315" t="str">
        <f t="shared" ca="1" si="284"/>
        <v/>
      </c>
      <c r="AA611" s="316" t="str">
        <f t="shared" ca="1" si="285"/>
        <v/>
      </c>
      <c r="AC611" s="310" t="e">
        <f t="shared" ca="1" si="286"/>
        <v>#N/A</v>
      </c>
      <c r="AD611" s="323" t="e">
        <f t="shared" ca="1" si="287"/>
        <v>#N/A</v>
      </c>
      <c r="AE611" s="324">
        <f t="shared" ca="1" si="266"/>
        <v>1497.5685042386249</v>
      </c>
      <c r="AG611" s="306">
        <f t="shared" ca="1" si="288"/>
        <v>38.412927913185776</v>
      </c>
      <c r="AH611" s="304">
        <f t="shared" ca="1" si="289"/>
        <v>47.579023939406575</v>
      </c>
    </row>
    <row r="612" spans="1:34" x14ac:dyDescent="0.2">
      <c r="A612" s="347">
        <f t="shared" ca="1" si="267"/>
        <v>0.01</v>
      </c>
      <c r="B612" s="304">
        <f t="shared" ca="1" si="268"/>
        <v>6.0799999999999148</v>
      </c>
      <c r="D612" s="306">
        <f t="shared" ca="1" si="269"/>
        <v>16.863433231683278</v>
      </c>
      <c r="E612" s="307">
        <f t="shared" ca="1" si="270"/>
        <v>34.400330299074447</v>
      </c>
      <c r="F612" s="304">
        <f t="shared" ca="1" si="271"/>
        <v>38.311331287816913</v>
      </c>
      <c r="G612" s="306">
        <f t="shared" ca="1" si="272"/>
        <v>175.54401756563684</v>
      </c>
      <c r="H612" s="307">
        <f t="shared" ca="1" si="273"/>
        <v>460.12010657623335</v>
      </c>
      <c r="I612" s="304">
        <f t="shared" ca="1" si="274"/>
        <v>492.4695062425784</v>
      </c>
      <c r="J612" s="306">
        <f t="shared" ca="1" si="275"/>
        <v>540.74739948468755</v>
      </c>
      <c r="K612" s="307">
        <f t="shared" ca="1" si="276"/>
        <v>1502.1679852878722</v>
      </c>
      <c r="L612" s="304">
        <f t="shared" ca="1" si="261"/>
        <v>1596.5326197961874</v>
      </c>
      <c r="M612" s="306">
        <f t="shared" ca="1" si="277"/>
        <v>1.2063236883622699</v>
      </c>
      <c r="N612" s="304">
        <f t="shared" ca="1" si="278"/>
        <v>69.117256069812854</v>
      </c>
      <c r="P612" s="310">
        <f t="shared" ca="1" si="279"/>
        <v>16</v>
      </c>
      <c r="Q612" s="304">
        <f t="shared" ca="1" si="280"/>
        <v>2031.6761011419442</v>
      </c>
      <c r="R612" s="306">
        <f t="shared" ca="1" si="281"/>
        <v>1.2217974614653389</v>
      </c>
      <c r="S612" s="307">
        <f t="shared" ca="1" si="282"/>
        <v>12.390323786259733</v>
      </c>
      <c r="T612" s="304">
        <f t="shared" ca="1" si="262"/>
        <v>121.54907634320799</v>
      </c>
      <c r="U612" s="311">
        <f t="shared" ca="1" si="263"/>
        <v>0</v>
      </c>
      <c r="V612" s="306">
        <f t="shared" ca="1" si="264"/>
        <v>1.0538399771374953</v>
      </c>
      <c r="W612" s="304">
        <f t="shared" ca="1" si="265"/>
        <v>1446.9718516664964</v>
      </c>
      <c r="Y612" s="314" t="str">
        <f t="shared" ca="1" si="283"/>
        <v/>
      </c>
      <c r="Z612" s="315" t="str">
        <f t="shared" ca="1" si="284"/>
        <v/>
      </c>
      <c r="AA612" s="316" t="str">
        <f t="shared" ca="1" si="285"/>
        <v/>
      </c>
      <c r="AC612" s="310" t="e">
        <f t="shared" ca="1" si="286"/>
        <v>#N/A</v>
      </c>
      <c r="AD612" s="323" t="e">
        <f t="shared" ca="1" si="287"/>
        <v>#N/A</v>
      </c>
      <c r="AE612" s="324">
        <f t="shared" ca="1" si="266"/>
        <v>1502.1679852878722</v>
      </c>
      <c r="AG612" s="306">
        <f t="shared" ca="1" si="288"/>
        <v>38.151471388037137</v>
      </c>
      <c r="AH612" s="304">
        <f t="shared" ca="1" si="289"/>
        <v>47.317319086278545</v>
      </c>
    </row>
    <row r="613" spans="1:34" x14ac:dyDescent="0.2">
      <c r="A613" s="347">
        <f t="shared" ca="1" si="267"/>
        <v>0.01</v>
      </c>
      <c r="B613" s="304">
        <f t="shared" ca="1" si="268"/>
        <v>6.0899999999999146</v>
      </c>
      <c r="D613" s="306">
        <f t="shared" ca="1" si="269"/>
        <v>16.773541043134298</v>
      </c>
      <c r="E613" s="307">
        <f t="shared" ca="1" si="270"/>
        <v>34.155289159125203</v>
      </c>
      <c r="F613" s="304">
        <f t="shared" ca="1" si="271"/>
        <v>38.051747090891453</v>
      </c>
      <c r="G613" s="306">
        <f t="shared" ca="1" si="272"/>
        <v>175.71175297606817</v>
      </c>
      <c r="H613" s="307">
        <f t="shared" ca="1" si="273"/>
        <v>460.46165946782463</v>
      </c>
      <c r="I613" s="304">
        <f t="shared" ca="1" si="274"/>
        <v>492.84841480295512</v>
      </c>
      <c r="J613" s="306">
        <f t="shared" ca="1" si="275"/>
        <v>542.50367833739608</v>
      </c>
      <c r="K613" s="307">
        <f t="shared" ca="1" si="276"/>
        <v>1506.7708941180924</v>
      </c>
      <c r="L613" s="304">
        <f t="shared" ca="1" si="261"/>
        <v>1601.4583255180389</v>
      </c>
      <c r="M613" s="306">
        <f t="shared" ca="1" si="277"/>
        <v>1.2062527367394524</v>
      </c>
      <c r="N613" s="304">
        <f t="shared" ca="1" si="278"/>
        <v>69.113190841275809</v>
      </c>
      <c r="P613" s="310">
        <f t="shared" ca="1" si="279"/>
        <v>16</v>
      </c>
      <c r="Q613" s="304">
        <f t="shared" ca="1" si="280"/>
        <v>2029.4407340946359</v>
      </c>
      <c r="R613" s="306">
        <f t="shared" ca="1" si="281"/>
        <v>1.2204531695369603</v>
      </c>
      <c r="S613" s="307">
        <f t="shared" ca="1" si="282"/>
        <v>12.378119254564364</v>
      </c>
      <c r="T613" s="304">
        <f t="shared" ca="1" si="262"/>
        <v>121.42934988727642</v>
      </c>
      <c r="U613" s="311">
        <f t="shared" ca="1" si="263"/>
        <v>0</v>
      </c>
      <c r="V613" s="306">
        <f t="shared" ca="1" si="264"/>
        <v>1.0533522566561146</v>
      </c>
      <c r="W613" s="304">
        <f t="shared" ca="1" si="265"/>
        <v>1448.5286293184083</v>
      </c>
      <c r="Y613" s="314" t="str">
        <f t="shared" ca="1" si="283"/>
        <v/>
      </c>
      <c r="Z613" s="315" t="str">
        <f t="shared" ca="1" si="284"/>
        <v/>
      </c>
      <c r="AA613" s="316" t="str">
        <f t="shared" ca="1" si="285"/>
        <v/>
      </c>
      <c r="AC613" s="310" t="e">
        <f t="shared" ca="1" si="286"/>
        <v>#N/A</v>
      </c>
      <c r="AD613" s="323" t="e">
        <f t="shared" ca="1" si="287"/>
        <v>#N/A</v>
      </c>
      <c r="AE613" s="324">
        <f t="shared" ca="1" si="266"/>
        <v>1506.7708941180924</v>
      </c>
      <c r="AG613" s="306">
        <f t="shared" ca="1" si="288"/>
        <v>37.890731984451399</v>
      </c>
      <c r="AH613" s="304">
        <f t="shared" ca="1" si="289"/>
        <v>47.056331454664026</v>
      </c>
    </row>
    <row r="614" spans="1:34" x14ac:dyDescent="0.2">
      <c r="A614" s="347">
        <f t="shared" ca="1" si="267"/>
        <v>0.01</v>
      </c>
      <c r="B614" s="304">
        <f t="shared" ca="1" si="268"/>
        <v>6.0999999999999144</v>
      </c>
      <c r="D614" s="306">
        <f t="shared" ca="1" si="269"/>
        <v>16.683868286973137</v>
      </c>
      <c r="E614" s="307">
        <f t="shared" ca="1" si="270"/>
        <v>33.910932422821965</v>
      </c>
      <c r="F614" s="304">
        <f t="shared" ca="1" si="271"/>
        <v>37.79289349602999</v>
      </c>
      <c r="G614" s="306">
        <f t="shared" ca="1" si="272"/>
        <v>175.87859165893789</v>
      </c>
      <c r="H614" s="307">
        <f t="shared" ca="1" si="273"/>
        <v>460.80076879205285</v>
      </c>
      <c r="I614" s="304">
        <f t="shared" ca="1" si="274"/>
        <v>493.22472314684143</v>
      </c>
      <c r="J614" s="306">
        <f t="shared" ca="1" si="275"/>
        <v>544.26163006057106</v>
      </c>
      <c r="K614" s="307">
        <f t="shared" ca="1" si="276"/>
        <v>1511.3772062593919</v>
      </c>
      <c r="L614" s="304">
        <f t="shared" ca="1" si="261"/>
        <v>1606.3878054681049</v>
      </c>
      <c r="M614" s="306">
        <f t="shared" ca="1" si="277"/>
        <v>1.2061818260647734</v>
      </c>
      <c r="N614" s="304">
        <f t="shared" ca="1" si="278"/>
        <v>69.109127958894277</v>
      </c>
      <c r="P614" s="310">
        <f t="shared" ca="1" si="279"/>
        <v>16</v>
      </c>
      <c r="Q614" s="304">
        <f t="shared" ca="1" si="280"/>
        <v>2027.2053670473276</v>
      </c>
      <c r="R614" s="306">
        <f t="shared" ca="1" si="281"/>
        <v>1.2191088776085819</v>
      </c>
      <c r="S614" s="307">
        <f t="shared" ca="1" si="282"/>
        <v>12.365928165788278</v>
      </c>
      <c r="T614" s="304">
        <f t="shared" ca="1" si="262"/>
        <v>121.30975530638301</v>
      </c>
      <c r="U614" s="311">
        <f t="shared" ca="1" si="263"/>
        <v>0</v>
      </c>
      <c r="V614" s="306">
        <f t="shared" ca="1" si="264"/>
        <v>1.0528643845147188</v>
      </c>
      <c r="W614" s="304">
        <f t="shared" ca="1" si="265"/>
        <v>1450.069558718111</v>
      </c>
      <c r="Y614" s="314" t="str">
        <f t="shared" ca="1" si="283"/>
        <v/>
      </c>
      <c r="Z614" s="315" t="str">
        <f t="shared" ca="1" si="284"/>
        <v/>
      </c>
      <c r="AA614" s="316" t="str">
        <f t="shared" ca="1" si="285"/>
        <v/>
      </c>
      <c r="AC614" s="310" t="e">
        <f t="shared" ca="1" si="286"/>
        <v>#N/A</v>
      </c>
      <c r="AD614" s="323" t="e">
        <f t="shared" ca="1" si="287"/>
        <v>#N/A</v>
      </c>
      <c r="AE614" s="324">
        <f t="shared" ca="1" si="266"/>
        <v>1511.3772062593919</v>
      </c>
      <c r="AG614" s="306">
        <f t="shared" ca="1" si="288"/>
        <v>37.630710383951794</v>
      </c>
      <c r="AH614" s="304">
        <f t="shared" ca="1" si="289"/>
        <v>46.796061724658337</v>
      </c>
    </row>
    <row r="615" spans="1:34" x14ac:dyDescent="0.2">
      <c r="A615" s="347">
        <f t="shared" ca="1" si="267"/>
        <v>0.01</v>
      </c>
      <c r="B615" s="304">
        <f t="shared" ca="1" si="268"/>
        <v>6.1099999999999142</v>
      </c>
      <c r="D615" s="306">
        <f t="shared" ca="1" si="269"/>
        <v>16.594415385979339</v>
      </c>
      <c r="E615" s="307">
        <f t="shared" ca="1" si="270"/>
        <v>33.667260622727738</v>
      </c>
      <c r="F615" s="304">
        <f t="shared" ca="1" si="271"/>
        <v>37.534771343929904</v>
      </c>
      <c r="G615" s="306">
        <f t="shared" ca="1" si="272"/>
        <v>176.04453581279768</v>
      </c>
      <c r="H615" s="307">
        <f t="shared" ca="1" si="273"/>
        <v>461.13744139828015</v>
      </c>
      <c r="I615" s="304">
        <f t="shared" ca="1" si="274"/>
        <v>493.59843845872899</v>
      </c>
      <c r="J615" s="306">
        <f t="shared" ca="1" si="275"/>
        <v>546.02124569792977</v>
      </c>
      <c r="K615" s="307">
        <f t="shared" ca="1" si="276"/>
        <v>1515.9868973103435</v>
      </c>
      <c r="L615" s="304">
        <f t="shared" ca="1" si="261"/>
        <v>1611.321033677076</v>
      </c>
      <c r="M615" s="306">
        <f t="shared" ca="1" si="277"/>
        <v>1.2061109559114549</v>
      </c>
      <c r="N615" s="304">
        <f t="shared" ca="1" si="278"/>
        <v>69.105067398215681</v>
      </c>
      <c r="P615" s="310">
        <f t="shared" ca="1" si="279"/>
        <v>16</v>
      </c>
      <c r="Q615" s="304">
        <f t="shared" ca="1" si="280"/>
        <v>2024.9700000000194</v>
      </c>
      <c r="R615" s="306">
        <f t="shared" ca="1" si="281"/>
        <v>1.2177645856802035</v>
      </c>
      <c r="S615" s="307">
        <f t="shared" ca="1" si="282"/>
        <v>12.353750519931475</v>
      </c>
      <c r="T615" s="304">
        <f t="shared" ca="1" si="262"/>
        <v>121.19029260052778</v>
      </c>
      <c r="U615" s="311">
        <f t="shared" ca="1" si="263"/>
        <v>0</v>
      </c>
      <c r="V615" s="306">
        <f t="shared" ca="1" si="264"/>
        <v>1.0523763636250103</v>
      </c>
      <c r="W615" s="304">
        <f t="shared" ca="1" si="265"/>
        <v>1451.594669078969</v>
      </c>
      <c r="Y615" s="314" t="str">
        <f t="shared" ca="1" si="283"/>
        <v/>
      </c>
      <c r="Z615" s="315" t="str">
        <f t="shared" ca="1" si="284"/>
        <v/>
      </c>
      <c r="AA615" s="316" t="str">
        <f t="shared" ca="1" si="285"/>
        <v/>
      </c>
      <c r="AC615" s="310" t="e">
        <f t="shared" ca="1" si="286"/>
        <v>#N/A</v>
      </c>
      <c r="AD615" s="323" t="e">
        <f t="shared" ca="1" si="287"/>
        <v>#N/A</v>
      </c>
      <c r="AE615" s="324">
        <f t="shared" ca="1" si="266"/>
        <v>1515.9868973103435</v>
      </c>
      <c r="AG615" s="306">
        <f t="shared" ca="1" si="288"/>
        <v>37.371407231906204</v>
      </c>
      <c r="AH615" s="304">
        <f t="shared" ca="1" si="289"/>
        <v>46.536510540209392</v>
      </c>
    </row>
    <row r="616" spans="1:34" x14ac:dyDescent="0.2">
      <c r="A616" s="347">
        <f t="shared" ca="1" si="267"/>
        <v>0.01</v>
      </c>
      <c r="B616" s="304">
        <f t="shared" ca="1" si="268"/>
        <v>6.119999999999914</v>
      </c>
      <c r="D616" s="306">
        <f t="shared" ca="1" si="269"/>
        <v>16.445896097005058</v>
      </c>
      <c r="E616" s="307">
        <f t="shared" ca="1" si="270"/>
        <v>33.268976650200358</v>
      </c>
      <c r="F616" s="304">
        <f t="shared" ca="1" si="271"/>
        <v>37.111889008578679</v>
      </c>
      <c r="G616" s="306">
        <f t="shared" ca="1" si="272"/>
        <v>176.20899477376773</v>
      </c>
      <c r="H616" s="307">
        <f t="shared" ca="1" si="273"/>
        <v>461.47013116478217</v>
      </c>
      <c r="I616" s="304">
        <f t="shared" ca="1" si="274"/>
        <v>493.96790563398241</v>
      </c>
      <c r="J616" s="306">
        <f t="shared" ca="1" si="275"/>
        <v>547.78251335086259</v>
      </c>
      <c r="K616" s="307">
        <f t="shared" ca="1" si="276"/>
        <v>1520.5999351731589</v>
      </c>
      <c r="L616" s="304">
        <f t="shared" ca="1" si="261"/>
        <v>1616.2579759375058</v>
      </c>
      <c r="M616" s="306">
        <f t="shared" ca="1" si="277"/>
        <v>1.2060401256169215</v>
      </c>
      <c r="N616" s="304">
        <f t="shared" ca="1" si="278"/>
        <v>69.101009121277244</v>
      </c>
      <c r="P616" s="310">
        <f t="shared" ca="1" si="279"/>
        <v>17</v>
      </c>
      <c r="Q616" s="304">
        <f t="shared" ca="1" si="280"/>
        <v>2020.6836656891867</v>
      </c>
      <c r="R616" s="306">
        <f t="shared" ca="1" si="281"/>
        <v>1.2151868950842351</v>
      </c>
      <c r="S616" s="307">
        <f t="shared" ca="1" si="282"/>
        <v>12.341598650980632</v>
      </c>
      <c r="T616" s="304">
        <f t="shared" ca="1" si="262"/>
        <v>121.07108276612001</v>
      </c>
      <c r="U616" s="311">
        <f t="shared" ca="1" si="263"/>
        <v>0</v>
      </c>
      <c r="V616" s="306">
        <f t="shared" ca="1" si="264"/>
        <v>1.0518881977084036</v>
      </c>
      <c r="W616" s="304">
        <f t="shared" ca="1" si="265"/>
        <v>1453.0942112708285</v>
      </c>
      <c r="Y616" s="314" t="str">
        <f t="shared" ca="1" si="283"/>
        <v/>
      </c>
      <c r="Z616" s="315" t="str">
        <f t="shared" ca="1" si="284"/>
        <v/>
      </c>
      <c r="AA616" s="316" t="str">
        <f t="shared" ca="1" si="285"/>
        <v/>
      </c>
      <c r="AC616" s="310" t="e">
        <f t="shared" ca="1" si="286"/>
        <v>#N/A</v>
      </c>
      <c r="AD616" s="323" t="e">
        <f t="shared" ca="1" si="287"/>
        <v>#N/A</v>
      </c>
      <c r="AE616" s="324">
        <f t="shared" ca="1" si="266"/>
        <v>1520.5999351731589</v>
      </c>
      <c r="AG616" s="306">
        <f t="shared" ca="1" si="288"/>
        <v>36.946593615206702</v>
      </c>
      <c r="AH616" s="304">
        <f t="shared" ca="1" si="289"/>
        <v>46.111448986797129</v>
      </c>
    </row>
    <row r="617" spans="1:34" x14ac:dyDescent="0.2">
      <c r="A617" s="347">
        <f t="shared" ca="1" si="267"/>
        <v>0.01</v>
      </c>
      <c r="B617" s="304">
        <f t="shared" ca="1" si="268"/>
        <v>6.1299999999999137</v>
      </c>
      <c r="D617" s="306">
        <f t="shared" ca="1" si="269"/>
        <v>16.29772552594142</v>
      </c>
      <c r="E617" s="307">
        <f t="shared" ca="1" si="270"/>
        <v>32.871779927294874</v>
      </c>
      <c r="F617" s="304">
        <f t="shared" ca="1" si="271"/>
        <v>36.690186329690789</v>
      </c>
      <c r="G617" s="306">
        <f t="shared" ca="1" si="272"/>
        <v>176.37197202902715</v>
      </c>
      <c r="H617" s="307">
        <f t="shared" ca="1" si="273"/>
        <v>461.79884896405514</v>
      </c>
      <c r="I617" s="304">
        <f t="shared" ca="1" si="274"/>
        <v>494.33313607519187</v>
      </c>
      <c r="J617" s="306">
        <f t="shared" ca="1" si="275"/>
        <v>549.54541818487655</v>
      </c>
      <c r="K617" s="307">
        <f t="shared" ca="1" si="276"/>
        <v>1525.2162800738031</v>
      </c>
      <c r="L617" s="304">
        <f t="shared" ca="1" si="261"/>
        <v>1621.1985898248743</v>
      </c>
      <c r="M617" s="306">
        <f t="shared" ca="1" si="277"/>
        <v>1.2059693345226197</v>
      </c>
      <c r="N617" s="304">
        <f t="shared" ca="1" si="278"/>
        <v>69.096953090346631</v>
      </c>
      <c r="P617" s="310">
        <f t="shared" ca="1" si="279"/>
        <v>17</v>
      </c>
      <c r="Q617" s="304">
        <f t="shared" ca="1" si="280"/>
        <v>2016.3973313783363</v>
      </c>
      <c r="R617" s="306">
        <f t="shared" ca="1" si="281"/>
        <v>1.2126092044882562</v>
      </c>
      <c r="S617" s="307">
        <f t="shared" ca="1" si="282"/>
        <v>12.32947255893575</v>
      </c>
      <c r="T617" s="304">
        <f t="shared" ca="1" si="262"/>
        <v>120.95212580315972</v>
      </c>
      <c r="U617" s="311">
        <f t="shared" ca="1" si="263"/>
        <v>0</v>
      </c>
      <c r="V617" s="306">
        <f t="shared" ca="1" si="264"/>
        <v>1.0513998912921489</v>
      </c>
      <c r="W617" s="304">
        <f t="shared" ca="1" si="265"/>
        <v>1454.5682341876397</v>
      </c>
      <c r="Y617" s="314" t="str">
        <f t="shared" ca="1" si="283"/>
        <v/>
      </c>
      <c r="Z617" s="315" t="str">
        <f t="shared" ca="1" si="284"/>
        <v/>
      </c>
      <c r="AA617" s="316" t="str">
        <f t="shared" ca="1" si="285"/>
        <v/>
      </c>
      <c r="AC617" s="310" t="e">
        <f t="shared" ca="1" si="286"/>
        <v>#N/A</v>
      </c>
      <c r="AD617" s="323" t="e">
        <f t="shared" ca="1" si="287"/>
        <v>#N/A</v>
      </c>
      <c r="AE617" s="324">
        <f t="shared" ca="1" si="266"/>
        <v>1525.2162800738031</v>
      </c>
      <c r="AG617" s="306">
        <f t="shared" ca="1" si="288"/>
        <v>36.522920256405413</v>
      </c>
      <c r="AH617" s="304">
        <f t="shared" ca="1" si="289"/>
        <v>45.687527784735238</v>
      </c>
    </row>
    <row r="618" spans="1:34" x14ac:dyDescent="0.2">
      <c r="A618" s="347">
        <f t="shared" ca="1" si="267"/>
        <v>0.01</v>
      </c>
      <c r="B618" s="304">
        <f t="shared" ca="1" si="268"/>
        <v>6.1399999999999135</v>
      </c>
      <c r="D618" s="306">
        <f t="shared" ca="1" si="269"/>
        <v>16.149904711704444</v>
      </c>
      <c r="E618" s="307">
        <f t="shared" ca="1" si="270"/>
        <v>32.475672269496727</v>
      </c>
      <c r="F618" s="304">
        <f t="shared" ca="1" si="271"/>
        <v>36.269666548686274</v>
      </c>
      <c r="G618" s="306">
        <f t="shared" ca="1" si="272"/>
        <v>176.5334710761442</v>
      </c>
      <c r="H618" s="307">
        <f t="shared" ca="1" si="273"/>
        <v>462.12360568675012</v>
      </c>
      <c r="I618" s="304">
        <f t="shared" ca="1" si="274"/>
        <v>494.69414120556831</v>
      </c>
      <c r="J618" s="306">
        <f t="shared" ca="1" si="275"/>
        <v>551.3099454004024</v>
      </c>
      <c r="K618" s="307">
        <f t="shared" ca="1" si="276"/>
        <v>1529.8358923470571</v>
      </c>
      <c r="L618" s="304">
        <f t="shared" ca="1" si="261"/>
        <v>1626.1428330287322</v>
      </c>
      <c r="M618" s="306">
        <f t="shared" ca="1" si="277"/>
        <v>1.2058985819739734</v>
      </c>
      <c r="N618" s="304">
        <f t="shared" ca="1" si="278"/>
        <v>69.092899267919407</v>
      </c>
      <c r="P618" s="310">
        <f t="shared" ca="1" si="279"/>
        <v>17</v>
      </c>
      <c r="Q618" s="304">
        <f t="shared" ca="1" si="280"/>
        <v>2012.1109970674859</v>
      </c>
      <c r="R618" s="306">
        <f t="shared" ca="1" si="281"/>
        <v>1.2100315138922773</v>
      </c>
      <c r="S618" s="307">
        <f t="shared" ca="1" si="282"/>
        <v>12.317372243796827</v>
      </c>
      <c r="T618" s="304">
        <f t="shared" ca="1" si="262"/>
        <v>120.83342171164688</v>
      </c>
      <c r="U618" s="311">
        <f t="shared" ca="1" si="263"/>
        <v>0</v>
      </c>
      <c r="V618" s="306">
        <f t="shared" ca="1" si="264"/>
        <v>1.0509114488846345</v>
      </c>
      <c r="W618" s="304">
        <f t="shared" ca="1" si="265"/>
        <v>1456.0167876941284</v>
      </c>
      <c r="Y618" s="314" t="str">
        <f t="shared" ca="1" si="283"/>
        <v/>
      </c>
      <c r="Z618" s="315" t="str">
        <f t="shared" ca="1" si="284"/>
        <v/>
      </c>
      <c r="AA618" s="316" t="str">
        <f t="shared" ca="1" si="285"/>
        <v/>
      </c>
      <c r="AC618" s="310" t="e">
        <f t="shared" ca="1" si="286"/>
        <v>#N/A</v>
      </c>
      <c r="AD618" s="323" t="e">
        <f t="shared" ca="1" si="287"/>
        <v>#N/A</v>
      </c>
      <c r="AE618" s="324">
        <f t="shared" ca="1" si="266"/>
        <v>1529.8358923470571</v>
      </c>
      <c r="AG618" s="306">
        <f t="shared" ca="1" si="288"/>
        <v>36.100389217600835</v>
      </c>
      <c r="AH618" s="304">
        <f t="shared" ca="1" si="289"/>
        <v>45.264748993896099</v>
      </c>
    </row>
    <row r="619" spans="1:34" x14ac:dyDescent="0.2">
      <c r="A619" s="347">
        <f t="shared" ca="1" si="267"/>
        <v>0.01</v>
      </c>
      <c r="B619" s="304">
        <f t="shared" ca="1" si="268"/>
        <v>6.1499999999999133</v>
      </c>
      <c r="D619" s="306">
        <f t="shared" ca="1" si="269"/>
        <v>16.002434661893396</v>
      </c>
      <c r="E619" s="307">
        <f t="shared" ca="1" si="270"/>
        <v>32.080655413052384</v>
      </c>
      <c r="F619" s="304">
        <f t="shared" ca="1" si="271"/>
        <v>35.850332869293901</v>
      </c>
      <c r="G619" s="306">
        <f t="shared" ca="1" si="272"/>
        <v>176.69349542276314</v>
      </c>
      <c r="H619" s="307">
        <f t="shared" ca="1" si="273"/>
        <v>462.44441224088064</v>
      </c>
      <c r="I619" s="304">
        <f t="shared" ca="1" si="274"/>
        <v>495.05093246809218</v>
      </c>
      <c r="J619" s="306">
        <f t="shared" ca="1" si="275"/>
        <v>553.07608023289697</v>
      </c>
      <c r="K619" s="307">
        <f t="shared" ca="1" si="276"/>
        <v>1534.4587324366953</v>
      </c>
      <c r="L619" s="304">
        <f t="shared" ca="1" si="261"/>
        <v>1631.0906633529037</v>
      </c>
      <c r="M619" s="306">
        <f t="shared" ca="1" si="277"/>
        <v>1.2058278673203384</v>
      </c>
      <c r="N619" s="304">
        <f t="shared" ca="1" si="278"/>
        <v>69.088847616716393</v>
      </c>
      <c r="P619" s="310">
        <f t="shared" ca="1" si="279"/>
        <v>17</v>
      </c>
      <c r="Q619" s="304">
        <f t="shared" ca="1" si="280"/>
        <v>2007.8246627566355</v>
      </c>
      <c r="R619" s="306">
        <f t="shared" ca="1" si="281"/>
        <v>1.2074538232962981</v>
      </c>
      <c r="S619" s="307">
        <f t="shared" ca="1" si="282"/>
        <v>12.305297705563865</v>
      </c>
      <c r="T619" s="304">
        <f t="shared" ca="1" si="262"/>
        <v>120.71497049158151</v>
      </c>
      <c r="U619" s="311">
        <f t="shared" ca="1" si="263"/>
        <v>0</v>
      </c>
      <c r="V619" s="306">
        <f t="shared" ca="1" si="264"/>
        <v>1.0504228749753903</v>
      </c>
      <c r="W619" s="304">
        <f t="shared" ca="1" si="265"/>
        <v>1457.4399226120474</v>
      </c>
      <c r="Y619" s="314" t="str">
        <f t="shared" ca="1" si="283"/>
        <v/>
      </c>
      <c r="Z619" s="315" t="str">
        <f t="shared" ca="1" si="284"/>
        <v/>
      </c>
      <c r="AA619" s="316" t="str">
        <f t="shared" ca="1" si="285"/>
        <v/>
      </c>
      <c r="AC619" s="310" t="e">
        <f t="shared" ca="1" si="286"/>
        <v>#N/A</v>
      </c>
      <c r="AD619" s="323" t="e">
        <f t="shared" ca="1" si="287"/>
        <v>#N/A</v>
      </c>
      <c r="AE619" s="324">
        <f t="shared" ca="1" si="266"/>
        <v>1534.4587324366953</v>
      </c>
      <c r="AG619" s="306">
        <f t="shared" ca="1" si="288"/>
        <v>35.679002475739246</v>
      </c>
      <c r="AH619" s="304">
        <f t="shared" ca="1" si="289"/>
        <v>44.843114589012018</v>
      </c>
    </row>
    <row r="620" spans="1:34" x14ac:dyDescent="0.2">
      <c r="A620" s="347">
        <f t="shared" ca="1" si="267"/>
        <v>0.01</v>
      </c>
      <c r="B620" s="304">
        <f t="shared" ca="1" si="268"/>
        <v>6.1599999999999131</v>
      </c>
      <c r="D620" s="306">
        <f t="shared" ca="1" si="269"/>
        <v>15.85531635301418</v>
      </c>
      <c r="E620" s="307">
        <f t="shared" ca="1" si="270"/>
        <v>31.686731015590468</v>
      </c>
      <c r="F620" s="304">
        <f t="shared" ca="1" si="271"/>
        <v>35.432188460615045</v>
      </c>
      <c r="G620" s="306">
        <f t="shared" ca="1" si="272"/>
        <v>176.85204858629328</v>
      </c>
      <c r="H620" s="307">
        <f t="shared" ca="1" si="273"/>
        <v>462.76127955103652</v>
      </c>
      <c r="I620" s="304">
        <f t="shared" ca="1" si="274"/>
        <v>495.40352132466842</v>
      </c>
      <c r="J620" s="306">
        <f t="shared" ca="1" si="275"/>
        <v>554.84380795294226</v>
      </c>
      <c r="K620" s="307">
        <f t="shared" ca="1" si="276"/>
        <v>1539.0847608956549</v>
      </c>
      <c r="L620" s="304">
        <f t="shared" ca="1" si="261"/>
        <v>1636.0420387156794</v>
      </c>
      <c r="M620" s="306">
        <f t="shared" ca="1" si="277"/>
        <v>1.2057571899149575</v>
      </c>
      <c r="N620" s="304">
        <f t="shared" ca="1" si="278"/>
        <v>69.084798099681137</v>
      </c>
      <c r="P620" s="310">
        <f t="shared" ca="1" si="279"/>
        <v>17</v>
      </c>
      <c r="Q620" s="304">
        <f t="shared" ca="1" si="280"/>
        <v>2003.5383284457853</v>
      </c>
      <c r="R620" s="306">
        <f t="shared" ca="1" si="281"/>
        <v>1.2048761327003195</v>
      </c>
      <c r="S620" s="307">
        <f t="shared" ca="1" si="282"/>
        <v>12.293248944236861</v>
      </c>
      <c r="T620" s="304">
        <f t="shared" ca="1" si="262"/>
        <v>120.59677214296362</v>
      </c>
      <c r="U620" s="311">
        <f t="shared" ca="1" si="263"/>
        <v>0</v>
      </c>
      <c r="V620" s="306">
        <f t="shared" ca="1" si="264"/>
        <v>1.0499341740350925</v>
      </c>
      <c r="W620" s="304">
        <f t="shared" ca="1" si="265"/>
        <v>1458.8376907064771</v>
      </c>
      <c r="Y620" s="314" t="str">
        <f t="shared" ca="1" si="283"/>
        <v/>
      </c>
      <c r="Z620" s="315" t="str">
        <f t="shared" ca="1" si="284"/>
        <v/>
      </c>
      <c r="AA620" s="316" t="str">
        <f t="shared" ca="1" si="285"/>
        <v/>
      </c>
      <c r="AC620" s="310" t="e">
        <f t="shared" ca="1" si="286"/>
        <v>#N/A</v>
      </c>
      <c r="AD620" s="323" t="e">
        <f t="shared" ca="1" si="287"/>
        <v>#N/A</v>
      </c>
      <c r="AE620" s="324">
        <f t="shared" ca="1" si="266"/>
        <v>1539.0847608956549</v>
      </c>
      <c r="AG620" s="306">
        <f t="shared" ca="1" si="288"/>
        <v>35.258761923274271</v>
      </c>
      <c r="AH620" s="304">
        <f t="shared" ca="1" si="289"/>
        <v>44.422626460334683</v>
      </c>
    </row>
    <row r="621" spans="1:34" x14ac:dyDescent="0.2">
      <c r="A621" s="347">
        <f t="shared" ca="1" si="267"/>
        <v>0.01</v>
      </c>
      <c r="B621" s="304">
        <f t="shared" ca="1" si="268"/>
        <v>6.1699999999999129</v>
      </c>
      <c r="D621" s="306">
        <f t="shared" ca="1" si="269"/>
        <v>15.708550730703251</v>
      </c>
      <c r="E621" s="307">
        <f t="shared" ca="1" si="270"/>
        <v>31.293900656743673</v>
      </c>
      <c r="F621" s="304">
        <f t="shared" ca="1" si="271"/>
        <v>35.015236460335657</v>
      </c>
      <c r="G621" s="306">
        <f t="shared" ca="1" si="272"/>
        <v>177.00913409360032</v>
      </c>
      <c r="H621" s="307">
        <f t="shared" ca="1" si="273"/>
        <v>463.07421855760396</v>
      </c>
      <c r="I621" s="304">
        <f t="shared" ca="1" si="274"/>
        <v>495.75191925528816</v>
      </c>
      <c r="J621" s="306">
        <f t="shared" ca="1" si="275"/>
        <v>556.61311386634168</v>
      </c>
      <c r="K621" s="307">
        <f t="shared" ca="1" si="276"/>
        <v>1543.7139383861982</v>
      </c>
      <c r="L621" s="304">
        <f t="shared" ca="1" si="261"/>
        <v>1640.9969171500024</v>
      </c>
      <c r="M621" s="306">
        <f t="shared" ca="1" si="277"/>
        <v>1.2056865491149167</v>
      </c>
      <c r="N621" s="304">
        <f t="shared" ca="1" si="278"/>
        <v>69.080750679977371</v>
      </c>
      <c r="P621" s="310">
        <f t="shared" ca="1" si="279"/>
        <v>17</v>
      </c>
      <c r="Q621" s="304">
        <f t="shared" ca="1" si="280"/>
        <v>1999.2519941349349</v>
      </c>
      <c r="R621" s="306">
        <f t="shared" ca="1" si="281"/>
        <v>1.2022984421043403</v>
      </c>
      <c r="S621" s="307">
        <f t="shared" ca="1" si="282"/>
        <v>12.281225959815817</v>
      </c>
      <c r="T621" s="304">
        <f t="shared" ca="1" si="262"/>
        <v>120.47882666579318</v>
      </c>
      <c r="U621" s="311">
        <f t="shared" ca="1" si="263"/>
        <v>0</v>
      </c>
      <c r="V621" s="306">
        <f t="shared" ca="1" si="264"/>
        <v>1.0494453505155716</v>
      </c>
      <c r="W621" s="304">
        <f t="shared" ca="1" si="265"/>
        <v>1460.2101446721879</v>
      </c>
      <c r="Y621" s="314" t="str">
        <f t="shared" ca="1" si="283"/>
        <v/>
      </c>
      <c r="Z621" s="315" t="str">
        <f t="shared" ca="1" si="284"/>
        <v/>
      </c>
      <c r="AA621" s="316" t="str">
        <f t="shared" ca="1" si="285"/>
        <v/>
      </c>
      <c r="AC621" s="310" t="e">
        <f t="shared" ca="1" si="286"/>
        <v>#N/A</v>
      </c>
      <c r="AD621" s="323" t="e">
        <f t="shared" ca="1" si="287"/>
        <v>#N/A</v>
      </c>
      <c r="AE621" s="324">
        <f t="shared" ca="1" si="266"/>
        <v>1543.7139383861982</v>
      </c>
      <c r="AG621" s="306">
        <f t="shared" ca="1" si="288"/>
        <v>34.839669368827458</v>
      </c>
      <c r="AH621" s="304">
        <f t="shared" ca="1" si="289"/>
        <v>44.003286414295594</v>
      </c>
    </row>
    <row r="622" spans="1:34" x14ac:dyDescent="0.2">
      <c r="A622" s="347">
        <f t="shared" ca="1" si="267"/>
        <v>0.01</v>
      </c>
      <c r="B622" s="304">
        <f t="shared" ca="1" si="268"/>
        <v>6.1799999999999127</v>
      </c>
      <c r="D622" s="306">
        <f t="shared" ca="1" si="269"/>
        <v>15.562138709952162</v>
      </c>
      <c r="E622" s="307">
        <f t="shared" ca="1" si="270"/>
        <v>30.90216583877227</v>
      </c>
      <c r="F622" s="304">
        <f t="shared" ca="1" si="271"/>
        <v>34.599479978097577</v>
      </c>
      <c r="G622" s="306">
        <f t="shared" ca="1" si="272"/>
        <v>177.16475548069985</v>
      </c>
      <c r="H622" s="307">
        <f t="shared" ca="1" si="273"/>
        <v>463.38324021599169</v>
      </c>
      <c r="I622" s="304">
        <f t="shared" ca="1" si="274"/>
        <v>496.09613775719686</v>
      </c>
      <c r="J622" s="306">
        <f t="shared" ca="1" si="275"/>
        <v>558.3839833142132</v>
      </c>
      <c r="K622" s="307">
        <f t="shared" ca="1" si="276"/>
        <v>1548.346225680066</v>
      </c>
      <c r="L622" s="304">
        <f t="shared" ca="1" si="261"/>
        <v>1645.9552568036452</v>
      </c>
      <c r="M622" s="306">
        <f t="shared" ca="1" si="277"/>
        <v>1.2056159442811012</v>
      </c>
      <c r="N622" s="304">
        <f t="shared" ca="1" si="278"/>
        <v>69.07670532098652</v>
      </c>
      <c r="P622" s="310">
        <f t="shared" ca="1" si="279"/>
        <v>17</v>
      </c>
      <c r="Q622" s="304">
        <f t="shared" ca="1" si="280"/>
        <v>1994.9656598240845</v>
      </c>
      <c r="R622" s="306">
        <f t="shared" ca="1" si="281"/>
        <v>1.1997207515083614</v>
      </c>
      <c r="S622" s="307">
        <f t="shared" ca="1" si="282"/>
        <v>12.269228752300734</v>
      </c>
      <c r="T622" s="304">
        <f t="shared" ca="1" si="262"/>
        <v>120.3611340600702</v>
      </c>
      <c r="U622" s="311">
        <f t="shared" ca="1" si="263"/>
        <v>0</v>
      </c>
      <c r="V622" s="306">
        <f t="shared" ca="1" si="264"/>
        <v>1.0489564088498193</v>
      </c>
      <c r="W622" s="304">
        <f t="shared" ca="1" si="265"/>
        <v>1461.5573381200484</v>
      </c>
      <c r="Y622" s="314" t="str">
        <f t="shared" ca="1" si="283"/>
        <v/>
      </c>
      <c r="Z622" s="315" t="str">
        <f t="shared" ca="1" si="284"/>
        <v/>
      </c>
      <c r="AA622" s="316" t="str">
        <f t="shared" ca="1" si="285"/>
        <v/>
      </c>
      <c r="AC622" s="310" t="e">
        <f t="shared" ca="1" si="286"/>
        <v>#N/A</v>
      </c>
      <c r="AD622" s="323" t="e">
        <f t="shared" ca="1" si="287"/>
        <v>#N/A</v>
      </c>
      <c r="AE622" s="324">
        <f t="shared" ca="1" si="266"/>
        <v>1548.346225680066</v>
      </c>
      <c r="AG622" s="306">
        <f t="shared" ca="1" si="288"/>
        <v>34.421726537850525</v>
      </c>
      <c r="AH622" s="304">
        <f t="shared" ca="1" si="289"/>
        <v>43.58509617416815</v>
      </c>
    </row>
    <row r="623" spans="1:34" x14ac:dyDescent="0.2">
      <c r="A623" s="347">
        <f t="shared" ca="1" si="267"/>
        <v>0.01</v>
      </c>
      <c r="B623" s="304">
        <f t="shared" ca="1" si="268"/>
        <v>6.1899999999999125</v>
      </c>
      <c r="D623" s="306">
        <f t="shared" ca="1" si="269"/>
        <v>15.416081175333293</v>
      </c>
      <c r="E623" s="307">
        <f t="shared" ca="1" si="270"/>
        <v>30.511527987189908</v>
      </c>
      <c r="F623" s="304">
        <f t="shared" ca="1" si="271"/>
        <v>34.184922099041543</v>
      </c>
      <c r="G623" s="306">
        <f t="shared" ca="1" si="272"/>
        <v>177.3189162924532</v>
      </c>
      <c r="H623" s="307">
        <f t="shared" ca="1" si="273"/>
        <v>463.68835549586362</v>
      </c>
      <c r="I623" s="304">
        <f t="shared" ca="1" si="274"/>
        <v>496.43618834406948</v>
      </c>
      <c r="J623" s="306">
        <f t="shared" ca="1" si="275"/>
        <v>560.15640167307902</v>
      </c>
      <c r="K623" s="307">
        <f t="shared" ca="1" si="276"/>
        <v>1552.9815836586254</v>
      </c>
      <c r="L623" s="304">
        <f t="shared" ca="1" si="261"/>
        <v>1650.9170159393789</v>
      </c>
      <c r="M623" s="306">
        <f t="shared" ca="1" si="277"/>
        <v>1.2055453747781519</v>
      </c>
      <c r="N623" s="304">
        <f t="shared" ca="1" si="278"/>
        <v>69.072661986305192</v>
      </c>
      <c r="P623" s="310">
        <f t="shared" ca="1" si="279"/>
        <v>17</v>
      </c>
      <c r="Q623" s="304">
        <f t="shared" ca="1" si="280"/>
        <v>1990.6793255132341</v>
      </c>
      <c r="R623" s="306">
        <f t="shared" ca="1" si="281"/>
        <v>1.1971430609123825</v>
      </c>
      <c r="S623" s="307">
        <f t="shared" ca="1" si="282"/>
        <v>12.257257321691609</v>
      </c>
      <c r="T623" s="304">
        <f t="shared" ca="1" si="262"/>
        <v>120.24369432579469</v>
      </c>
      <c r="U623" s="311">
        <f t="shared" ca="1" si="263"/>
        <v>0</v>
      </c>
      <c r="V623" s="306">
        <f t="shared" ca="1" si="264"/>
        <v>1.048467353451997</v>
      </c>
      <c r="W623" s="304">
        <f t="shared" ca="1" si="265"/>
        <v>1462.8793255635012</v>
      </c>
      <c r="Y623" s="314" t="str">
        <f t="shared" ca="1" si="283"/>
        <v/>
      </c>
      <c r="Z623" s="315" t="str">
        <f t="shared" ca="1" si="284"/>
        <v/>
      </c>
      <c r="AA623" s="316" t="str">
        <f t="shared" ca="1" si="285"/>
        <v/>
      </c>
      <c r="AC623" s="310" t="e">
        <f t="shared" ca="1" si="286"/>
        <v>#N/A</v>
      </c>
      <c r="AD623" s="323" t="e">
        <f t="shared" ca="1" si="287"/>
        <v>#N/A</v>
      </c>
      <c r="AE623" s="324">
        <f t="shared" ca="1" si="266"/>
        <v>1552.9815836586254</v>
      </c>
      <c r="AG623" s="306">
        <f t="shared" ca="1" si="288"/>
        <v>34.00493507329022</v>
      </c>
      <c r="AH623" s="304">
        <f t="shared" ca="1" si="289"/>
        <v>43.1680573807324</v>
      </c>
    </row>
    <row r="624" spans="1:34" x14ac:dyDescent="0.2">
      <c r="A624" s="347">
        <f t="shared" ca="1" si="267"/>
        <v>0.01</v>
      </c>
      <c r="B624" s="304">
        <f t="shared" ca="1" si="268"/>
        <v>6.1999999999999122</v>
      </c>
      <c r="D624" s="306">
        <f t="shared" ca="1" si="269"/>
        <v>15.270378981226076</v>
      </c>
      <c r="E624" s="307">
        <f t="shared" ca="1" si="270"/>
        <v>30.121988451390514</v>
      </c>
      <c r="F624" s="304">
        <f t="shared" ca="1" si="271"/>
        <v>33.77156588753288</v>
      </c>
      <c r="G624" s="306">
        <f t="shared" ca="1" si="272"/>
        <v>177.47162008226545</v>
      </c>
      <c r="H624" s="307">
        <f t="shared" ca="1" si="273"/>
        <v>463.98957538037752</v>
      </c>
      <c r="I624" s="304">
        <f t="shared" ca="1" si="274"/>
        <v>496.77208254519195</v>
      </c>
      <c r="J624" s="306">
        <f t="shared" ca="1" si="275"/>
        <v>561.93035435495256</v>
      </c>
      <c r="K624" s="307">
        <f t="shared" ca="1" si="276"/>
        <v>1557.6199733130065</v>
      </c>
      <c r="L624" s="304">
        <f t="shared" ca="1" si="261"/>
        <v>1655.8821529351337</v>
      </c>
      <c r="M624" s="306">
        <f t="shared" ca="1" si="277"/>
        <v>1.2054748399744235</v>
      </c>
      <c r="N624" s="304">
        <f t="shared" ca="1" si="278"/>
        <v>69.068620639742761</v>
      </c>
      <c r="P624" s="310">
        <f t="shared" ca="1" si="279"/>
        <v>17</v>
      </c>
      <c r="Q624" s="304">
        <f t="shared" ca="1" si="280"/>
        <v>1986.3929912023837</v>
      </c>
      <c r="R624" s="306">
        <f t="shared" ca="1" si="281"/>
        <v>1.1945653703164034</v>
      </c>
      <c r="S624" s="307">
        <f t="shared" ca="1" si="282"/>
        <v>12.245311667988446</v>
      </c>
      <c r="T624" s="304">
        <f t="shared" ca="1" si="262"/>
        <v>120.12650746296666</v>
      </c>
      <c r="U624" s="311">
        <f t="shared" ca="1" si="263"/>
        <v>0</v>
      </c>
      <c r="V624" s="306">
        <f t="shared" ca="1" si="264"/>
        <v>1.0479781887174446</v>
      </c>
      <c r="W624" s="304">
        <f t="shared" ca="1" si="265"/>
        <v>1464.1761624050889</v>
      </c>
      <c r="Y624" s="314" t="str">
        <f t="shared" ca="1" si="283"/>
        <v/>
      </c>
      <c r="Z624" s="315" t="str">
        <f t="shared" ca="1" si="284"/>
        <v/>
      </c>
      <c r="AA624" s="316" t="str">
        <f t="shared" ca="1" si="285"/>
        <v/>
      </c>
      <c r="AC624" s="310" t="e">
        <f t="shared" ca="1" si="286"/>
        <v>#N/A</v>
      </c>
      <c r="AD624" s="323" t="e">
        <f t="shared" ca="1" si="287"/>
        <v>#N/A</v>
      </c>
      <c r="AE624" s="324">
        <f t="shared" ca="1" si="266"/>
        <v>1557.6199733130065</v>
      </c>
      <c r="AG624" s="306">
        <f t="shared" ca="1" si="288"/>
        <v>33.589296536254274</v>
      </c>
      <c r="AH624" s="304">
        <f t="shared" ca="1" si="289"/>
        <v>42.752171592940826</v>
      </c>
    </row>
    <row r="625" spans="1:34" x14ac:dyDescent="0.2">
      <c r="A625" s="347">
        <f t="shared" ca="1" si="267"/>
        <v>0.01</v>
      </c>
      <c r="B625" s="304">
        <f t="shared" ca="1" si="268"/>
        <v>6.209999999999912</v>
      </c>
      <c r="D625" s="306">
        <f t="shared" ca="1" si="269"/>
        <v>15.125032952044174</v>
      </c>
      <c r="E625" s="307">
        <f t="shared" ca="1" si="270"/>
        <v>29.733548505277227</v>
      </c>
      <c r="F625" s="304">
        <f t="shared" ca="1" si="271"/>
        <v>33.359414391084499</v>
      </c>
      <c r="G625" s="306">
        <f t="shared" ca="1" si="272"/>
        <v>177.6228704117859</v>
      </c>
      <c r="H625" s="307">
        <f t="shared" ca="1" si="273"/>
        <v>464.28691086543029</v>
      </c>
      <c r="I625" s="304">
        <f t="shared" ca="1" si="274"/>
        <v>497.10383190464955</v>
      </c>
      <c r="J625" s="306">
        <f t="shared" ca="1" si="275"/>
        <v>563.7058268074228</v>
      </c>
      <c r="K625" s="307">
        <f t="shared" ca="1" si="276"/>
        <v>1562.2613557442355</v>
      </c>
      <c r="L625" s="304">
        <f t="shared" ca="1" si="261"/>
        <v>1660.8506262841511</v>
      </c>
      <c r="M625" s="306">
        <f t="shared" ca="1" si="277"/>
        <v>1.2054043392419416</v>
      </c>
      <c r="N625" s="304">
        <f t="shared" ca="1" si="278"/>
        <v>69.064581245318976</v>
      </c>
      <c r="P625" s="310">
        <f t="shared" ca="1" si="279"/>
        <v>17</v>
      </c>
      <c r="Q625" s="304">
        <f t="shared" ca="1" si="280"/>
        <v>1982.1066568915335</v>
      </c>
      <c r="R625" s="306">
        <f t="shared" ca="1" si="281"/>
        <v>1.1919876797204247</v>
      </c>
      <c r="S625" s="307">
        <f t="shared" ca="1" si="282"/>
        <v>12.233391791191242</v>
      </c>
      <c r="T625" s="304">
        <f t="shared" ca="1" si="262"/>
        <v>120.00957347158608</v>
      </c>
      <c r="U625" s="311">
        <f t="shared" ca="1" si="263"/>
        <v>0</v>
      </c>
      <c r="V625" s="306">
        <f t="shared" ca="1" si="264"/>
        <v>1.0474889190226928</v>
      </c>
      <c r="W625" s="304">
        <f t="shared" ca="1" si="265"/>
        <v>1465.4479049230479</v>
      </c>
      <c r="Y625" s="314" t="str">
        <f t="shared" ca="1" si="283"/>
        <v/>
      </c>
      <c r="Z625" s="315" t="str">
        <f t="shared" ca="1" si="284"/>
        <v/>
      </c>
      <c r="AA625" s="316" t="str">
        <f t="shared" ca="1" si="285"/>
        <v/>
      </c>
      <c r="AC625" s="310" t="e">
        <f t="shared" ca="1" si="286"/>
        <v>#N/A</v>
      </c>
      <c r="AD625" s="323" t="e">
        <f t="shared" ca="1" si="287"/>
        <v>#N/A</v>
      </c>
      <c r="AE625" s="324">
        <f t="shared" ca="1" si="266"/>
        <v>1562.2613557442355</v>
      </c>
      <c r="AG625" s="306">
        <f t="shared" ca="1" si="288"/>
        <v>33.174812406679749</v>
      </c>
      <c r="AH625" s="304">
        <f t="shared" ca="1" si="289"/>
        <v>42.337440288586592</v>
      </c>
    </row>
    <row r="626" spans="1:34" x14ac:dyDescent="0.2">
      <c r="A626" s="347">
        <f t="shared" ca="1" si="267"/>
        <v>0.01</v>
      </c>
      <c r="B626" s="304">
        <f t="shared" ca="1" si="268"/>
        <v>6.2199999999999118</v>
      </c>
      <c r="D626" s="306">
        <f t="shared" ca="1" si="269"/>
        <v>14.980043882463166</v>
      </c>
      <c r="E626" s="307">
        <f t="shared" ca="1" si="270"/>
        <v>29.34620934789217</v>
      </c>
      <c r="F626" s="304">
        <f t="shared" ca="1" si="271"/>
        <v>32.94847064449025</v>
      </c>
      <c r="G626" s="306">
        <f t="shared" ca="1" si="272"/>
        <v>177.77267085061052</v>
      </c>
      <c r="H626" s="307">
        <f t="shared" ca="1" si="273"/>
        <v>464.58037295890921</v>
      </c>
      <c r="I626" s="304">
        <f t="shared" ca="1" si="274"/>
        <v>497.43144798052191</v>
      </c>
      <c r="J626" s="306">
        <f t="shared" ca="1" si="275"/>
        <v>565.48280451373478</v>
      </c>
      <c r="K626" s="307">
        <f t="shared" ca="1" si="276"/>
        <v>1566.9056921633571</v>
      </c>
      <c r="L626" s="304">
        <f t="shared" ca="1" si="261"/>
        <v>1665.8223945951286</v>
      </c>
      <c r="M626" s="306">
        <f t="shared" ca="1" si="277"/>
        <v>1.2053338719563611</v>
      </c>
      <c r="N626" s="304">
        <f t="shared" ca="1" si="278"/>
        <v>69.060543767261464</v>
      </c>
      <c r="P626" s="310">
        <f t="shared" ca="1" si="279"/>
        <v>17</v>
      </c>
      <c r="Q626" s="304">
        <f t="shared" ca="1" si="280"/>
        <v>1977.8203225806831</v>
      </c>
      <c r="R626" s="306">
        <f t="shared" ca="1" si="281"/>
        <v>1.1894099891244456</v>
      </c>
      <c r="S626" s="307">
        <f t="shared" ca="1" si="282"/>
        <v>12.221497691299998</v>
      </c>
      <c r="T626" s="304">
        <f t="shared" ca="1" si="262"/>
        <v>119.89289235165299</v>
      </c>
      <c r="U626" s="311">
        <f t="shared" ca="1" si="263"/>
        <v>0</v>
      </c>
      <c r="V626" s="306">
        <f t="shared" ca="1" si="264"/>
        <v>1.046999548725474</v>
      </c>
      <c r="W626" s="304">
        <f t="shared" ca="1" si="265"/>
        <v>1466.6946102579557</v>
      </c>
      <c r="Y626" s="314" t="str">
        <f t="shared" ca="1" si="283"/>
        <v/>
      </c>
      <c r="Z626" s="315" t="str">
        <f t="shared" ca="1" si="284"/>
        <v/>
      </c>
      <c r="AA626" s="316" t="str">
        <f t="shared" ca="1" si="285"/>
        <v/>
      </c>
      <c r="AC626" s="310" t="e">
        <f t="shared" ca="1" si="286"/>
        <v>#N/A</v>
      </c>
      <c r="AD626" s="323" t="e">
        <f t="shared" ca="1" si="287"/>
        <v>#N/A</v>
      </c>
      <c r="AE626" s="324">
        <f t="shared" ca="1" si="266"/>
        <v>1566.9056921633571</v>
      </c>
      <c r="AG626" s="306">
        <f t="shared" ca="1" si="288"/>
        <v>32.76148408400222</v>
      </c>
      <c r="AH626" s="304">
        <f t="shared" ca="1" si="289"/>
        <v>41.923864864972558</v>
      </c>
    </row>
    <row r="627" spans="1:34" x14ac:dyDescent="0.2">
      <c r="A627" s="347">
        <f t="shared" ca="1" si="267"/>
        <v>0.01</v>
      </c>
      <c r="B627" s="304">
        <f t="shared" ca="1" si="268"/>
        <v>6.2299999999999116</v>
      </c>
      <c r="D627" s="306">
        <f t="shared" ca="1" si="269"/>
        <v>14.835412537649146</v>
      </c>
      <c r="E627" s="307">
        <f t="shared" ca="1" si="270"/>
        <v>28.959972104048219</v>
      </c>
      <c r="F627" s="304">
        <f t="shared" ca="1" si="271"/>
        <v>32.53873767418596</v>
      </c>
      <c r="G627" s="306">
        <f t="shared" ca="1" si="272"/>
        <v>177.92102497598702</v>
      </c>
      <c r="H627" s="307">
        <f t="shared" ca="1" si="273"/>
        <v>464.86997267994968</v>
      </c>
      <c r="I627" s="304">
        <f t="shared" ca="1" si="274"/>
        <v>497.75494234408455</v>
      </c>
      <c r="J627" s="306">
        <f t="shared" ca="1" si="275"/>
        <v>567.26127299286782</v>
      </c>
      <c r="K627" s="307">
        <f t="shared" ca="1" si="276"/>
        <v>1571.5529438915514</v>
      </c>
      <c r="L627" s="304">
        <f t="shared" ca="1" si="261"/>
        <v>1670.7974165923558</v>
      </c>
      <c r="M627" s="306">
        <f t="shared" ca="1" si="277"/>
        <v>1.2052634374969255</v>
      </c>
      <c r="N627" s="304">
        <f t="shared" ca="1" si="278"/>
        <v>69.056508170003525</v>
      </c>
      <c r="P627" s="310">
        <f t="shared" ca="1" si="279"/>
        <v>17</v>
      </c>
      <c r="Q627" s="304">
        <f t="shared" ca="1" si="280"/>
        <v>1973.5339882698327</v>
      </c>
      <c r="R627" s="306">
        <f t="shared" ca="1" si="281"/>
        <v>1.1868322985284667</v>
      </c>
      <c r="S627" s="307">
        <f t="shared" ca="1" si="282"/>
        <v>12.209629368314713</v>
      </c>
      <c r="T627" s="304">
        <f t="shared" ca="1" si="262"/>
        <v>119.77646410316734</v>
      </c>
      <c r="U627" s="311">
        <f t="shared" ca="1" si="263"/>
        <v>0</v>
      </c>
      <c r="V627" s="306">
        <f t="shared" ca="1" si="264"/>
        <v>1.0465100821647337</v>
      </c>
      <c r="W627" s="304">
        <f t="shared" ca="1" si="265"/>
        <v>1467.9163363994451</v>
      </c>
      <c r="Y627" s="314" t="str">
        <f t="shared" ca="1" si="283"/>
        <v/>
      </c>
      <c r="Z627" s="315" t="str">
        <f t="shared" ca="1" si="284"/>
        <v/>
      </c>
      <c r="AA627" s="316" t="str">
        <f t="shared" ca="1" si="285"/>
        <v/>
      </c>
      <c r="AC627" s="310" t="e">
        <f t="shared" ca="1" si="286"/>
        <v>#N/A</v>
      </c>
      <c r="AD627" s="323" t="e">
        <f t="shared" ca="1" si="287"/>
        <v>#N/A</v>
      </c>
      <c r="AE627" s="324">
        <f t="shared" ca="1" si="266"/>
        <v>1571.5529438915514</v>
      </c>
      <c r="AG627" s="306">
        <f t="shared" ca="1" si="288"/>
        <v>32.349312887827217</v>
      </c>
      <c r="AH627" s="304">
        <f t="shared" ca="1" si="289"/>
        <v>41.511446639582616</v>
      </c>
    </row>
    <row r="628" spans="1:34" x14ac:dyDescent="0.2">
      <c r="A628" s="347">
        <f t="shared" ca="1" si="267"/>
        <v>0.01</v>
      </c>
      <c r="B628" s="304">
        <f t="shared" ca="1" si="268"/>
        <v>6.2399999999999114</v>
      </c>
      <c r="D628" s="306">
        <f t="shared" ca="1" si="269"/>
        <v>14.691139653487774</v>
      </c>
      <c r="E628" s="307">
        <f t="shared" ca="1" si="270"/>
        <v>28.574837824961513</v>
      </c>
      <c r="F628" s="304">
        <f t="shared" ca="1" si="271"/>
        <v>32.13021850285385</v>
      </c>
      <c r="G628" s="306">
        <f t="shared" ca="1" si="272"/>
        <v>178.0679363725219</v>
      </c>
      <c r="H628" s="307">
        <f t="shared" ca="1" si="273"/>
        <v>465.15572105819928</v>
      </c>
      <c r="I628" s="304">
        <f t="shared" ca="1" si="274"/>
        <v>498.07432657901751</v>
      </c>
      <c r="J628" s="306">
        <f t="shared" ca="1" si="275"/>
        <v>569.04121779961031</v>
      </c>
      <c r="K628" s="307">
        <f t="shared" ca="1" si="276"/>
        <v>1576.2030723602422</v>
      </c>
      <c r="L628" s="304">
        <f t="shared" ca="1" si="261"/>
        <v>1675.7756511158439</v>
      </c>
      <c r="M628" s="306">
        <f t="shared" ca="1" si="277"/>
        <v>1.2051930352464246</v>
      </c>
      <c r="N628" s="304">
        <f t="shared" ca="1" si="278"/>
        <v>69.052474418181603</v>
      </c>
      <c r="P628" s="310">
        <f t="shared" ca="1" si="279"/>
        <v>17</v>
      </c>
      <c r="Q628" s="304">
        <f t="shared" ca="1" si="280"/>
        <v>1969.2476539589823</v>
      </c>
      <c r="R628" s="306">
        <f t="shared" ca="1" si="281"/>
        <v>1.1842546079324878</v>
      </c>
      <c r="S628" s="307">
        <f t="shared" ca="1" si="282"/>
        <v>12.197786822235388</v>
      </c>
      <c r="T628" s="304">
        <f t="shared" ca="1" si="262"/>
        <v>119.66028872612917</v>
      </c>
      <c r="U628" s="311">
        <f t="shared" ca="1" si="263"/>
        <v>0</v>
      </c>
      <c r="V628" s="306">
        <f t="shared" ca="1" si="264"/>
        <v>1.0460205236606461</v>
      </c>
      <c r="W628" s="304">
        <f t="shared" ca="1" si="265"/>
        <v>1469.1131421729806</v>
      </c>
      <c r="Y628" s="314" t="str">
        <f t="shared" ca="1" si="283"/>
        <v/>
      </c>
      <c r="Z628" s="315" t="str">
        <f t="shared" ca="1" si="284"/>
        <v/>
      </c>
      <c r="AA628" s="316" t="str">
        <f t="shared" ca="1" si="285"/>
        <v/>
      </c>
      <c r="AC628" s="310" t="e">
        <f t="shared" ca="1" si="286"/>
        <v>#N/A</v>
      </c>
      <c r="AD628" s="323" t="e">
        <f t="shared" ca="1" si="287"/>
        <v>#N/A</v>
      </c>
      <c r="AE628" s="324">
        <f t="shared" ca="1" si="266"/>
        <v>1576.2030723602422</v>
      </c>
      <c r="AG628" s="306">
        <f t="shared" ca="1" si="288"/>
        <v>31.938300058602508</v>
      </c>
      <c r="AH628" s="304">
        <f t="shared" ca="1" si="289"/>
        <v>41.100186850753822</v>
      </c>
    </row>
    <row r="629" spans="1:34" x14ac:dyDescent="0.2">
      <c r="A629" s="347">
        <f t="shared" ca="1" si="267"/>
        <v>0.01</v>
      </c>
      <c r="B629" s="304">
        <f t="shared" ca="1" si="268"/>
        <v>6.2499999999999112</v>
      </c>
      <c r="D629" s="306">
        <f t="shared" ca="1" si="269"/>
        <v>14.547225936814026</v>
      </c>
      <c r="E629" s="307">
        <f t="shared" ca="1" si="270"/>
        <v>28.19080748888522</v>
      </c>
      <c r="F629" s="304">
        <f t="shared" ca="1" si="271"/>
        <v>31.722916154289816</v>
      </c>
      <c r="G629" s="306">
        <f t="shared" ca="1" si="272"/>
        <v>178.21340863189005</v>
      </c>
      <c r="H629" s="307">
        <f t="shared" ca="1" si="273"/>
        <v>465.43762913308814</v>
      </c>
      <c r="I629" s="304">
        <f t="shared" ca="1" si="274"/>
        <v>498.38961228062038</v>
      </c>
      <c r="J629" s="306">
        <f t="shared" ca="1" si="275"/>
        <v>570.82262452463237</v>
      </c>
      <c r="K629" s="307">
        <f t="shared" ca="1" si="276"/>
        <v>1580.8560391111987</v>
      </c>
      <c r="L629" s="304">
        <f t="shared" ca="1" si="261"/>
        <v>1680.7570571214442</v>
      </c>
      <c r="M629" s="306">
        <f t="shared" ca="1" si="277"/>
        <v>1.2051226645911557</v>
      </c>
      <c r="N629" s="304">
        <f t="shared" ca="1" si="278"/>
        <v>69.048442476633113</v>
      </c>
      <c r="P629" s="310">
        <f t="shared" ca="1" si="279"/>
        <v>17</v>
      </c>
      <c r="Q629" s="304">
        <f t="shared" ca="1" si="280"/>
        <v>1964.9613196481318</v>
      </c>
      <c r="R629" s="306">
        <f t="shared" ca="1" si="281"/>
        <v>1.1816769173365087</v>
      </c>
      <c r="S629" s="307">
        <f t="shared" ca="1" si="282"/>
        <v>12.185970053062023</v>
      </c>
      <c r="T629" s="304">
        <f t="shared" ca="1" si="262"/>
        <v>119.54436622053845</v>
      </c>
      <c r="U629" s="311">
        <f t="shared" ca="1" si="263"/>
        <v>0</v>
      </c>
      <c r="V629" s="306">
        <f t="shared" ca="1" si="264"/>
        <v>1.0455308775146279</v>
      </c>
      <c r="W629" s="304">
        <f t="shared" ca="1" si="265"/>
        <v>1470.2850872267024</v>
      </c>
      <c r="Y629" s="314" t="str">
        <f t="shared" ca="1" si="283"/>
        <v/>
      </c>
      <c r="Z629" s="315" t="str">
        <f t="shared" ca="1" si="284"/>
        <v/>
      </c>
      <c r="AA629" s="316" t="str">
        <f t="shared" ca="1" si="285"/>
        <v/>
      </c>
      <c r="AC629" s="310" t="e">
        <f t="shared" ca="1" si="286"/>
        <v>#N/A</v>
      </c>
      <c r="AD629" s="323" t="e">
        <f t="shared" ca="1" si="287"/>
        <v>#N/A</v>
      </c>
      <c r="AE629" s="324">
        <f t="shared" ca="1" si="266"/>
        <v>1580.8560391111987</v>
      </c>
      <c r="AG629" s="306">
        <f t="shared" ca="1" si="288"/>
        <v>31.528446758291782</v>
      </c>
      <c r="AH629" s="304">
        <f t="shared" ca="1" si="289"/>
        <v>40.690086658349962</v>
      </c>
    </row>
    <row r="630" spans="1:34" x14ac:dyDescent="0.2">
      <c r="A630" s="347">
        <f t="shared" ca="1" si="267"/>
        <v>0.01</v>
      </c>
      <c r="B630" s="304">
        <f t="shared" ca="1" si="268"/>
        <v>6.259999999999911</v>
      </c>
      <c r="D630" s="306">
        <f t="shared" ca="1" si="269"/>
        <v>14.403672065642276</v>
      </c>
      <c r="E630" s="307">
        <f t="shared" ca="1" si="270"/>
        <v>27.807882001744034</v>
      </c>
      <c r="F630" s="304">
        <f t="shared" ca="1" si="271"/>
        <v>31.316833658553083</v>
      </c>
      <c r="G630" s="306">
        <f t="shared" ca="1" si="272"/>
        <v>178.35744535254648</v>
      </c>
      <c r="H630" s="307">
        <f t="shared" ca="1" si="273"/>
        <v>465.71570795310555</v>
      </c>
      <c r="I630" s="304">
        <f t="shared" ca="1" si="274"/>
        <v>498.70081105503419</v>
      </c>
      <c r="J630" s="306">
        <f t="shared" ca="1" si="275"/>
        <v>572.60547879455453</v>
      </c>
      <c r="K630" s="307">
        <f t="shared" ca="1" si="276"/>
        <v>1585.5118057966297</v>
      </c>
      <c r="L630" s="304">
        <f t="shared" ca="1" si="261"/>
        <v>1685.7415936809623</v>
      </c>
      <c r="M630" s="306">
        <f t="shared" ca="1" si="277"/>
        <v>1.2050523249208824</v>
      </c>
      <c r="N630" s="304">
        <f t="shared" ca="1" si="278"/>
        <v>69.044412310394122</v>
      </c>
      <c r="P630" s="310">
        <f t="shared" ca="1" si="279"/>
        <v>17</v>
      </c>
      <c r="Q630" s="304">
        <f t="shared" ca="1" si="280"/>
        <v>1960.6749853372817</v>
      </c>
      <c r="R630" s="306">
        <f t="shared" ca="1" si="281"/>
        <v>1.17909922674053</v>
      </c>
      <c r="S630" s="307">
        <f t="shared" ca="1" si="282"/>
        <v>12.174179060794618</v>
      </c>
      <c r="T630" s="304">
        <f t="shared" ca="1" si="262"/>
        <v>119.4286965863952</v>
      </c>
      <c r="U630" s="311">
        <f t="shared" ca="1" si="263"/>
        <v>0</v>
      </c>
      <c r="V630" s="306">
        <f t="shared" ca="1" si="264"/>
        <v>1.045041148009352</v>
      </c>
      <c r="W630" s="304">
        <f t="shared" ca="1" si="265"/>
        <v>1471.4322320183292</v>
      </c>
      <c r="Y630" s="314" t="str">
        <f t="shared" ca="1" si="283"/>
        <v/>
      </c>
      <c r="Z630" s="315" t="str">
        <f t="shared" ca="1" si="284"/>
        <v/>
      </c>
      <c r="AA630" s="316" t="str">
        <f t="shared" ca="1" si="285"/>
        <v/>
      </c>
      <c r="AC630" s="310" t="e">
        <f t="shared" ca="1" si="286"/>
        <v>#N/A</v>
      </c>
      <c r="AD630" s="323" t="e">
        <f t="shared" ca="1" si="287"/>
        <v>#N/A</v>
      </c>
      <c r="AE630" s="324">
        <f t="shared" ca="1" si="266"/>
        <v>1585.5118057966297</v>
      </c>
      <c r="AG630" s="306">
        <f t="shared" ca="1" si="288"/>
        <v>31.119754071049186</v>
      </c>
      <c r="AH630" s="304">
        <f t="shared" ca="1" si="289"/>
        <v>40.281147144435963</v>
      </c>
    </row>
    <row r="631" spans="1:34" x14ac:dyDescent="0.2">
      <c r="A631" s="347">
        <f t="shared" ca="1" si="267"/>
        <v>0.01</v>
      </c>
      <c r="B631" s="304">
        <f t="shared" ca="1" si="268"/>
        <v>6.2699999999999108</v>
      </c>
      <c r="D631" s="306">
        <f t="shared" ca="1" si="269"/>
        <v>14.260478689397214</v>
      </c>
      <c r="E631" s="307">
        <f t="shared" ca="1" si="270"/>
        <v>27.426062197770072</v>
      </c>
      <c r="F631" s="304">
        <f t="shared" ca="1" si="271"/>
        <v>30.911974057421578</v>
      </c>
      <c r="G631" s="306">
        <f t="shared" ca="1" si="272"/>
        <v>178.50005013944045</v>
      </c>
      <c r="H631" s="307">
        <f t="shared" ca="1" si="273"/>
        <v>465.98996857508325</v>
      </c>
      <c r="I631" s="304">
        <f t="shared" ca="1" si="274"/>
        <v>499.00793451847017</v>
      </c>
      <c r="J631" s="306">
        <f t="shared" ca="1" si="275"/>
        <v>574.38976627201441</v>
      </c>
      <c r="K631" s="307">
        <f t="shared" ca="1" si="276"/>
        <v>1590.1703341792706</v>
      </c>
      <c r="L631" s="304">
        <f t="shared" ca="1" si="261"/>
        <v>1690.7292199822632</v>
      </c>
      <c r="M631" s="306">
        <f t="shared" ca="1" si="277"/>
        <v>1.204982015628796</v>
      </c>
      <c r="N631" s="304">
        <f t="shared" ca="1" si="278"/>
        <v>69.040383884697022</v>
      </c>
      <c r="P631" s="310">
        <f t="shared" ca="1" si="279"/>
        <v>17</v>
      </c>
      <c r="Q631" s="304">
        <f t="shared" ca="1" si="280"/>
        <v>1956.3886510264313</v>
      </c>
      <c r="R631" s="306">
        <f t="shared" ca="1" si="281"/>
        <v>1.1765215361445509</v>
      </c>
      <c r="S631" s="307">
        <f t="shared" ca="1" si="282"/>
        <v>12.162413845433173</v>
      </c>
      <c r="T631" s="304">
        <f t="shared" ca="1" si="262"/>
        <v>119.31327982369943</v>
      </c>
      <c r="U631" s="311">
        <f t="shared" ca="1" si="263"/>
        <v>0</v>
      </c>
      <c r="V631" s="306">
        <f t="shared" ca="1" si="264"/>
        <v>1.0445513394087675</v>
      </c>
      <c r="W631" s="304">
        <f t="shared" ca="1" si="265"/>
        <v>1472.5546378021356</v>
      </c>
      <c r="Y631" s="314" t="str">
        <f t="shared" ca="1" si="283"/>
        <v/>
      </c>
      <c r="Z631" s="315" t="str">
        <f t="shared" ca="1" si="284"/>
        <v/>
      </c>
      <c r="AA631" s="316" t="str">
        <f t="shared" ca="1" si="285"/>
        <v/>
      </c>
      <c r="AC631" s="310" t="e">
        <f t="shared" ca="1" si="286"/>
        <v>#N/A</v>
      </c>
      <c r="AD631" s="323" t="e">
        <f t="shared" ca="1" si="287"/>
        <v>#N/A</v>
      </c>
      <c r="AE631" s="324">
        <f t="shared" ca="1" si="266"/>
        <v>1590.1703341792706</v>
      </c>
      <c r="AG631" s="306">
        <f t="shared" ca="1" si="288"/>
        <v>30.712223003895403</v>
      </c>
      <c r="AH631" s="304">
        <f t="shared" ca="1" si="289"/>
        <v>39.873369313953816</v>
      </c>
    </row>
    <row r="632" spans="1:34" x14ac:dyDescent="0.2">
      <c r="A632" s="347">
        <f t="shared" ca="1" si="267"/>
        <v>0.01</v>
      </c>
      <c r="B632" s="304">
        <f t="shared" ca="1" si="268"/>
        <v>6.2799999999999105</v>
      </c>
      <c r="D632" s="306">
        <f t="shared" ca="1" si="269"/>
        <v>14.117646429144937</v>
      </c>
      <c r="E632" s="307">
        <f t="shared" ca="1" si="270"/>
        <v>27.04534884013902</v>
      </c>
      <c r="F632" s="304">
        <f t="shared" ca="1" si="271"/>
        <v>30.50834041017567</v>
      </c>
      <c r="G632" s="306">
        <f t="shared" ca="1" si="272"/>
        <v>178.64122660373189</v>
      </c>
      <c r="H632" s="307">
        <f t="shared" ca="1" si="273"/>
        <v>466.26042206348467</v>
      </c>
      <c r="I632" s="304">
        <f t="shared" ca="1" si="274"/>
        <v>499.31099429644524</v>
      </c>
      <c r="J632" s="306">
        <f t="shared" ca="1" si="275"/>
        <v>576.17547265573023</v>
      </c>
      <c r="K632" s="307">
        <f t="shared" ca="1" si="276"/>
        <v>1594.8315861324634</v>
      </c>
      <c r="L632" s="304">
        <f t="shared" ca="1" si="261"/>
        <v>1695.719895329368</v>
      </c>
      <c r="M632" s="306">
        <f t="shared" ca="1" si="277"/>
        <v>1.2049117361114758</v>
      </c>
      <c r="N632" s="304">
        <f t="shared" ca="1" si="278"/>
        <v>69.036357164968351</v>
      </c>
      <c r="P632" s="310">
        <f t="shared" ca="1" si="279"/>
        <v>17</v>
      </c>
      <c r="Q632" s="304">
        <f t="shared" ca="1" si="280"/>
        <v>1952.1023167155809</v>
      </c>
      <c r="R632" s="306">
        <f t="shared" ca="1" si="281"/>
        <v>1.173943845548572</v>
      </c>
      <c r="S632" s="307">
        <f t="shared" ca="1" si="282"/>
        <v>12.150674406977688</v>
      </c>
      <c r="T632" s="304">
        <f t="shared" ca="1" si="262"/>
        <v>119.19811593245112</v>
      </c>
      <c r="U632" s="311">
        <f t="shared" ca="1" si="263"/>
        <v>0</v>
      </c>
      <c r="V632" s="306">
        <f t="shared" ca="1" si="264"/>
        <v>1.0440614559581143</v>
      </c>
      <c r="W632" s="304">
        <f t="shared" ca="1" si="265"/>
        <v>1473.6523666159951</v>
      </c>
      <c r="Y632" s="314" t="str">
        <f t="shared" ca="1" si="283"/>
        <v/>
      </c>
      <c r="Z632" s="315" t="str">
        <f t="shared" ca="1" si="284"/>
        <v/>
      </c>
      <c r="AA632" s="316" t="str">
        <f t="shared" ca="1" si="285"/>
        <v/>
      </c>
      <c r="AC632" s="310" t="e">
        <f t="shared" ca="1" si="286"/>
        <v>#N/A</v>
      </c>
      <c r="AD632" s="323" t="e">
        <f t="shared" ca="1" si="287"/>
        <v>#N/A</v>
      </c>
      <c r="AE632" s="324">
        <f t="shared" ca="1" si="266"/>
        <v>1594.8315861324634</v>
      </c>
      <c r="AG632" s="306">
        <f t="shared" ca="1" si="288"/>
        <v>30.30585448739404</v>
      </c>
      <c r="AH632" s="304">
        <f t="shared" ca="1" si="289"/>
        <v>39.466754095398898</v>
      </c>
    </row>
    <row r="633" spans="1:34" x14ac:dyDescent="0.2">
      <c r="A633" s="347">
        <f t="shared" ca="1" si="267"/>
        <v>0.01</v>
      </c>
      <c r="B633" s="304">
        <f t="shared" ca="1" si="268"/>
        <v>6.2899999999999103</v>
      </c>
      <c r="D633" s="306">
        <f t="shared" ca="1" si="269"/>
        <v>13.975175877824567</v>
      </c>
      <c r="E633" s="307">
        <f t="shared" ca="1" si="270"/>
        <v>26.665742621607073</v>
      </c>
      <c r="F633" s="304">
        <f t="shared" ca="1" si="271"/>
        <v>30.105935799737594</v>
      </c>
      <c r="G633" s="306">
        <f t="shared" ca="1" si="272"/>
        <v>178.78097836251013</v>
      </c>
      <c r="H633" s="307">
        <f t="shared" ca="1" si="273"/>
        <v>466.52707948970072</v>
      </c>
      <c r="I633" s="304">
        <f t="shared" ca="1" si="274"/>
        <v>499.61000202302381</v>
      </c>
      <c r="J633" s="306">
        <f t="shared" ca="1" si="275"/>
        <v>577.96258368056147</v>
      </c>
      <c r="K633" s="307">
        <f t="shared" ca="1" si="276"/>
        <v>1599.4955236402293</v>
      </c>
      <c r="L633" s="304">
        <f t="shared" ca="1" si="261"/>
        <v>1700.7135791425437</v>
      </c>
      <c r="M633" s="306">
        <f t="shared" ca="1" si="277"/>
        <v>1.2048414857688505</v>
      </c>
      <c r="N633" s="304">
        <f t="shared" ca="1" si="278"/>
        <v>69.032332116826566</v>
      </c>
      <c r="P633" s="310">
        <f t="shared" ca="1" si="279"/>
        <v>17</v>
      </c>
      <c r="Q633" s="304">
        <f t="shared" ca="1" si="280"/>
        <v>1947.8159824047304</v>
      </c>
      <c r="R633" s="306">
        <f t="shared" ca="1" si="281"/>
        <v>1.1713661549525931</v>
      </c>
      <c r="S633" s="307">
        <f t="shared" ca="1" si="282"/>
        <v>12.138960745428161</v>
      </c>
      <c r="T633" s="304">
        <f t="shared" ca="1" si="262"/>
        <v>119.08320491265026</v>
      </c>
      <c r="U633" s="311">
        <f t="shared" ca="1" si="263"/>
        <v>0</v>
      </c>
      <c r="V633" s="306">
        <f t="shared" ca="1" si="264"/>
        <v>1.043571501883942</v>
      </c>
      <c r="W633" s="304">
        <f t="shared" ca="1" si="265"/>
        <v>1474.7254812684876</v>
      </c>
      <c r="Y633" s="314" t="str">
        <f t="shared" ca="1" si="283"/>
        <v/>
      </c>
      <c r="Z633" s="315" t="str">
        <f t="shared" ca="1" si="284"/>
        <v/>
      </c>
      <c r="AA633" s="316" t="str">
        <f t="shared" ca="1" si="285"/>
        <v/>
      </c>
      <c r="AC633" s="310" t="e">
        <f t="shared" ca="1" si="286"/>
        <v>#N/A</v>
      </c>
      <c r="AD633" s="323" t="e">
        <f t="shared" ca="1" si="287"/>
        <v>#N/A</v>
      </c>
      <c r="AE633" s="324">
        <f t="shared" ca="1" si="266"/>
        <v>1599.4955236402293</v>
      </c>
      <c r="AG633" s="306">
        <f t="shared" ca="1" si="288"/>
        <v>29.900649376329035</v>
      </c>
      <c r="AH633" s="304">
        <f t="shared" ca="1" si="289"/>
        <v>39.061302341497175</v>
      </c>
    </row>
    <row r="634" spans="1:34" x14ac:dyDescent="0.2">
      <c r="A634" s="347">
        <f t="shared" ca="1" si="267"/>
        <v>0.01</v>
      </c>
      <c r="B634" s="304">
        <f t="shared" ca="1" si="268"/>
        <v>6.2999999999999101</v>
      </c>
      <c r="D634" s="306">
        <f t="shared" ca="1" si="269"/>
        <v>13.833067600480364</v>
      </c>
      <c r="E634" s="307">
        <f t="shared" ca="1" si="270"/>
        <v>26.287244165148756</v>
      </c>
      <c r="F634" s="304">
        <f t="shared" ca="1" si="271"/>
        <v>29.704763339195399</v>
      </c>
      <c r="G634" s="306">
        <f t="shared" ca="1" si="272"/>
        <v>178.91930903851494</v>
      </c>
      <c r="H634" s="307">
        <f t="shared" ca="1" si="273"/>
        <v>466.78995193135222</v>
      </c>
      <c r="I634" s="304">
        <f t="shared" ca="1" si="274"/>
        <v>499.9049693400674</v>
      </c>
      <c r="J634" s="306">
        <f t="shared" ca="1" si="275"/>
        <v>579.75108511756662</v>
      </c>
      <c r="K634" s="307">
        <f t="shared" ca="1" si="276"/>
        <v>1604.1621087973347</v>
      </c>
      <c r="L634" s="304">
        <f t="shared" ca="1" si="261"/>
        <v>1705.7102309583852</v>
      </c>
      <c r="M634" s="306">
        <f t="shared" ca="1" si="277"/>
        <v>1.2047712640041601</v>
      </c>
      <c r="N634" s="304">
        <f t="shared" ca="1" si="278"/>
        <v>69.028308706079855</v>
      </c>
      <c r="P634" s="310">
        <f t="shared" ca="1" si="279"/>
        <v>17</v>
      </c>
      <c r="Q634" s="304">
        <f t="shared" ca="1" si="280"/>
        <v>1943.5296480938803</v>
      </c>
      <c r="R634" s="306">
        <f t="shared" ca="1" si="281"/>
        <v>1.1687884643566142</v>
      </c>
      <c r="S634" s="307">
        <f t="shared" ca="1" si="282"/>
        <v>12.127272860784595</v>
      </c>
      <c r="T634" s="304">
        <f t="shared" ca="1" si="262"/>
        <v>118.96854676429689</v>
      </c>
      <c r="U634" s="311">
        <f t="shared" ca="1" si="263"/>
        <v>0</v>
      </c>
      <c r="V634" s="306">
        <f t="shared" ca="1" si="264"/>
        <v>1.0430814813941303</v>
      </c>
      <c r="W634" s="304">
        <f t="shared" ca="1" si="265"/>
        <v>1475.774045326086</v>
      </c>
      <c r="Y634" s="314" t="str">
        <f t="shared" ca="1" si="283"/>
        <v/>
      </c>
      <c r="Z634" s="315" t="str">
        <f t="shared" ca="1" si="284"/>
        <v/>
      </c>
      <c r="AA634" s="316" t="str">
        <f t="shared" ca="1" si="285"/>
        <v/>
      </c>
      <c r="AC634" s="310" t="e">
        <f t="shared" ca="1" si="286"/>
        <v>#N/A</v>
      </c>
      <c r="AD634" s="323" t="e">
        <f t="shared" ca="1" si="287"/>
        <v>#N/A</v>
      </c>
      <c r="AE634" s="324">
        <f t="shared" ca="1" si="266"/>
        <v>1604.1621087973347</v>
      </c>
      <c r="AG634" s="306">
        <f t="shared" ca="1" si="288"/>
        <v>29.496608450382908</v>
      </c>
      <c r="AH634" s="304">
        <f t="shared" ca="1" si="289"/>
        <v>38.657014829883408</v>
      </c>
    </row>
    <row r="635" spans="1:34" x14ac:dyDescent="0.2">
      <c r="A635" s="347">
        <f t="shared" ca="1" si="267"/>
        <v>0.01</v>
      </c>
      <c r="B635" s="304">
        <f t="shared" ca="1" si="268"/>
        <v>6.3099999999999099</v>
      </c>
      <c r="D635" s="306">
        <f t="shared" ca="1" si="269"/>
        <v>13.691322134493898</v>
      </c>
      <c r="E635" s="307">
        <f t="shared" ca="1" si="270"/>
        <v>25.909854024594509</v>
      </c>
      <c r="F635" s="304">
        <f t="shared" ca="1" si="271"/>
        <v>29.304826178741937</v>
      </c>
      <c r="G635" s="306">
        <f t="shared" ca="1" si="272"/>
        <v>179.05622225985988</v>
      </c>
      <c r="H635" s="307">
        <f t="shared" ca="1" si="273"/>
        <v>467.04905047159815</v>
      </c>
      <c r="I635" s="304">
        <f t="shared" ca="1" si="274"/>
        <v>500.19590789648987</v>
      </c>
      <c r="J635" s="306">
        <f t="shared" ca="1" si="275"/>
        <v>581.54096277405847</v>
      </c>
      <c r="K635" s="307">
        <f t="shared" ca="1" si="276"/>
        <v>1608.8313038093495</v>
      </c>
      <c r="L635" s="304">
        <f t="shared" ca="1" si="261"/>
        <v>1710.70981042989</v>
      </c>
      <c r="M635" s="306">
        <f t="shared" ca="1" si="277"/>
        <v>1.2047010702239176</v>
      </c>
      <c r="N635" s="304">
        <f t="shared" ca="1" si="278"/>
        <v>69.024286898723886</v>
      </c>
      <c r="P635" s="310">
        <f t="shared" ca="1" si="279"/>
        <v>17</v>
      </c>
      <c r="Q635" s="304">
        <f t="shared" ca="1" si="280"/>
        <v>1939.2433137830299</v>
      </c>
      <c r="R635" s="306">
        <f t="shared" ca="1" si="281"/>
        <v>1.1662107737606353</v>
      </c>
      <c r="S635" s="307">
        <f t="shared" ca="1" si="282"/>
        <v>12.115610753046989</v>
      </c>
      <c r="T635" s="304">
        <f t="shared" ca="1" si="262"/>
        <v>118.85414148739096</v>
      </c>
      <c r="U635" s="311">
        <f t="shared" ca="1" si="263"/>
        <v>0</v>
      </c>
      <c r="V635" s="306">
        <f t="shared" ca="1" si="264"/>
        <v>1.0425913986779076</v>
      </c>
      <c r="W635" s="304">
        <f t="shared" ca="1" si="265"/>
        <v>1476.7981231004044</v>
      </c>
      <c r="Y635" s="314" t="str">
        <f t="shared" ca="1" si="283"/>
        <v/>
      </c>
      <c r="Z635" s="315" t="str">
        <f t="shared" ca="1" si="284"/>
        <v/>
      </c>
      <c r="AA635" s="316" t="str">
        <f t="shared" ca="1" si="285"/>
        <v/>
      </c>
      <c r="AC635" s="310" t="e">
        <f t="shared" ca="1" si="286"/>
        <v>#N/A</v>
      </c>
      <c r="AD635" s="323" t="e">
        <f t="shared" ca="1" si="287"/>
        <v>#N/A</v>
      </c>
      <c r="AE635" s="324">
        <f t="shared" ca="1" si="266"/>
        <v>1608.8313038093495</v>
      </c>
      <c r="AG635" s="306">
        <f t="shared" ca="1" si="288"/>
        <v>29.093732414814962</v>
      </c>
      <c r="AH635" s="304">
        <f t="shared" ca="1" si="289"/>
        <v>38.253892263779164</v>
      </c>
    </row>
    <row r="636" spans="1:34" x14ac:dyDescent="0.2">
      <c r="A636" s="347">
        <f t="shared" ca="1" si="267"/>
        <v>0.01</v>
      </c>
      <c r="B636" s="304">
        <f t="shared" ca="1" si="268"/>
        <v>6.3199999999999097</v>
      </c>
      <c r="D636" s="306">
        <f t="shared" ca="1" si="269"/>
        <v>13.549939989816908</v>
      </c>
      <c r="E636" s="307">
        <f t="shared" ca="1" si="270"/>
        <v>25.533572685269469</v>
      </c>
      <c r="F636" s="304">
        <f t="shared" ca="1" si="271"/>
        <v>28.906127513065091</v>
      </c>
      <c r="G636" s="306">
        <f t="shared" ca="1" si="272"/>
        <v>179.19172165975806</v>
      </c>
      <c r="H636" s="307">
        <f t="shared" ca="1" si="273"/>
        <v>467.30438619845086</v>
      </c>
      <c r="I636" s="304">
        <f t="shared" ca="1" si="274"/>
        <v>500.48282934752029</v>
      </c>
      <c r="J636" s="306">
        <f t="shared" ca="1" si="275"/>
        <v>583.33220249365661</v>
      </c>
      <c r="K636" s="307">
        <f t="shared" ca="1" si="276"/>
        <v>1613.5030709926998</v>
      </c>
      <c r="L636" s="304">
        <f t="shared" ca="1" si="261"/>
        <v>1715.712277326526</v>
      </c>
      <c r="M636" s="306">
        <f t="shared" ca="1" si="277"/>
        <v>1.2046309038378722</v>
      </c>
      <c r="N636" s="304">
        <f t="shared" ca="1" si="278"/>
        <v>69.020266660939797</v>
      </c>
      <c r="P636" s="310">
        <f t="shared" ca="1" si="279"/>
        <v>17</v>
      </c>
      <c r="Q636" s="304">
        <f t="shared" ca="1" si="280"/>
        <v>1934.9569794721795</v>
      </c>
      <c r="R636" s="306">
        <f t="shared" ca="1" si="281"/>
        <v>1.1636330831646562</v>
      </c>
      <c r="S636" s="307">
        <f t="shared" ca="1" si="282"/>
        <v>12.103974422215343</v>
      </c>
      <c r="T636" s="304">
        <f t="shared" ca="1" si="262"/>
        <v>118.73998908193252</v>
      </c>
      <c r="U636" s="311">
        <f t="shared" ca="1" si="263"/>
        <v>0</v>
      </c>
      <c r="V636" s="306">
        <f t="shared" ca="1" si="264"/>
        <v>1.042101257905873</v>
      </c>
      <c r="W636" s="304">
        <f t="shared" ca="1" si="265"/>
        <v>1477.7977796355249</v>
      </c>
      <c r="Y636" s="314" t="str">
        <f t="shared" ca="1" si="283"/>
        <v/>
      </c>
      <c r="Z636" s="315" t="str">
        <f t="shared" ca="1" si="284"/>
        <v/>
      </c>
      <c r="AA636" s="316" t="str">
        <f t="shared" ca="1" si="285"/>
        <v/>
      </c>
      <c r="AC636" s="310" t="e">
        <f t="shared" ca="1" si="286"/>
        <v>#N/A</v>
      </c>
      <c r="AD636" s="323" t="e">
        <f t="shared" ca="1" si="287"/>
        <v>#N/A</v>
      </c>
      <c r="AE636" s="324">
        <f t="shared" ca="1" si="266"/>
        <v>1613.5030709926998</v>
      </c>
      <c r="AG636" s="306">
        <f t="shared" ca="1" si="288"/>
        <v>28.692021901140734</v>
      </c>
      <c r="AH636" s="304">
        <f t="shared" ca="1" si="289"/>
        <v>37.8519352726722</v>
      </c>
    </row>
    <row r="637" spans="1:34" x14ac:dyDescent="0.2">
      <c r="A637" s="347">
        <f t="shared" ca="1" si="267"/>
        <v>0.01</v>
      </c>
      <c r="B637" s="304">
        <f t="shared" ca="1" si="268"/>
        <v>6.3299999999999095</v>
      </c>
      <c r="D637" s="306">
        <f t="shared" ca="1" si="269"/>
        <v>13.408921649204096</v>
      </c>
      <c r="E637" s="307">
        <f t="shared" ca="1" si="270"/>
        <v>25.158400564631854</v>
      </c>
      <c r="F637" s="304">
        <f t="shared" ca="1" si="271"/>
        <v>28.508670589225357</v>
      </c>
      <c r="G637" s="306">
        <f t="shared" ca="1" si="272"/>
        <v>179.3258108762501</v>
      </c>
      <c r="H637" s="307">
        <f t="shared" ca="1" si="273"/>
        <v>467.55597020409715</v>
      </c>
      <c r="I637" s="304">
        <f t="shared" ca="1" si="274"/>
        <v>500.76574535397208</v>
      </c>
      <c r="J637" s="306">
        <f t="shared" ca="1" si="275"/>
        <v>585.12479015633664</v>
      </c>
      <c r="K637" s="307">
        <f t="shared" ca="1" si="276"/>
        <v>1618.1773727747125</v>
      </c>
      <c r="L637" s="304">
        <f t="shared" ca="1" si="261"/>
        <v>1720.71759153429</v>
      </c>
      <c r="M637" s="306">
        <f t="shared" ca="1" si="277"/>
        <v>1.204560764258972</v>
      </c>
      <c r="N637" s="304">
        <f t="shared" ca="1" si="278"/>
        <v>69.016247959091984</v>
      </c>
      <c r="P637" s="310">
        <f t="shared" ca="1" si="279"/>
        <v>17</v>
      </c>
      <c r="Q637" s="304">
        <f t="shared" ca="1" si="280"/>
        <v>1930.670645161329</v>
      </c>
      <c r="R637" s="306">
        <f t="shared" ca="1" si="281"/>
        <v>1.1610553925686773</v>
      </c>
      <c r="S637" s="307">
        <f t="shared" ca="1" si="282"/>
        <v>12.092363868289656</v>
      </c>
      <c r="T637" s="304">
        <f t="shared" ca="1" si="262"/>
        <v>118.62608954792152</v>
      </c>
      <c r="U637" s="311">
        <f t="shared" ca="1" si="263"/>
        <v>0</v>
      </c>
      <c r="V637" s="306">
        <f t="shared" ca="1" si="264"/>
        <v>1.0416110632300175</v>
      </c>
      <c r="W637" s="304">
        <f t="shared" ca="1" si="265"/>
        <v>1478.7730806953941</v>
      </c>
      <c r="Y637" s="314" t="str">
        <f t="shared" ca="1" si="283"/>
        <v/>
      </c>
      <c r="Z637" s="315" t="str">
        <f t="shared" ca="1" si="284"/>
        <v/>
      </c>
      <c r="AA637" s="316" t="str">
        <f t="shared" ca="1" si="285"/>
        <v/>
      </c>
      <c r="AC637" s="310" t="e">
        <f t="shared" ca="1" si="286"/>
        <v>#N/A</v>
      </c>
      <c r="AD637" s="323" t="e">
        <f t="shared" ca="1" si="287"/>
        <v>#N/A</v>
      </c>
      <c r="AE637" s="324">
        <f t="shared" ca="1" si="266"/>
        <v>1618.1773727747125</v>
      </c>
      <c r="AG637" s="306">
        <f t="shared" ca="1" si="288"/>
        <v>28.291477467811134</v>
      </c>
      <c r="AH637" s="304">
        <f t="shared" ca="1" si="289"/>
        <v>37.451144412995447</v>
      </c>
    </row>
    <row r="638" spans="1:34" x14ac:dyDescent="0.2">
      <c r="A638" s="347">
        <f t="shared" ca="1" si="267"/>
        <v>0.01</v>
      </c>
      <c r="B638" s="304">
        <f t="shared" ca="1" si="268"/>
        <v>6.3399999999999093</v>
      </c>
      <c r="D638" s="306">
        <f t="shared" ca="1" si="269"/>
        <v>13.26826756844636</v>
      </c>
      <c r="E638" s="307">
        <f t="shared" ca="1" si="270"/>
        <v>24.784338012911803</v>
      </c>
      <c r="F638" s="304">
        <f t="shared" ca="1" si="271"/>
        <v>28.112458715063514</v>
      </c>
      <c r="G638" s="306">
        <f t="shared" ca="1" si="272"/>
        <v>179.45849355193457</v>
      </c>
      <c r="H638" s="307">
        <f t="shared" ca="1" si="273"/>
        <v>467.80381358422625</v>
      </c>
      <c r="I638" s="304">
        <f t="shared" ca="1" si="274"/>
        <v>501.04466758151938</v>
      </c>
      <c r="J638" s="306">
        <f t="shared" ca="1" si="275"/>
        <v>586.91871167847762</v>
      </c>
      <c r="K638" s="307">
        <f t="shared" ca="1" si="276"/>
        <v>1622.8541716936541</v>
      </c>
      <c r="L638" s="304">
        <f t="shared" ca="1" si="261"/>
        <v>1725.7257130557625</v>
      </c>
      <c r="M638" s="306">
        <f t="shared" ca="1" si="277"/>
        <v>1.2044906509033271</v>
      </c>
      <c r="N638" s="304">
        <f t="shared" ca="1" si="278"/>
        <v>69.012230759726037</v>
      </c>
      <c r="P638" s="310">
        <f t="shared" ca="1" si="279"/>
        <v>17</v>
      </c>
      <c r="Q638" s="304">
        <f t="shared" ca="1" si="280"/>
        <v>1926.3843108504786</v>
      </c>
      <c r="R638" s="306">
        <f t="shared" ca="1" si="281"/>
        <v>1.1584777019726984</v>
      </c>
      <c r="S638" s="307">
        <f t="shared" ca="1" si="282"/>
        <v>12.080779091269928</v>
      </c>
      <c r="T638" s="304">
        <f t="shared" ca="1" si="262"/>
        <v>118.512442885358</v>
      </c>
      <c r="U638" s="311">
        <f t="shared" ca="1" si="263"/>
        <v>0</v>
      </c>
      <c r="V638" s="306">
        <f t="shared" ca="1" si="264"/>
        <v>1.041120818783748</v>
      </c>
      <c r="W638" s="304">
        <f t="shared" ca="1" si="265"/>
        <v>1479.7240927512967</v>
      </c>
      <c r="Y638" s="314" t="str">
        <f t="shared" ca="1" si="283"/>
        <v/>
      </c>
      <c r="Z638" s="315" t="str">
        <f t="shared" ca="1" si="284"/>
        <v/>
      </c>
      <c r="AA638" s="316" t="str">
        <f t="shared" ca="1" si="285"/>
        <v/>
      </c>
      <c r="AC638" s="310" t="e">
        <f t="shared" ca="1" si="286"/>
        <v>#N/A</v>
      </c>
      <c r="AD638" s="323" t="e">
        <f t="shared" ca="1" si="287"/>
        <v>#N/A</v>
      </c>
      <c r="AE638" s="324">
        <f t="shared" ca="1" si="266"/>
        <v>1622.8541716936541</v>
      </c>
      <c r="AG638" s="306">
        <f t="shared" ca="1" si="288"/>
        <v>27.892099600892102</v>
      </c>
      <c r="AH638" s="304">
        <f t="shared" ca="1" si="289"/>
        <v>37.051520168806576</v>
      </c>
    </row>
    <row r="639" spans="1:34" x14ac:dyDescent="0.2">
      <c r="A639" s="347">
        <f t="shared" ca="1" si="267"/>
        <v>0.01</v>
      </c>
      <c r="B639" s="304">
        <f t="shared" ca="1" si="268"/>
        <v>6.3499999999999091</v>
      </c>
      <c r="D639" s="306">
        <f t="shared" ca="1" si="269"/>
        <v>13.127978176604085</v>
      </c>
      <c r="E639" s="307">
        <f t="shared" ca="1" si="270"/>
        <v>24.411385313750074</v>
      </c>
      <c r="F639" s="304">
        <f t="shared" ca="1" si="271"/>
        <v>27.717495268183342</v>
      </c>
      <c r="G639" s="306">
        <f t="shared" ca="1" si="272"/>
        <v>179.58977333370061</v>
      </c>
      <c r="H639" s="307">
        <f t="shared" ca="1" si="273"/>
        <v>468.04792743736374</v>
      </c>
      <c r="I639" s="304">
        <f t="shared" ca="1" si="274"/>
        <v>501.31960769997983</v>
      </c>
      <c r="J639" s="306">
        <f t="shared" ca="1" si="275"/>
        <v>588.71395301290579</v>
      </c>
      <c r="K639" s="307">
        <f t="shared" ca="1" si="276"/>
        <v>1627.533430398762</v>
      </c>
      <c r="L639" s="304">
        <f t="shared" ca="1" si="261"/>
        <v>1730.736602010151</v>
      </c>
      <c r="M639" s="306">
        <f t="shared" ca="1" si="277"/>
        <v>1.2044205631901732</v>
      </c>
      <c r="N639" s="304">
        <f t="shared" ca="1" si="278"/>
        <v>69.0082150295666</v>
      </c>
      <c r="P639" s="310">
        <f t="shared" ca="1" si="279"/>
        <v>17</v>
      </c>
      <c r="Q639" s="304">
        <f t="shared" ca="1" si="280"/>
        <v>1922.0979765396285</v>
      </c>
      <c r="R639" s="306">
        <f t="shared" ca="1" si="281"/>
        <v>1.1559000113767195</v>
      </c>
      <c r="S639" s="307">
        <f t="shared" ca="1" si="282"/>
        <v>12.069220091156161</v>
      </c>
      <c r="T639" s="304">
        <f t="shared" ca="1" si="262"/>
        <v>118.39904909424195</v>
      </c>
      <c r="U639" s="311">
        <f t="shared" ca="1" si="263"/>
        <v>0</v>
      </c>
      <c r="V639" s="306">
        <f t="shared" ca="1" si="264"/>
        <v>1.0406305286819086</v>
      </c>
      <c r="W639" s="304">
        <f t="shared" ca="1" si="265"/>
        <v>1480.650882969398</v>
      </c>
      <c r="Y639" s="314" t="str">
        <f t="shared" ca="1" si="283"/>
        <v/>
      </c>
      <c r="Z639" s="315" t="str">
        <f t="shared" ca="1" si="284"/>
        <v/>
      </c>
      <c r="AA639" s="316" t="str">
        <f t="shared" ca="1" si="285"/>
        <v/>
      </c>
      <c r="AC639" s="310" t="e">
        <f t="shared" ca="1" si="286"/>
        <v>#N/A</v>
      </c>
      <c r="AD639" s="323" t="e">
        <f t="shared" ca="1" si="287"/>
        <v>#N/A</v>
      </c>
      <c r="AE639" s="324">
        <f t="shared" ca="1" si="266"/>
        <v>1627.533430398762</v>
      </c>
      <c r="AG639" s="306">
        <f t="shared" ca="1" si="288"/>
        <v>27.493888714744212</v>
      </c>
      <c r="AH639" s="304">
        <f t="shared" ca="1" si="289"/>
        <v>36.653062952467458</v>
      </c>
    </row>
    <row r="640" spans="1:34" x14ac:dyDescent="0.2">
      <c r="A640" s="347">
        <f t="shared" ca="1" si="267"/>
        <v>0.01</v>
      </c>
      <c r="B640" s="304">
        <f t="shared" ca="1" si="268"/>
        <v>6.3599999999999088</v>
      </c>
      <c r="D640" s="306">
        <f t="shared" ca="1" si="269"/>
        <v>12.988053876240745</v>
      </c>
      <c r="E640" s="307">
        <f t="shared" ca="1" si="270"/>
        <v>24.039542684836988</v>
      </c>
      <c r="F640" s="304">
        <f t="shared" ca="1" si="271"/>
        <v>27.3237837055601</v>
      </c>
      <c r="G640" s="306">
        <f t="shared" ca="1" si="272"/>
        <v>179.71965387246303</v>
      </c>
      <c r="H640" s="307">
        <f t="shared" ca="1" si="273"/>
        <v>468.28832286421209</v>
      </c>
      <c r="I640" s="304">
        <f t="shared" ca="1" si="274"/>
        <v>501.59057738260441</v>
      </c>
      <c r="J640" s="306">
        <f t="shared" ca="1" si="275"/>
        <v>590.51050014893656</v>
      </c>
      <c r="K640" s="307">
        <f t="shared" ca="1" si="276"/>
        <v>1632.2151116502698</v>
      </c>
      <c r="L640" s="304">
        <f t="shared" ca="1" si="261"/>
        <v>1735.750218633329</v>
      </c>
      <c r="M640" s="306">
        <f t="shared" ca="1" si="277"/>
        <v>1.2043505005418362</v>
      </c>
      <c r="N640" s="304">
        <f t="shared" ca="1" si="278"/>
        <v>69.004200735515383</v>
      </c>
      <c r="P640" s="310">
        <f t="shared" ca="1" si="279"/>
        <v>17</v>
      </c>
      <c r="Q640" s="304">
        <f t="shared" ca="1" si="280"/>
        <v>1917.8116422287781</v>
      </c>
      <c r="R640" s="306">
        <f t="shared" ca="1" si="281"/>
        <v>1.1533223207807406</v>
      </c>
      <c r="S640" s="307">
        <f t="shared" ca="1" si="282"/>
        <v>12.057686867948354</v>
      </c>
      <c r="T640" s="304">
        <f t="shared" ca="1" si="262"/>
        <v>118.28590817457335</v>
      </c>
      <c r="U640" s="311">
        <f t="shared" ca="1" si="263"/>
        <v>0</v>
      </c>
      <c r="V640" s="306">
        <f t="shared" ca="1" si="264"/>
        <v>1.0401401970208086</v>
      </c>
      <c r="W640" s="304">
        <f t="shared" ca="1" si="265"/>
        <v>1481.5535191983699</v>
      </c>
      <c r="Y640" s="314" t="str">
        <f t="shared" ca="1" si="283"/>
        <v/>
      </c>
      <c r="Z640" s="315" t="str">
        <f t="shared" ca="1" si="284"/>
        <v/>
      </c>
      <c r="AA640" s="316" t="str">
        <f t="shared" ca="1" si="285"/>
        <v/>
      </c>
      <c r="AC640" s="310" t="e">
        <f t="shared" ca="1" si="286"/>
        <v>#N/A</v>
      </c>
      <c r="AD640" s="323" t="e">
        <f t="shared" ca="1" si="287"/>
        <v>#N/A</v>
      </c>
      <c r="AE640" s="324">
        <f t="shared" ca="1" si="266"/>
        <v>1632.2151116502698</v>
      </c>
      <c r="AG640" s="306">
        <f t="shared" ca="1" si="288"/>
        <v>27.096845152702578</v>
      </c>
      <c r="AH640" s="304">
        <f t="shared" ca="1" si="289"/>
        <v>36.255773105323975</v>
      </c>
    </row>
    <row r="641" spans="1:34" x14ac:dyDescent="0.2">
      <c r="A641" s="347">
        <f t="shared" ca="1" si="267"/>
        <v>0.01</v>
      </c>
      <c r="B641" s="304">
        <f t="shared" ca="1" si="268"/>
        <v>6.3699999999999086</v>
      </c>
      <c r="D641" s="306">
        <f t="shared" ca="1" si="269"/>
        <v>12.848495043656468</v>
      </c>
      <c r="E641" s="307">
        <f t="shared" ca="1" si="270"/>
        <v>23.668810278550922</v>
      </c>
      <c r="F641" s="304">
        <f t="shared" ca="1" si="271"/>
        <v>26.931327573829378</v>
      </c>
      <c r="G641" s="306">
        <f t="shared" ca="1" si="272"/>
        <v>179.84813882289959</v>
      </c>
      <c r="H641" s="307">
        <f t="shared" ca="1" si="273"/>
        <v>468.52501096699763</v>
      </c>
      <c r="I641" s="304">
        <f t="shared" ca="1" si="274"/>
        <v>501.85758830537395</v>
      </c>
      <c r="J641" s="306">
        <f t="shared" ca="1" si="275"/>
        <v>592.30833911241336</v>
      </c>
      <c r="K641" s="307">
        <f t="shared" ca="1" si="276"/>
        <v>1636.8991783194258</v>
      </c>
      <c r="L641" s="304">
        <f t="shared" ca="1" si="261"/>
        <v>1740.7665232778681</v>
      </c>
      <c r="M641" s="306">
        <f t="shared" ca="1" si="277"/>
        <v>1.204280462383696</v>
      </c>
      <c r="N641" s="304">
        <f t="shared" ca="1" si="278"/>
        <v>69.000187844649076</v>
      </c>
      <c r="P641" s="310">
        <f t="shared" ca="1" si="279"/>
        <v>17</v>
      </c>
      <c r="Q641" s="304">
        <f t="shared" ca="1" si="280"/>
        <v>1913.5253079179276</v>
      </c>
      <c r="R641" s="306">
        <f t="shared" ca="1" si="281"/>
        <v>1.1507446301847615</v>
      </c>
      <c r="S641" s="307">
        <f t="shared" ca="1" si="282"/>
        <v>12.046179421646507</v>
      </c>
      <c r="T641" s="304">
        <f t="shared" ca="1" si="262"/>
        <v>118.17302012635224</v>
      </c>
      <c r="U641" s="311">
        <f t="shared" ca="1" si="263"/>
        <v>0</v>
      </c>
      <c r="V641" s="306">
        <f t="shared" ca="1" si="264"/>
        <v>1.0396498278782438</v>
      </c>
      <c r="W641" s="304">
        <f t="shared" ca="1" si="265"/>
        <v>1482.432069957084</v>
      </c>
      <c r="Y641" s="314" t="str">
        <f t="shared" ca="1" si="283"/>
        <v/>
      </c>
      <c r="Z641" s="315" t="str">
        <f t="shared" ca="1" si="284"/>
        <v/>
      </c>
      <c r="AA641" s="316" t="str">
        <f t="shared" ca="1" si="285"/>
        <v/>
      </c>
      <c r="AC641" s="310" t="e">
        <f t="shared" ca="1" si="286"/>
        <v>#N/A</v>
      </c>
      <c r="AD641" s="323" t="e">
        <f t="shared" ca="1" si="287"/>
        <v>#N/A</v>
      </c>
      <c r="AE641" s="324">
        <f t="shared" ca="1" si="266"/>
        <v>1636.8991783194258</v>
      </c>
      <c r="AG641" s="306">
        <f t="shared" ca="1" si="288"/>
        <v>26.700969187756346</v>
      </c>
      <c r="AH641" s="304">
        <f t="shared" ca="1" si="289"/>
        <v>35.859650898385389</v>
      </c>
    </row>
    <row r="642" spans="1:34" x14ac:dyDescent="0.2">
      <c r="A642" s="347">
        <f t="shared" ca="1" si="267"/>
        <v>0.01</v>
      </c>
      <c r="B642" s="304">
        <f t="shared" ca="1" si="268"/>
        <v>6.3799999999999084</v>
      </c>
      <c r="D642" s="306">
        <f t="shared" ca="1" si="269"/>
        <v>12.709302029121888</v>
      </c>
      <c r="E642" s="307">
        <f t="shared" ca="1" si="270"/>
        <v>23.299188182597028</v>
      </c>
      <c r="F642" s="304">
        <f t="shared" ca="1" si="271"/>
        <v>26.54013052031792</v>
      </c>
      <c r="G642" s="306">
        <f t="shared" ca="1" si="272"/>
        <v>179.97523184319081</v>
      </c>
      <c r="H642" s="307">
        <f t="shared" ca="1" si="273"/>
        <v>468.75800284882359</v>
      </c>
      <c r="I642" s="304">
        <f t="shared" ca="1" si="274"/>
        <v>502.12065214630235</v>
      </c>
      <c r="J642" s="306">
        <f t="shared" ca="1" si="275"/>
        <v>594.10745596574384</v>
      </c>
      <c r="K642" s="307">
        <f t="shared" ca="1" si="276"/>
        <v>1641.585593388505</v>
      </c>
      <c r="L642" s="304">
        <f t="shared" ca="1" si="261"/>
        <v>1745.7854764130611</v>
      </c>
      <c r="M642" s="306">
        <f t="shared" ca="1" si="277"/>
        <v>1.2042104481441522</v>
      </c>
      <c r="N642" s="304">
        <f t="shared" ca="1" si="278"/>
        <v>68.996176324217402</v>
      </c>
      <c r="P642" s="310">
        <f t="shared" ca="1" si="279"/>
        <v>17</v>
      </c>
      <c r="Q642" s="304">
        <f t="shared" ca="1" si="280"/>
        <v>1909.2389736070772</v>
      </c>
      <c r="R642" s="306">
        <f t="shared" ca="1" si="281"/>
        <v>1.1481669395887826</v>
      </c>
      <c r="S642" s="307">
        <f t="shared" ca="1" si="282"/>
        <v>12.034697752250619</v>
      </c>
      <c r="T642" s="304">
        <f t="shared" ca="1" si="262"/>
        <v>118.06038494957858</v>
      </c>
      <c r="U642" s="311">
        <f t="shared" ca="1" si="263"/>
        <v>0</v>
      </c>
      <c r="V642" s="306">
        <f t="shared" ca="1" si="264"/>
        <v>1.0391594253135263</v>
      </c>
      <c r="W642" s="304">
        <f t="shared" ca="1" si="265"/>
        <v>1483.2866044223929</v>
      </c>
      <c r="Y642" s="314" t="str">
        <f t="shared" ca="1" si="283"/>
        <v/>
      </c>
      <c r="Z642" s="315" t="str">
        <f t="shared" ca="1" si="284"/>
        <v/>
      </c>
      <c r="AA642" s="316" t="str">
        <f t="shared" ca="1" si="285"/>
        <v/>
      </c>
      <c r="AC642" s="310" t="e">
        <f t="shared" ca="1" si="286"/>
        <v>#N/A</v>
      </c>
      <c r="AD642" s="323" t="e">
        <f t="shared" ca="1" si="287"/>
        <v>#N/A</v>
      </c>
      <c r="AE642" s="324">
        <f t="shared" ca="1" si="266"/>
        <v>1641.585593388505</v>
      </c>
      <c r="AG642" s="306">
        <f t="shared" ca="1" si="288"/>
        <v>26.306261023228448</v>
      </c>
      <c r="AH642" s="304">
        <f t="shared" ca="1" si="289"/>
        <v>35.464696533003981</v>
      </c>
    </row>
    <row r="643" spans="1:34" x14ac:dyDescent="0.2">
      <c r="A643" s="347">
        <f t="shared" ca="1" si="267"/>
        <v>0.01</v>
      </c>
      <c r="B643" s="304">
        <f t="shared" ca="1" si="268"/>
        <v>6.3899999999999082</v>
      </c>
      <c r="D643" s="306">
        <f t="shared" ca="1" si="269"/>
        <v>12.570475157111737</v>
      </c>
      <c r="E643" s="307">
        <f t="shared" ca="1" si="270"/>
        <v>22.930676420644872</v>
      </c>
      <c r="F643" s="304">
        <f t="shared" ca="1" si="271"/>
        <v>26.150196304882339</v>
      </c>
      <c r="G643" s="306">
        <f t="shared" ca="1" si="272"/>
        <v>180.10093659476192</v>
      </c>
      <c r="H643" s="307">
        <f t="shared" ca="1" si="273"/>
        <v>468.98730961303005</v>
      </c>
      <c r="I643" s="304">
        <f t="shared" ca="1" si="274"/>
        <v>502.37978058474704</v>
      </c>
      <c r="J643" s="306">
        <f t="shared" ca="1" si="275"/>
        <v>595.90783680793356</v>
      </c>
      <c r="K643" s="307">
        <f t="shared" ca="1" si="276"/>
        <v>1646.2743199508143</v>
      </c>
      <c r="L643" s="304">
        <f t="shared" ca="1" si="261"/>
        <v>1750.8070386249385</v>
      </c>
      <c r="M643" s="306">
        <f t="shared" ca="1" si="277"/>
        <v>1.2041404572545882</v>
      </c>
      <c r="N643" s="304">
        <f t="shared" ca="1" si="278"/>
        <v>68.992166141641007</v>
      </c>
      <c r="P643" s="310">
        <f t="shared" ca="1" si="279"/>
        <v>17</v>
      </c>
      <c r="Q643" s="304">
        <f t="shared" ca="1" si="280"/>
        <v>1904.9526392962271</v>
      </c>
      <c r="R643" s="306">
        <f t="shared" ca="1" si="281"/>
        <v>1.1455892489928037</v>
      </c>
      <c r="S643" s="307">
        <f t="shared" ca="1" si="282"/>
        <v>12.02324185976069</v>
      </c>
      <c r="T643" s="304">
        <f t="shared" ca="1" si="262"/>
        <v>117.94800264425237</v>
      </c>
      <c r="U643" s="311">
        <f t="shared" ca="1" si="263"/>
        <v>0</v>
      </c>
      <c r="V643" s="306">
        <f t="shared" ca="1" si="264"/>
        <v>1.0386689933675082</v>
      </c>
      <c r="W643" s="304">
        <f t="shared" ca="1" si="265"/>
        <v>1484.1171924169778</v>
      </c>
      <c r="Y643" s="314" t="str">
        <f t="shared" ca="1" si="283"/>
        <v/>
      </c>
      <c r="Z643" s="315" t="str">
        <f t="shared" ca="1" si="284"/>
        <v/>
      </c>
      <c r="AA643" s="316" t="str">
        <f t="shared" ca="1" si="285"/>
        <v/>
      </c>
      <c r="AC643" s="310" t="e">
        <f t="shared" ca="1" si="286"/>
        <v>#N/A</v>
      </c>
      <c r="AD643" s="323" t="e">
        <f t="shared" ca="1" si="287"/>
        <v>#N/A</v>
      </c>
      <c r="AE643" s="324">
        <f t="shared" ca="1" si="266"/>
        <v>1646.2743199508143</v>
      </c>
      <c r="AG643" s="306">
        <f t="shared" ca="1" si="288"/>
        <v>25.912720793454366</v>
      </c>
      <c r="AH643" s="304">
        <f t="shared" ca="1" si="289"/>
        <v>35.070910141553703</v>
      </c>
    </row>
    <row r="644" spans="1:34" x14ac:dyDescent="0.2">
      <c r="A644" s="347">
        <f t="shared" ca="1" si="267"/>
        <v>0.01</v>
      </c>
      <c r="B644" s="304">
        <f t="shared" ca="1" si="268"/>
        <v>6.399999999999908</v>
      </c>
      <c r="D644" s="306">
        <f t="shared" ca="1" si="269"/>
        <v>12.432014726538853</v>
      </c>
      <c r="E644" s="307">
        <f t="shared" ca="1" si="270"/>
        <v>22.563274952966566</v>
      </c>
      <c r="F644" s="304">
        <f t="shared" ca="1" si="271"/>
        <v>25.761528812631585</v>
      </c>
      <c r="G644" s="306">
        <f t="shared" ca="1" si="272"/>
        <v>180.22525674202731</v>
      </c>
      <c r="H644" s="307">
        <f t="shared" ca="1" si="273"/>
        <v>469.21294236255972</v>
      </c>
      <c r="I644" s="304">
        <f t="shared" ca="1" si="274"/>
        <v>502.63498530072542</v>
      </c>
      <c r="J644" s="306">
        <f t="shared" ca="1" si="275"/>
        <v>597.70946777461756</v>
      </c>
      <c r="K644" s="307">
        <f t="shared" ca="1" si="276"/>
        <v>1650.9653212106923</v>
      </c>
      <c r="L644" s="304">
        <f t="shared" ref="L644:L707" ca="1" si="290">SQRT(pos_x^2+pos_z^2)</f>
        <v>1755.8311706162813</v>
      </c>
      <c r="M644" s="306">
        <f t="shared" ca="1" si="277"/>
        <v>1.2040704891493377</v>
      </c>
      <c r="N644" s="304">
        <f t="shared" ca="1" si="278"/>
        <v>68.988157264509638</v>
      </c>
      <c r="P644" s="310">
        <f t="shared" ca="1" si="279"/>
        <v>17</v>
      </c>
      <c r="Q644" s="304">
        <f t="shared" ca="1" si="280"/>
        <v>1900.6663049853767</v>
      </c>
      <c r="R644" s="306">
        <f t="shared" ca="1" si="281"/>
        <v>1.1430115583968248</v>
      </c>
      <c r="S644" s="307">
        <f t="shared" ca="1" si="282"/>
        <v>12.011811744176722</v>
      </c>
      <c r="T644" s="304">
        <f t="shared" ref="T644:T707" ca="1" si="291">m*g</f>
        <v>117.83587321037365</v>
      </c>
      <c r="U644" s="311">
        <f t="shared" ref="U644:U707" ca="1" si="292">IF(pos_xz&lt;L_rampe,Poids*COS(Beta),0)</f>
        <v>0</v>
      </c>
      <c r="V644" s="306">
        <f t="shared" ref="V644:V707" ca="1" si="293">Rho_moyen*(20000-Alt_rampe-pos_z)/(20000+Alt_rampe+pos_z)</f>
        <v>1.0381785360626123</v>
      </c>
      <c r="W644" s="304">
        <f t="shared" ref="W644:W707" ca="1" si="294">1/2*Rho*Sref*Cx*vit_xz^2</f>
        <v>1484.9239043972841</v>
      </c>
      <c r="Y644" s="314" t="str">
        <f t="shared" ca="1" si="283"/>
        <v/>
      </c>
      <c r="Z644" s="315" t="str">
        <f t="shared" ca="1" si="284"/>
        <v/>
      </c>
      <c r="AA644" s="316" t="str">
        <f t="shared" ca="1" si="285"/>
        <v/>
      </c>
      <c r="AC644" s="310" t="e">
        <f t="shared" ca="1" si="286"/>
        <v>#N/A</v>
      </c>
      <c r="AD644" s="323" t="e">
        <f t="shared" ca="1" si="287"/>
        <v>#N/A</v>
      </c>
      <c r="AE644" s="324">
        <f t="shared" ref="AE644:AE707" ca="1" si="295">IF(t&lt;T_para, pos_z, NA())</f>
        <v>1650.9653212106923</v>
      </c>
      <c r="AG644" s="306">
        <f t="shared" ca="1" si="288"/>
        <v>25.52034856446139</v>
      </c>
      <c r="AH644" s="304">
        <f t="shared" ca="1" si="289"/>
        <v>34.678291788109334</v>
      </c>
    </row>
    <row r="645" spans="1:34" x14ac:dyDescent="0.2">
      <c r="A645" s="347">
        <f t="shared" ref="A645:A708" ca="1" si="296">IF(B644+0.01&lt;=T_ini+ROUNDUP(Temps_fin_propu,0), 0.01, IF(K644&gt;0, 0.1, 0.0001))</f>
        <v>0.01</v>
      </c>
      <c r="B645" s="304">
        <f t="shared" ref="B645:B708" ca="1" si="297">B644+pas</f>
        <v>6.4099999999999078</v>
      </c>
      <c r="D645" s="306">
        <f t="shared" ref="D645:D708" ca="1" si="298">IF(AND(L644&lt;L_rampe,Poussee&lt;Poids*SIN(M644)),0,(-W644+Poussee)/m*COS(M644)-U644/m*SIN(M644))</f>
        <v>12.293921010987841</v>
      </c>
      <c r="E645" s="307">
        <f t="shared" ref="E645:E708" ca="1" si="299">IF(AND(L644&lt;L_rampe,Poussee&lt;Poids*SIN(M644)),0,(-W644+Poussee)/m*SIN(M644)+U644/m*COS(M644)-Poids/m)</f>
        <v>22.196983677073788</v>
      </c>
      <c r="F645" s="304">
        <f t="shared" ref="F645:F708" ca="1" si="300">SQRT(acc_x^2+acc_z^2)</f>
        <v>25.374132067613434</v>
      </c>
      <c r="G645" s="306">
        <f t="shared" ref="G645:G708" ca="1" si="301">G644+acc_x*pas</f>
        <v>180.34819595213719</v>
      </c>
      <c r="H645" s="307">
        <f t="shared" ref="H645:H708" ca="1" si="302">H644+acc_z*pas</f>
        <v>469.43491219933043</v>
      </c>
      <c r="I645" s="304">
        <f t="shared" ref="I645:I708" ca="1" si="303">SQRT(vit_x^2+vit_z^2)</f>
        <v>502.88627797423896</v>
      </c>
      <c r="J645" s="306">
        <f t="shared" ref="J645:J708" ca="1" si="304">J644+0.5*(vit_x+G644)*pas*(K644&gt;=0)</f>
        <v>599.51233503808839</v>
      </c>
      <c r="K645" s="307">
        <f t="shared" ref="K645:K708" ca="1" si="305">K644+0.5*(vit_z+H644)*pas</f>
        <v>1655.6585604835018</v>
      </c>
      <c r="L645" s="304">
        <f t="shared" ca="1" si="290"/>
        <v>1760.8578332066229</v>
      </c>
      <c r="M645" s="306">
        <f t="shared" ref="M645:M708" ca="1" si="306">IF(AND(L644&gt;L_rampe,G645&gt;0),ATAN2(G645,H645),$M$4)</f>
        <v>1.2040005432656498</v>
      </c>
      <c r="N645" s="304">
        <f t="shared" ref="N645:N708" ca="1" si="307">DEGREES(Beta)</f>
        <v>68.984149660580002</v>
      </c>
      <c r="P645" s="310">
        <f t="shared" ref="P645:P708" ca="1" si="308">MATCH(t-pas/2-T_ini,CdP_t)</f>
        <v>17</v>
      </c>
      <c r="Q645" s="304">
        <f t="shared" ref="Q645:Q708" ca="1" si="309">(INDEX(CdP,2,i_P+1)-INDEX(CdP,2,i_P+0))/(INDEX(CdP,1,i_P+1)-INDEX(CdP,1,i_P+0))*(t-pas/2-T_ini-INDEX(CdP,1,i_P+0))+INDEX(CdP,2,i_P+0)</f>
        <v>1896.3799706745262</v>
      </c>
      <c r="R645" s="306">
        <f t="shared" ref="R645:R708" ca="1" si="310">Poussee/(g*ISP)</f>
        <v>1.1404338678008459</v>
      </c>
      <c r="S645" s="307">
        <f t="shared" ref="S645:S708" ca="1" si="311">S644-Débit*pas</f>
        <v>12.000407405498713</v>
      </c>
      <c r="T645" s="304">
        <f t="shared" ca="1" si="291"/>
        <v>117.72399664794239</v>
      </c>
      <c r="U645" s="311">
        <f t="shared" ca="1" si="292"/>
        <v>0</v>
      </c>
      <c r="V645" s="306">
        <f t="shared" ca="1" si="293"/>
        <v>1.0376880574028586</v>
      </c>
      <c r="W645" s="304">
        <f t="shared" ca="1" si="294"/>
        <v>1485.7068114415317</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f t="shared" ca="1" si="295"/>
        <v>1655.6585604835018</v>
      </c>
      <c r="AG645" s="306">
        <f t="shared" ref="AG645:AG708" ca="1" si="317">IF(AND(L644&lt;L_rampe,Poussee&lt;Poids*SIN(M644)),0,(-W644+Poussee)/m-Poids*SIN(M644)/m)</f>
        <v>25.129144334646774</v>
      </c>
      <c r="AH645" s="304">
        <f t="shared" ref="AH645:AH708" ca="1" si="318">IF(AND(L644&lt;L_rampe,Poussee&lt;Poids*SIN(M644)), g*SIN(M644), (-W644+Poussee)/m)</f>
        <v>34.286841469124511</v>
      </c>
    </row>
    <row r="646" spans="1:34" x14ac:dyDescent="0.2">
      <c r="A646" s="347">
        <f t="shared" ca="1" si="296"/>
        <v>0.01</v>
      </c>
      <c r="B646" s="304">
        <f t="shared" ca="1" si="297"/>
        <v>6.4199999999999076</v>
      </c>
      <c r="D646" s="306">
        <f t="shared" ca="1" si="298"/>
        <v>12.156194258948876</v>
      </c>
      <c r="E646" s="307">
        <f t="shared" ca="1" si="299"/>
        <v>21.831802428354401</v>
      </c>
      <c r="F646" s="304">
        <f t="shared" ca="1" si="300"/>
        <v>24.988010247556783</v>
      </c>
      <c r="G646" s="306">
        <f t="shared" ca="1" si="301"/>
        <v>180.46975789472668</v>
      </c>
      <c r="H646" s="307">
        <f t="shared" ca="1" si="302"/>
        <v>469.65323022361395</v>
      </c>
      <c r="I646" s="304">
        <f t="shared" ca="1" si="303"/>
        <v>503.13367028460357</v>
      </c>
      <c r="J646" s="306">
        <f t="shared" ca="1" si="304"/>
        <v>601.31642480732273</v>
      </c>
      <c r="K646" s="307">
        <f t="shared" ca="1" si="305"/>
        <v>1660.3540011956165</v>
      </c>
      <c r="L646" s="304">
        <f t="shared" ca="1" si="290"/>
        <v>1765.8869873322456</v>
      </c>
      <c r="M646" s="306">
        <f t="shared" ca="1" si="306"/>
        <v>1.2039306190436561</v>
      </c>
      <c r="N646" s="304">
        <f t="shared" ca="1" si="307"/>
        <v>68.980143297774021</v>
      </c>
      <c r="P646" s="310">
        <f t="shared" ca="1" si="308"/>
        <v>17</v>
      </c>
      <c r="Q646" s="304">
        <f t="shared" ca="1" si="309"/>
        <v>1892.0936363636758</v>
      </c>
      <c r="R646" s="306">
        <f t="shared" ca="1" si="310"/>
        <v>1.1378561772048668</v>
      </c>
      <c r="S646" s="307">
        <f t="shared" ca="1" si="311"/>
        <v>11.989028843726665</v>
      </c>
      <c r="T646" s="304">
        <f t="shared" ca="1" si="291"/>
        <v>117.61237295695858</v>
      </c>
      <c r="U646" s="311">
        <f t="shared" ca="1" si="292"/>
        <v>0</v>
      </c>
      <c r="V646" s="306">
        <f t="shared" ca="1" si="293"/>
        <v>1.0371975613738944</v>
      </c>
      <c r="W646" s="304">
        <f t="shared" ca="1" si="294"/>
        <v>1486.4659852378059</v>
      </c>
      <c r="Y646" s="314" t="str">
        <f t="shared" ca="1" si="312"/>
        <v/>
      </c>
      <c r="Z646" s="315" t="str">
        <f t="shared" ca="1" si="313"/>
        <v/>
      </c>
      <c r="AA646" s="316" t="str">
        <f t="shared" ca="1" si="314"/>
        <v/>
      </c>
      <c r="AC646" s="310" t="e">
        <f t="shared" ca="1" si="315"/>
        <v>#N/A</v>
      </c>
      <c r="AD646" s="323" t="e">
        <f t="shared" ca="1" si="316"/>
        <v>#N/A</v>
      </c>
      <c r="AE646" s="324">
        <f t="shared" ca="1" si="295"/>
        <v>1660.3540011956165</v>
      </c>
      <c r="AG646" s="306">
        <f t="shared" ca="1" si="317"/>
        <v>24.739108035455558</v>
      </c>
      <c r="AH646" s="304">
        <f t="shared" ca="1" si="318"/>
        <v>33.896559114109444</v>
      </c>
    </row>
    <row r="647" spans="1:34" x14ac:dyDescent="0.2">
      <c r="A647" s="347">
        <f t="shared" ca="1" si="296"/>
        <v>0.01</v>
      </c>
      <c r="B647" s="304">
        <f t="shared" ca="1" si="297"/>
        <v>6.4299999999999073</v>
      </c>
      <c r="D647" s="306">
        <f t="shared" ca="1" si="298"/>
        <v>12.01883469405135</v>
      </c>
      <c r="E647" s="307">
        <f t="shared" ca="1" si="299"/>
        <v>21.467730980708517</v>
      </c>
      <c r="F647" s="304">
        <f t="shared" ca="1" si="300"/>
        <v>24.603167699769976</v>
      </c>
      <c r="G647" s="306">
        <f t="shared" ca="1" si="301"/>
        <v>180.58994624166721</v>
      </c>
      <c r="H647" s="307">
        <f t="shared" ca="1" si="302"/>
        <v>469.86790753342103</v>
      </c>
      <c r="I647" s="304">
        <f t="shared" ca="1" si="303"/>
        <v>503.37717390978679</v>
      </c>
      <c r="J647" s="306">
        <f t="shared" ca="1" si="304"/>
        <v>603.12172332800469</v>
      </c>
      <c r="K647" s="307">
        <f t="shared" ca="1" si="305"/>
        <v>1665.0516068844017</v>
      </c>
      <c r="L647" s="304">
        <f t="shared" ca="1" si="290"/>
        <v>1770.9185940461721</v>
      </c>
      <c r="M647" s="306">
        <f t="shared" ca="1" si="306"/>
        <v>1.2038607159263361</v>
      </c>
      <c r="N647" s="304">
        <f t="shared" ca="1" si="307"/>
        <v>68.976138144176787</v>
      </c>
      <c r="P647" s="310">
        <f t="shared" ca="1" si="308"/>
        <v>17</v>
      </c>
      <c r="Q647" s="304">
        <f t="shared" ca="1" si="309"/>
        <v>1887.8073020528254</v>
      </c>
      <c r="R647" s="306">
        <f t="shared" ca="1" si="310"/>
        <v>1.1352784866088879</v>
      </c>
      <c r="S647" s="307">
        <f t="shared" ca="1" si="311"/>
        <v>11.977676058860576</v>
      </c>
      <c r="T647" s="304">
        <f t="shared" ca="1" si="291"/>
        <v>117.50100213742225</v>
      </c>
      <c r="U647" s="311">
        <f t="shared" ca="1" si="292"/>
        <v>0</v>
      </c>
      <c r="V647" s="306">
        <f t="shared" ca="1" si="293"/>
        <v>1.0367070519430244</v>
      </c>
      <c r="W647" s="304">
        <f t="shared" ca="1" si="294"/>
        <v>1487.2014980722306</v>
      </c>
      <c r="Y647" s="314" t="str">
        <f t="shared" ca="1" si="312"/>
        <v/>
      </c>
      <c r="Z647" s="315" t="str">
        <f t="shared" ca="1" si="313"/>
        <v/>
      </c>
      <c r="AA647" s="316" t="str">
        <f t="shared" ca="1" si="314"/>
        <v/>
      </c>
      <c r="AC647" s="310" t="e">
        <f t="shared" ca="1" si="315"/>
        <v>#N/A</v>
      </c>
      <c r="AD647" s="323" t="e">
        <f t="shared" ca="1" si="316"/>
        <v>#N/A</v>
      </c>
      <c r="AE647" s="324">
        <f t="shared" ca="1" si="295"/>
        <v>1665.0516068844017</v>
      </c>
      <c r="AG647" s="306">
        <f t="shared" ca="1" si="317"/>
        <v>24.350239532057813</v>
      </c>
      <c r="AH647" s="304">
        <f t="shared" ca="1" si="318"/>
        <v>33.507444586308068</v>
      </c>
    </row>
    <row r="648" spans="1:34" x14ac:dyDescent="0.2">
      <c r="A648" s="347">
        <f t="shared" ca="1" si="296"/>
        <v>0.01</v>
      </c>
      <c r="B648" s="304">
        <f t="shared" ca="1" si="297"/>
        <v>6.4399999999999071</v>
      </c>
      <c r="D648" s="306">
        <f t="shared" ca="1" si="298"/>
        <v>11.88184251529743</v>
      </c>
      <c r="E648" s="307">
        <f t="shared" ca="1" si="299"/>
        <v>21.104769047183595</v>
      </c>
      <c r="F648" s="304">
        <f t="shared" ca="1" si="300"/>
        <v>24.219608958306662</v>
      </c>
      <c r="G648" s="306">
        <f t="shared" ca="1" si="301"/>
        <v>180.70876466682017</v>
      </c>
      <c r="H648" s="307">
        <f t="shared" ca="1" si="302"/>
        <v>470.07895522389288</v>
      </c>
      <c r="I648" s="304">
        <f t="shared" ca="1" si="303"/>
        <v>503.61680052575178</v>
      </c>
      <c r="J648" s="306">
        <f t="shared" ca="1" si="304"/>
        <v>604.92821688254708</v>
      </c>
      <c r="K648" s="307">
        <f t="shared" ca="1" si="305"/>
        <v>1669.7513411981884</v>
      </c>
      <c r="L648" s="304">
        <f t="shared" ca="1" si="290"/>
        <v>1775.9526145181485</v>
      </c>
      <c r="M648" s="306">
        <f t="shared" ca="1" si="306"/>
        <v>1.2037908333594858</v>
      </c>
      <c r="N648" s="304">
        <f t="shared" ca="1" si="307"/>
        <v>68.972134168034728</v>
      </c>
      <c r="P648" s="310">
        <f t="shared" ca="1" si="308"/>
        <v>17</v>
      </c>
      <c r="Q648" s="304">
        <f t="shared" ca="1" si="309"/>
        <v>1883.5209677419753</v>
      </c>
      <c r="R648" s="306">
        <f t="shared" ca="1" si="310"/>
        <v>1.132700796012909</v>
      </c>
      <c r="S648" s="307">
        <f t="shared" ca="1" si="311"/>
        <v>11.966349050900446</v>
      </c>
      <c r="T648" s="304">
        <f t="shared" ca="1" si="291"/>
        <v>117.38988418933337</v>
      </c>
      <c r="U648" s="311">
        <f t="shared" ca="1" si="292"/>
        <v>0</v>
      </c>
      <c r="V648" s="306">
        <f t="shared" ca="1" si="293"/>
        <v>1.0362165330592408</v>
      </c>
      <c r="W648" s="304">
        <f t="shared" ca="1" si="294"/>
        <v>1487.9134228172195</v>
      </c>
      <c r="Y648" s="314" t="str">
        <f t="shared" ca="1" si="312"/>
        <v/>
      </c>
      <c r="Z648" s="315" t="str">
        <f t="shared" ca="1" si="313"/>
        <v/>
      </c>
      <c r="AA648" s="316" t="str">
        <f t="shared" ca="1" si="314"/>
        <v/>
      </c>
      <c r="AC648" s="310" t="e">
        <f t="shared" ca="1" si="315"/>
        <v>#N/A</v>
      </c>
      <c r="AD648" s="323" t="e">
        <f t="shared" ca="1" si="316"/>
        <v>#N/A</v>
      </c>
      <c r="AE648" s="324">
        <f t="shared" ca="1" si="295"/>
        <v>1669.7513411981884</v>
      </c>
      <c r="AG648" s="306">
        <f t="shared" ca="1" si="317"/>
        <v>23.962538624024941</v>
      </c>
      <c r="AH648" s="304">
        <f t="shared" ca="1" si="318"/>
        <v>33.11949768337422</v>
      </c>
    </row>
    <row r="649" spans="1:34" x14ac:dyDescent="0.2">
      <c r="A649" s="347">
        <f t="shared" ca="1" si="296"/>
        <v>0.01</v>
      </c>
      <c r="B649" s="304">
        <f t="shared" ca="1" si="297"/>
        <v>6.4499999999999069</v>
      </c>
      <c r="D649" s="306">
        <f t="shared" ca="1" si="298"/>
        <v>11.745217897295486</v>
      </c>
      <c r="E649" s="307">
        <f t="shared" ca="1" si="299"/>
        <v>20.742916280608995</v>
      </c>
      <c r="F649" s="304">
        <f t="shared" ca="1" si="300"/>
        <v>23.837338762523469</v>
      </c>
      <c r="G649" s="306">
        <f t="shared" ca="1" si="301"/>
        <v>180.82621684579314</v>
      </c>
      <c r="H649" s="307">
        <f t="shared" ca="1" si="302"/>
        <v>470.28638438669896</v>
      </c>
      <c r="I649" s="304">
        <f t="shared" ca="1" si="303"/>
        <v>503.85256180580819</v>
      </c>
      <c r="J649" s="306">
        <f t="shared" ca="1" si="304"/>
        <v>606.73589179011014</v>
      </c>
      <c r="K649" s="307">
        <f t="shared" ca="1" si="305"/>
        <v>1674.4531678962412</v>
      </c>
      <c r="L649" s="304">
        <f t="shared" ca="1" si="290"/>
        <v>1780.9890100346206</v>
      </c>
      <c r="M649" s="306">
        <f t="shared" ca="1" si="306"/>
        <v>1.2037209707916829</v>
      </c>
      <c r="N649" s="304">
        <f t="shared" ca="1" si="307"/>
        <v>68.968131337753675</v>
      </c>
      <c r="P649" s="310">
        <f t="shared" ca="1" si="308"/>
        <v>17</v>
      </c>
      <c r="Q649" s="304">
        <f t="shared" ca="1" si="309"/>
        <v>1879.2346334311248</v>
      </c>
      <c r="R649" s="306">
        <f t="shared" ca="1" si="310"/>
        <v>1.1301231054169301</v>
      </c>
      <c r="S649" s="307">
        <f t="shared" ca="1" si="311"/>
        <v>11.955047819846277</v>
      </c>
      <c r="T649" s="304">
        <f t="shared" ca="1" si="291"/>
        <v>117.27901911269198</v>
      </c>
      <c r="U649" s="311">
        <f t="shared" ca="1" si="292"/>
        <v>0</v>
      </c>
      <c r="V649" s="306">
        <f t="shared" ca="1" si="293"/>
        <v>1.0357260086532565</v>
      </c>
      <c r="W649" s="304">
        <f t="shared" ca="1" si="294"/>
        <v>1488.6018329198155</v>
      </c>
      <c r="Y649" s="314" t="str">
        <f t="shared" ca="1" si="312"/>
        <v/>
      </c>
      <c r="Z649" s="315" t="str">
        <f t="shared" ca="1" si="313"/>
        <v/>
      </c>
      <c r="AA649" s="316" t="str">
        <f t="shared" ca="1" si="314"/>
        <v/>
      </c>
      <c r="AC649" s="310" t="e">
        <f t="shared" ca="1" si="315"/>
        <v>#N/A</v>
      </c>
      <c r="AD649" s="323" t="e">
        <f t="shared" ca="1" si="316"/>
        <v>#N/A</v>
      </c>
      <c r="AE649" s="324">
        <f t="shared" ca="1" si="295"/>
        <v>1674.4531678962412</v>
      </c>
      <c r="AG649" s="306">
        <f t="shared" ca="1" si="317"/>
        <v>23.576005046005456</v>
      </c>
      <c r="AH649" s="304">
        <f t="shared" ca="1" si="318"/>
        <v>32.732718138047325</v>
      </c>
    </row>
    <row r="650" spans="1:34" x14ac:dyDescent="0.2">
      <c r="A650" s="347">
        <f t="shared" ca="1" si="296"/>
        <v>0.01</v>
      </c>
      <c r="B650" s="304">
        <f t="shared" ca="1" si="297"/>
        <v>6.4599999999999067</v>
      </c>
      <c r="D650" s="306">
        <f t="shared" ca="1" si="298"/>
        <v>11.442157341931175</v>
      </c>
      <c r="E650" s="307">
        <f t="shared" ca="1" si="299"/>
        <v>19.94835528600079</v>
      </c>
      <c r="F650" s="304">
        <f t="shared" ca="1" si="300"/>
        <v>22.996952912375701</v>
      </c>
      <c r="G650" s="306">
        <f t="shared" ca="1" si="301"/>
        <v>180.94063841921246</v>
      </c>
      <c r="H650" s="307">
        <f t="shared" ca="1" si="302"/>
        <v>470.48586793955894</v>
      </c>
      <c r="I650" s="304">
        <f t="shared" ca="1" si="303"/>
        <v>504.07982161795792</v>
      </c>
      <c r="J650" s="306">
        <f t="shared" ca="1" si="304"/>
        <v>608.54472606643515</v>
      </c>
      <c r="K650" s="307">
        <f t="shared" ca="1" si="305"/>
        <v>1679.1570291578726</v>
      </c>
      <c r="L650" s="304">
        <f t="shared" ca="1" si="290"/>
        <v>1786.0277187640636</v>
      </c>
      <c r="M650" s="306">
        <f t="shared" ca="1" si="306"/>
        <v>1.2036511270302768</v>
      </c>
      <c r="N650" s="304">
        <f t="shared" ca="1" si="307"/>
        <v>68.964129584999782</v>
      </c>
      <c r="P650" s="310">
        <f t="shared" ca="1" si="308"/>
        <v>18</v>
      </c>
      <c r="Q650" s="304">
        <f t="shared" ca="1" si="309"/>
        <v>1869.3981343284554</v>
      </c>
      <c r="R650" s="306">
        <f t="shared" ca="1" si="310"/>
        <v>1.1242076892604904</v>
      </c>
      <c r="S650" s="307">
        <f t="shared" ca="1" si="311"/>
        <v>11.943805742953671</v>
      </c>
      <c r="T650" s="304">
        <f t="shared" ca="1" si="291"/>
        <v>117.16873433837551</v>
      </c>
      <c r="U650" s="311">
        <f t="shared" ca="1" si="292"/>
        <v>0</v>
      </c>
      <c r="V650" s="306">
        <f t="shared" ca="1" si="293"/>
        <v>1.0352354848989906</v>
      </c>
      <c r="W650" s="304">
        <f t="shared" ca="1" si="294"/>
        <v>1489.2393428439345</v>
      </c>
      <c r="Y650" s="314" t="str">
        <f t="shared" ca="1" si="312"/>
        <v/>
      </c>
      <c r="Z650" s="315" t="str">
        <f t="shared" ca="1" si="313"/>
        <v/>
      </c>
      <c r="AA650" s="316" t="str">
        <f t="shared" ca="1" si="314"/>
        <v/>
      </c>
      <c r="AC650" s="310" t="e">
        <f t="shared" ca="1" si="315"/>
        <v>#N/A</v>
      </c>
      <c r="AD650" s="323" t="e">
        <f t="shared" ca="1" si="316"/>
        <v>#N/A</v>
      </c>
      <c r="AE650" s="324">
        <f t="shared" ca="1" si="295"/>
        <v>1679.1570291578726</v>
      </c>
      <c r="AG650" s="306">
        <f t="shared" ca="1" si="317"/>
        <v>22.725858266100296</v>
      </c>
      <c r="AH650" s="304">
        <f t="shared" ca="1" si="318"/>
        <v>31.882325416527582</v>
      </c>
    </row>
    <row r="651" spans="1:34" x14ac:dyDescent="0.2">
      <c r="A651" s="347">
        <f t="shared" ca="1" si="296"/>
        <v>0.01</v>
      </c>
      <c r="B651" s="304">
        <f t="shared" ca="1" si="297"/>
        <v>6.4699999999999065</v>
      </c>
      <c r="D651" s="306">
        <f t="shared" ca="1" si="298"/>
        <v>11.121331722848069</v>
      </c>
      <c r="E651" s="307">
        <f t="shared" ca="1" si="299"/>
        <v>19.107933826148923</v>
      </c>
      <c r="F651" s="304">
        <f t="shared" ca="1" si="300"/>
        <v>22.10875741406814</v>
      </c>
      <c r="G651" s="306">
        <f t="shared" ca="1" si="301"/>
        <v>181.05185173644094</v>
      </c>
      <c r="H651" s="307">
        <f t="shared" ca="1" si="302"/>
        <v>470.67694727782043</v>
      </c>
      <c r="I651" s="304">
        <f t="shared" ca="1" si="303"/>
        <v>504.29808815418124</v>
      </c>
      <c r="J651" s="306">
        <f t="shared" ca="1" si="304"/>
        <v>610.35468851721339</v>
      </c>
      <c r="K651" s="307">
        <f t="shared" ca="1" si="305"/>
        <v>1683.8628432339594</v>
      </c>
      <c r="L651" s="304">
        <f t="shared" ca="1" si="290"/>
        <v>1791.0686532399864</v>
      </c>
      <c r="M651" s="306">
        <f t="shared" ca="1" si="306"/>
        <v>1.2035813008168663</v>
      </c>
      <c r="N651" s="304">
        <f t="shared" ca="1" si="307"/>
        <v>68.960128837671988</v>
      </c>
      <c r="P651" s="310">
        <f t="shared" ca="1" si="308"/>
        <v>18</v>
      </c>
      <c r="Q651" s="304">
        <f t="shared" ca="1" si="309"/>
        <v>1858.9449502488537</v>
      </c>
      <c r="R651" s="306">
        <f t="shared" ca="1" si="310"/>
        <v>1.1179214147084056</v>
      </c>
      <c r="S651" s="307">
        <f t="shared" ca="1" si="311"/>
        <v>11.932626528806587</v>
      </c>
      <c r="T651" s="304">
        <f t="shared" ca="1" si="291"/>
        <v>117.05906624759263</v>
      </c>
      <c r="U651" s="311">
        <f t="shared" ca="1" si="292"/>
        <v>0</v>
      </c>
      <c r="V651" s="306">
        <f t="shared" ca="1" si="293"/>
        <v>1.0347449704534322</v>
      </c>
      <c r="W651" s="304">
        <f t="shared" ca="1" si="294"/>
        <v>1489.8230617772952</v>
      </c>
      <c r="Y651" s="314" t="str">
        <f t="shared" ca="1" si="312"/>
        <v/>
      </c>
      <c r="Z651" s="315" t="str">
        <f t="shared" ca="1" si="313"/>
        <v/>
      </c>
      <c r="AA651" s="316" t="str">
        <f t="shared" ca="1" si="314"/>
        <v/>
      </c>
      <c r="AC651" s="310" t="e">
        <f t="shared" ca="1" si="315"/>
        <v>#N/A</v>
      </c>
      <c r="AD651" s="323" t="e">
        <f t="shared" ca="1" si="316"/>
        <v>#N/A</v>
      </c>
      <c r="AE651" s="324">
        <f t="shared" ca="1" si="295"/>
        <v>1683.8628432339594</v>
      </c>
      <c r="AG651" s="306">
        <f t="shared" ca="1" si="317"/>
        <v>21.826530682019552</v>
      </c>
      <c r="AH651" s="304">
        <f t="shared" ca="1" si="318"/>
        <v>30.982751912364964</v>
      </c>
    </row>
    <row r="652" spans="1:34" x14ac:dyDescent="0.2">
      <c r="A652" s="347">
        <f t="shared" ca="1" si="296"/>
        <v>0.01</v>
      </c>
      <c r="B652" s="304">
        <f t="shared" ca="1" si="297"/>
        <v>6.4799999999999063</v>
      </c>
      <c r="D652" s="306">
        <f t="shared" ca="1" si="298"/>
        <v>10.801345535765666</v>
      </c>
      <c r="E652" s="307">
        <f t="shared" ca="1" si="299"/>
        <v>18.270046100096501</v>
      </c>
      <c r="F652" s="304">
        <f t="shared" ca="1" si="300"/>
        <v>21.224128954627471</v>
      </c>
      <c r="G652" s="306">
        <f t="shared" ca="1" si="301"/>
        <v>181.15986519179859</v>
      </c>
      <c r="H652" s="307">
        <f t="shared" ca="1" si="302"/>
        <v>470.85964773882142</v>
      </c>
      <c r="I652" s="304">
        <f t="shared" ca="1" si="303"/>
        <v>504.50738807775411</v>
      </c>
      <c r="J652" s="306">
        <f t="shared" ca="1" si="304"/>
        <v>612.16574710185455</v>
      </c>
      <c r="K652" s="307">
        <f t="shared" ca="1" si="305"/>
        <v>1688.5705262090426</v>
      </c>
      <c r="L652" s="304">
        <f t="shared" ca="1" si="290"/>
        <v>1796.1117236705111</v>
      </c>
      <c r="M652" s="306">
        <f t="shared" ca="1" si="306"/>
        <v>1.2035114908990832</v>
      </c>
      <c r="N652" s="304">
        <f t="shared" ca="1" si="307"/>
        <v>68.956129024014857</v>
      </c>
      <c r="P652" s="310">
        <f t="shared" ca="1" si="308"/>
        <v>18</v>
      </c>
      <c r="Q652" s="304">
        <f t="shared" ca="1" si="309"/>
        <v>1848.4917661692518</v>
      </c>
      <c r="R652" s="306">
        <f t="shared" ca="1" si="310"/>
        <v>1.1116351401563209</v>
      </c>
      <c r="S652" s="307">
        <f t="shared" ca="1" si="311"/>
        <v>11.921510177405024</v>
      </c>
      <c r="T652" s="304">
        <f t="shared" ca="1" si="291"/>
        <v>116.95001484034329</v>
      </c>
      <c r="U652" s="311">
        <f t="shared" ca="1" si="292"/>
        <v>0</v>
      </c>
      <c r="V652" s="306">
        <f t="shared" ca="1" si="293"/>
        <v>1.0342544741843225</v>
      </c>
      <c r="W652" s="304">
        <f t="shared" ca="1" si="294"/>
        <v>1490.35316580925</v>
      </c>
      <c r="Y652" s="314" t="str">
        <f t="shared" ca="1" si="312"/>
        <v/>
      </c>
      <c r="Z652" s="315" t="str">
        <f t="shared" ca="1" si="313"/>
        <v/>
      </c>
      <c r="AA652" s="316" t="str">
        <f t="shared" ca="1" si="314"/>
        <v/>
      </c>
      <c r="AC652" s="310" t="e">
        <f t="shared" ca="1" si="315"/>
        <v>#N/A</v>
      </c>
      <c r="AD652" s="323" t="e">
        <f t="shared" ca="1" si="316"/>
        <v>#N/A</v>
      </c>
      <c r="AE652" s="324">
        <f t="shared" ca="1" si="295"/>
        <v>1688.5705262090426</v>
      </c>
      <c r="AG652" s="306">
        <f t="shared" ca="1" si="317"/>
        <v>20.929869423353811</v>
      </c>
      <c r="AH652" s="304">
        <f t="shared" ca="1" si="318"/>
        <v>30.085844750755289</v>
      </c>
    </row>
    <row r="653" spans="1:34" x14ac:dyDescent="0.2">
      <c r="A653" s="347">
        <f t="shared" ca="1" si="296"/>
        <v>0.01</v>
      </c>
      <c r="B653" s="304">
        <f t="shared" ca="1" si="297"/>
        <v>6.4899999999999061</v>
      </c>
      <c r="D653" s="306">
        <f t="shared" ca="1" si="298"/>
        <v>10.48220185640443</v>
      </c>
      <c r="E653" s="307">
        <f t="shared" ca="1" si="299"/>
        <v>17.434698313328482</v>
      </c>
      <c r="F653" s="304">
        <f t="shared" ca="1" si="300"/>
        <v>20.343187091387314</v>
      </c>
      <c r="G653" s="306">
        <f t="shared" ca="1" si="301"/>
        <v>181.26468721036264</v>
      </c>
      <c r="H653" s="307">
        <f t="shared" ca="1" si="302"/>
        <v>471.03399472195468</v>
      </c>
      <c r="I653" s="304">
        <f t="shared" ca="1" si="303"/>
        <v>504.70774812082391</v>
      </c>
      <c r="J653" s="306">
        <f t="shared" ca="1" si="304"/>
        <v>613.97786986386541</v>
      </c>
      <c r="K653" s="307">
        <f t="shared" ca="1" si="305"/>
        <v>1693.2799944213464</v>
      </c>
      <c r="L653" s="304">
        <f t="shared" ca="1" si="290"/>
        <v>1801.1568405305866</v>
      </c>
      <c r="M653" s="306">
        <f t="shared" ca="1" si="306"/>
        <v>1.203441696030455</v>
      </c>
      <c r="N653" s="304">
        <f t="shared" ca="1" si="307"/>
        <v>68.952130072610785</v>
      </c>
      <c r="P653" s="310">
        <f t="shared" ca="1" si="308"/>
        <v>18</v>
      </c>
      <c r="Q653" s="304">
        <f t="shared" ca="1" si="309"/>
        <v>1838.0385820896502</v>
      </c>
      <c r="R653" s="306">
        <f t="shared" ca="1" si="310"/>
        <v>1.1053488656042361</v>
      </c>
      <c r="S653" s="307">
        <f t="shared" ca="1" si="311"/>
        <v>11.910456688748981</v>
      </c>
      <c r="T653" s="304">
        <f t="shared" ca="1" si="291"/>
        <v>116.84158011662751</v>
      </c>
      <c r="U653" s="311">
        <f t="shared" ca="1" si="292"/>
        <v>0</v>
      </c>
      <c r="V653" s="306">
        <f t="shared" ca="1" si="293"/>
        <v>1.0337640049176917</v>
      </c>
      <c r="W653" s="304">
        <f t="shared" ca="1" si="294"/>
        <v>1490.8298343358147</v>
      </c>
      <c r="Y653" s="314" t="str">
        <f t="shared" ca="1" si="312"/>
        <v/>
      </c>
      <c r="Z653" s="315" t="str">
        <f t="shared" ca="1" si="313"/>
        <v/>
      </c>
      <c r="AA653" s="316" t="str">
        <f t="shared" ca="1" si="314"/>
        <v/>
      </c>
      <c r="AC653" s="310" t="e">
        <f t="shared" ca="1" si="315"/>
        <v>#N/A</v>
      </c>
      <c r="AD653" s="323" t="e">
        <f t="shared" ca="1" si="316"/>
        <v>#N/A</v>
      </c>
      <c r="AE653" s="324">
        <f t="shared" ca="1" si="295"/>
        <v>1693.2799944213464</v>
      </c>
      <c r="AG653" s="306">
        <f t="shared" ca="1" si="317"/>
        <v>20.035881377237722</v>
      </c>
      <c r="AH653" s="304">
        <f t="shared" ca="1" si="318"/>
        <v>29.191610814456475</v>
      </c>
    </row>
    <row r="654" spans="1:34" x14ac:dyDescent="0.2">
      <c r="A654" s="347">
        <f t="shared" ca="1" si="296"/>
        <v>0.01</v>
      </c>
      <c r="B654" s="304">
        <f t="shared" ca="1" si="297"/>
        <v>6.4999999999999059</v>
      </c>
      <c r="D654" s="306">
        <f t="shared" ca="1" si="298"/>
        <v>10.163903636634846</v>
      </c>
      <c r="E654" s="307">
        <f t="shared" ca="1" si="299"/>
        <v>16.601896357821964</v>
      </c>
      <c r="F654" s="304">
        <f t="shared" ca="1" si="300"/>
        <v>19.466070476874915</v>
      </c>
      <c r="G654" s="306">
        <f t="shared" ca="1" si="301"/>
        <v>181.36632624672899</v>
      </c>
      <c r="H654" s="307">
        <f t="shared" ca="1" si="302"/>
        <v>471.20001368553289</v>
      </c>
      <c r="I654" s="304">
        <f t="shared" ca="1" si="303"/>
        <v>504.89919508103924</v>
      </c>
      <c r="J654" s="306">
        <f t="shared" ca="1" si="304"/>
        <v>615.7910249311509</v>
      </c>
      <c r="K654" s="307">
        <f t="shared" ca="1" si="305"/>
        <v>1697.9911644633837</v>
      </c>
      <c r="L654" s="304">
        <f t="shared" ca="1" si="290"/>
        <v>1806.2039145626595</v>
      </c>
      <c r="M654" s="306">
        <f t="shared" ca="1" si="306"/>
        <v>1.2033719149702702</v>
      </c>
      <c r="N654" s="304">
        <f t="shared" ca="1" si="307"/>
        <v>68.948131912372247</v>
      </c>
      <c r="P654" s="310">
        <f t="shared" ca="1" si="308"/>
        <v>18</v>
      </c>
      <c r="Q654" s="304">
        <f t="shared" ca="1" si="309"/>
        <v>1827.5853980100485</v>
      </c>
      <c r="R654" s="306">
        <f t="shared" ca="1" si="310"/>
        <v>1.0990625910521514</v>
      </c>
      <c r="S654" s="307">
        <f t="shared" ca="1" si="311"/>
        <v>11.89946606283846</v>
      </c>
      <c r="T654" s="304">
        <f t="shared" ca="1" si="291"/>
        <v>116.7337620764453</v>
      </c>
      <c r="U654" s="311">
        <f t="shared" ca="1" si="292"/>
        <v>0</v>
      </c>
      <c r="V654" s="306">
        <f t="shared" ca="1" si="293"/>
        <v>1.0332735714378667</v>
      </c>
      <c r="W654" s="304">
        <f t="shared" ca="1" si="294"/>
        <v>1491.2532499996173</v>
      </c>
      <c r="Y654" s="314" t="str">
        <f t="shared" ca="1" si="312"/>
        <v/>
      </c>
      <c r="Z654" s="315" t="str">
        <f t="shared" ca="1" si="313"/>
        <v/>
      </c>
      <c r="AA654" s="316" t="str">
        <f t="shared" ca="1" si="314"/>
        <v/>
      </c>
      <c r="AC654" s="310" t="e">
        <f t="shared" ca="1" si="315"/>
        <v>#N/A</v>
      </c>
      <c r="AD654" s="323" t="e">
        <f t="shared" ca="1" si="316"/>
        <v>#N/A</v>
      </c>
      <c r="AE654" s="324">
        <f t="shared" ca="1" si="295"/>
        <v>1697.9911644633837</v>
      </c>
      <c r="AG654" s="306">
        <f t="shared" ca="1" si="317"/>
        <v>19.144573093818462</v>
      </c>
      <c r="AH654" s="304">
        <f t="shared" ca="1" si="318"/>
        <v>28.300056649256518</v>
      </c>
    </row>
    <row r="655" spans="1:34" x14ac:dyDescent="0.2">
      <c r="A655" s="347">
        <f t="shared" ca="1" si="296"/>
        <v>0.01</v>
      </c>
      <c r="B655" s="304">
        <f t="shared" ca="1" si="297"/>
        <v>6.5099999999999056</v>
      </c>
      <c r="D655" s="306">
        <f t="shared" ca="1" si="298"/>
        <v>9.8464537055537864</v>
      </c>
      <c r="E655" s="307">
        <f t="shared" ca="1" si="299"/>
        <v>15.77164581499642</v>
      </c>
      <c r="F655" s="304">
        <f t="shared" ca="1" si="300"/>
        <v>18.592941195230733</v>
      </c>
      <c r="G655" s="306">
        <f t="shared" ca="1" si="301"/>
        <v>181.46479078378454</v>
      </c>
      <c r="H655" s="307">
        <f t="shared" ca="1" si="302"/>
        <v>471.35773014368289</v>
      </c>
      <c r="I655" s="304">
        <f t="shared" ca="1" si="303"/>
        <v>505.08175581821178</v>
      </c>
      <c r="J655" s="306">
        <f t="shared" ca="1" si="304"/>
        <v>617.60518051630345</v>
      </c>
      <c r="K655" s="307">
        <f t="shared" ca="1" si="305"/>
        <v>1702.7039531825299</v>
      </c>
      <c r="L655" s="304">
        <f t="shared" ca="1" si="290"/>
        <v>1811.2528567773165</v>
      </c>
      <c r="M655" s="306">
        <f t="shared" ca="1" si="306"/>
        <v>1.2033021464834441</v>
      </c>
      <c r="N655" s="304">
        <f t="shared" ca="1" si="307"/>
        <v>68.944134472534103</v>
      </c>
      <c r="P655" s="310">
        <f t="shared" ca="1" si="308"/>
        <v>18</v>
      </c>
      <c r="Q655" s="304">
        <f t="shared" ca="1" si="309"/>
        <v>1817.1322139304466</v>
      </c>
      <c r="R655" s="306">
        <f t="shared" ca="1" si="310"/>
        <v>1.0927763165000666</v>
      </c>
      <c r="S655" s="307">
        <f t="shared" ca="1" si="311"/>
        <v>11.88853829967346</v>
      </c>
      <c r="T655" s="304">
        <f t="shared" ca="1" si="291"/>
        <v>116.62656071979664</v>
      </c>
      <c r="U655" s="311">
        <f t="shared" ca="1" si="292"/>
        <v>0</v>
      </c>
      <c r="V655" s="306">
        <f t="shared" ca="1" si="293"/>
        <v>1.0327831824874774</v>
      </c>
      <c r="W655" s="304">
        <f t="shared" ca="1" si="294"/>
        <v>1491.6235986301513</v>
      </c>
      <c r="Y655" s="314" t="str">
        <f t="shared" ca="1" si="312"/>
        <v/>
      </c>
      <c r="Z655" s="315" t="str">
        <f t="shared" ca="1" si="313"/>
        <v/>
      </c>
      <c r="AA655" s="316" t="str">
        <f t="shared" ca="1" si="314"/>
        <v/>
      </c>
      <c r="AC655" s="310" t="e">
        <f t="shared" ca="1" si="315"/>
        <v>#N/A</v>
      </c>
      <c r="AD655" s="323" t="e">
        <f t="shared" ca="1" si="316"/>
        <v>#N/A</v>
      </c>
      <c r="AE655" s="324">
        <f t="shared" ca="1" si="295"/>
        <v>1702.7039531825299</v>
      </c>
      <c r="AG655" s="306">
        <f t="shared" ca="1" si="317"/>
        <v>18.255950789394749</v>
      </c>
      <c r="AH655" s="304">
        <f t="shared" ca="1" si="318"/>
        <v>27.411188467112069</v>
      </c>
    </row>
    <row r="656" spans="1:34" x14ac:dyDescent="0.2">
      <c r="A656" s="347">
        <f t="shared" ca="1" si="296"/>
        <v>0.01</v>
      </c>
      <c r="B656" s="304">
        <f t="shared" ca="1" si="297"/>
        <v>6.5199999999999054</v>
      </c>
      <c r="D656" s="306">
        <f t="shared" ca="1" si="298"/>
        <v>9.5298547705680061</v>
      </c>
      <c r="E656" s="307">
        <f t="shared" ca="1" si="299"/>
        <v>14.943951958680911</v>
      </c>
      <c r="F656" s="304">
        <f t="shared" ca="1" si="300"/>
        <v>17.723990298222372</v>
      </c>
      <c r="G656" s="306">
        <f t="shared" ca="1" si="301"/>
        <v>181.56008933149022</v>
      </c>
      <c r="H656" s="307">
        <f t="shared" ca="1" si="302"/>
        <v>471.50716966326968</v>
      </c>
      <c r="I656" s="304">
        <f t="shared" ca="1" si="303"/>
        <v>505.25545725100892</v>
      </c>
      <c r="J656" s="306">
        <f t="shared" ca="1" si="304"/>
        <v>619.42030491687979</v>
      </c>
      <c r="K656" s="307">
        <f t="shared" ca="1" si="305"/>
        <v>1707.4182776815646</v>
      </c>
      <c r="L656" s="304">
        <f t="shared" ca="1" si="290"/>
        <v>1816.3035784538886</v>
      </c>
      <c r="M656" s="306">
        <f t="shared" ca="1" si="306"/>
        <v>1.2032323893403867</v>
      </c>
      <c r="N656" s="304">
        <f t="shared" ca="1" si="307"/>
        <v>68.940137682646025</v>
      </c>
      <c r="P656" s="310">
        <f t="shared" ca="1" si="308"/>
        <v>18</v>
      </c>
      <c r="Q656" s="304">
        <f t="shared" ca="1" si="309"/>
        <v>1806.6790298508449</v>
      </c>
      <c r="R656" s="306">
        <f t="shared" ca="1" si="310"/>
        <v>1.0864900419479819</v>
      </c>
      <c r="S656" s="307">
        <f t="shared" ca="1" si="311"/>
        <v>11.877673399253981</v>
      </c>
      <c r="T656" s="304">
        <f t="shared" ca="1" si="291"/>
        <v>116.51997604668156</v>
      </c>
      <c r="U656" s="311">
        <f t="shared" ca="1" si="292"/>
        <v>0</v>
      </c>
      <c r="V656" s="306">
        <f t="shared" ca="1" si="293"/>
        <v>1.0322928467674686</v>
      </c>
      <c r="W656" s="304">
        <f t="shared" ca="1" si="294"/>
        <v>1491.941069184342</v>
      </c>
      <c r="Y656" s="314" t="str">
        <f t="shared" ca="1" si="312"/>
        <v/>
      </c>
      <c r="Z656" s="315" t="str">
        <f t="shared" ca="1" si="313"/>
        <v/>
      </c>
      <c r="AA656" s="316" t="str">
        <f t="shared" ca="1" si="314"/>
        <v/>
      </c>
      <c r="AC656" s="310" t="e">
        <f t="shared" ca="1" si="315"/>
        <v>#N/A</v>
      </c>
      <c r="AD656" s="323" t="e">
        <f t="shared" ca="1" si="316"/>
        <v>#N/A</v>
      </c>
      <c r="AE656" s="324">
        <f t="shared" ca="1" si="295"/>
        <v>1707.4182776815646</v>
      </c>
      <c r="AG656" s="306">
        <f t="shared" ca="1" si="317"/>
        <v>17.37002034957429</v>
      </c>
      <c r="AH656" s="304">
        <f t="shared" ca="1" si="318"/>
        <v>26.525012149305422</v>
      </c>
    </row>
    <row r="657" spans="1:34" x14ac:dyDescent="0.2">
      <c r="A657" s="347">
        <f t="shared" ca="1" si="296"/>
        <v>0.01</v>
      </c>
      <c r="B657" s="304">
        <f t="shared" ca="1" si="297"/>
        <v>6.5299999999999052</v>
      </c>
      <c r="D657" s="306">
        <f t="shared" ca="1" si="298"/>
        <v>9.2141094184843464</v>
      </c>
      <c r="E657" s="307">
        <f t="shared" ca="1" si="299"/>
        <v>14.118819758097048</v>
      </c>
      <c r="F657" s="304">
        <f t="shared" ca="1" si="300"/>
        <v>16.859444941558234</v>
      </c>
      <c r="G657" s="306">
        <f t="shared" ca="1" si="301"/>
        <v>181.65223042567507</v>
      </c>
      <c r="H657" s="307">
        <f t="shared" ca="1" si="302"/>
        <v>471.64835786085064</v>
      </c>
      <c r="I657" s="304">
        <f t="shared" ca="1" si="303"/>
        <v>505.42032635367917</v>
      </c>
      <c r="J657" s="306">
        <f t="shared" ca="1" si="304"/>
        <v>621.23636651566562</v>
      </c>
      <c r="K657" s="307">
        <f t="shared" ca="1" si="305"/>
        <v>1712.1340553191853</v>
      </c>
      <c r="L657" s="304">
        <f t="shared" ca="1" si="290"/>
        <v>1821.355991141025</v>
      </c>
      <c r="M657" s="306">
        <f t="shared" ca="1" si="306"/>
        <v>1.2031626423168722</v>
      </c>
      <c r="N657" s="304">
        <f t="shared" ca="1" si="307"/>
        <v>68.936141472565041</v>
      </c>
      <c r="P657" s="310">
        <f t="shared" ca="1" si="308"/>
        <v>18</v>
      </c>
      <c r="Q657" s="304">
        <f t="shared" ca="1" si="309"/>
        <v>1796.2258457712433</v>
      </c>
      <c r="R657" s="306">
        <f t="shared" ca="1" si="310"/>
        <v>1.0802037673958973</v>
      </c>
      <c r="S657" s="307">
        <f t="shared" ca="1" si="311"/>
        <v>11.866871361580023</v>
      </c>
      <c r="T657" s="304">
        <f t="shared" ca="1" si="291"/>
        <v>116.41400805710003</v>
      </c>
      <c r="U657" s="311">
        <f t="shared" ca="1" si="292"/>
        <v>0</v>
      </c>
      <c r="V657" s="306">
        <f t="shared" ca="1" si="293"/>
        <v>1.0318025729371201</v>
      </c>
      <c r="W657" s="304">
        <f t="shared" ca="1" si="294"/>
        <v>1492.2058536874545</v>
      </c>
      <c r="Y657" s="314" t="str">
        <f t="shared" ca="1" si="312"/>
        <v/>
      </c>
      <c r="Z657" s="315" t="str">
        <f t="shared" ca="1" si="313"/>
        <v/>
      </c>
      <c r="AA657" s="316" t="str">
        <f t="shared" ca="1" si="314"/>
        <v/>
      </c>
      <c r="AC657" s="310" t="e">
        <f t="shared" ca="1" si="315"/>
        <v>#N/A</v>
      </c>
      <c r="AD657" s="323" t="e">
        <f t="shared" ca="1" si="316"/>
        <v>#N/A</v>
      </c>
      <c r="AE657" s="324">
        <f t="shared" ca="1" si="295"/>
        <v>1712.1340553191853</v>
      </c>
      <c r="AG657" s="306">
        <f t="shared" ca="1" si="317"/>
        <v>16.486787332448351</v>
      </c>
      <c r="AH657" s="304">
        <f t="shared" ca="1" si="318"/>
        <v>25.641533249618629</v>
      </c>
    </row>
    <row r="658" spans="1:34" x14ac:dyDescent="0.2">
      <c r="A658" s="347">
        <f t="shared" ca="1" si="296"/>
        <v>0.01</v>
      </c>
      <c r="B658" s="304">
        <f t="shared" ca="1" si="297"/>
        <v>6.539999999999905</v>
      </c>
      <c r="D658" s="306">
        <f t="shared" ca="1" si="298"/>
        <v>8.8992201166058074</v>
      </c>
      <c r="E658" s="307">
        <f t="shared" ca="1" si="299"/>
        <v>13.296253880855852</v>
      </c>
      <c r="F658" s="304">
        <f t="shared" ca="1" si="300"/>
        <v>15.999577680300684</v>
      </c>
      <c r="G658" s="306">
        <f t="shared" ca="1" si="301"/>
        <v>181.74122262684114</v>
      </c>
      <c r="H658" s="307">
        <f t="shared" ca="1" si="302"/>
        <v>471.78132039965919</v>
      </c>
      <c r="I658" s="304">
        <f t="shared" ca="1" si="303"/>
        <v>505.57639015280859</v>
      </c>
      <c r="J658" s="306">
        <f t="shared" ca="1" si="304"/>
        <v>623.05333378092826</v>
      </c>
      <c r="K658" s="307">
        <f t="shared" ca="1" si="305"/>
        <v>1716.8512037104879</v>
      </c>
      <c r="L658" s="304">
        <f t="shared" ca="1" si="290"/>
        <v>1826.4100066572346</v>
      </c>
      <c r="M658" s="306">
        <f t="shared" ca="1" si="306"/>
        <v>1.2030929041939087</v>
      </c>
      <c r="N658" s="304">
        <f t="shared" ca="1" si="307"/>
        <v>68.932145772448067</v>
      </c>
      <c r="P658" s="310">
        <f t="shared" ca="1" si="308"/>
        <v>18</v>
      </c>
      <c r="Q658" s="304">
        <f t="shared" ca="1" si="309"/>
        <v>1785.7726616916414</v>
      </c>
      <c r="R658" s="306">
        <f t="shared" ca="1" si="310"/>
        <v>1.0739174928438124</v>
      </c>
      <c r="S658" s="307">
        <f t="shared" ca="1" si="311"/>
        <v>11.856132186651584</v>
      </c>
      <c r="T658" s="304">
        <f t="shared" ca="1" si="291"/>
        <v>116.30865675105204</v>
      </c>
      <c r="U658" s="311">
        <f t="shared" ca="1" si="292"/>
        <v>0</v>
      </c>
      <c r="V658" s="306">
        <f t="shared" ca="1" si="293"/>
        <v>1.0313123696140618</v>
      </c>
      <c r="W658" s="304">
        <f t="shared" ca="1" si="294"/>
        <v>1492.4181471743154</v>
      </c>
      <c r="Y658" s="314" t="str">
        <f t="shared" ca="1" si="312"/>
        <v/>
      </c>
      <c r="Z658" s="315" t="str">
        <f t="shared" ca="1" si="313"/>
        <v/>
      </c>
      <c r="AA658" s="316" t="str">
        <f t="shared" ca="1" si="314"/>
        <v/>
      </c>
      <c r="AC658" s="310" t="e">
        <f t="shared" ca="1" si="315"/>
        <v>#N/A</v>
      </c>
      <c r="AD658" s="323" t="e">
        <f t="shared" ca="1" si="316"/>
        <v>#N/A</v>
      </c>
      <c r="AE658" s="324">
        <f t="shared" ca="1" si="295"/>
        <v>1716.8512037104879</v>
      </c>
      <c r="AG658" s="306">
        <f t="shared" ca="1" si="317"/>
        <v>15.606256971781342</v>
      </c>
      <c r="AH658" s="304">
        <f t="shared" ca="1" si="318"/>
        <v>24.760756997522666</v>
      </c>
    </row>
    <row r="659" spans="1:34" x14ac:dyDescent="0.2">
      <c r="A659" s="347">
        <f t="shared" ca="1" si="296"/>
        <v>0.01</v>
      </c>
      <c r="B659" s="304">
        <f t="shared" ca="1" si="297"/>
        <v>6.5499999999999048</v>
      </c>
      <c r="D659" s="306">
        <f t="shared" ca="1" si="298"/>
        <v>8.5851892138342478</v>
      </c>
      <c r="E659" s="307">
        <f t="shared" ca="1" si="299"/>
        <v>12.476258695969863</v>
      </c>
      <c r="F659" s="304">
        <f t="shared" ca="1" si="300"/>
        <v>15.144718712676692</v>
      </c>
      <c r="G659" s="306">
        <f t="shared" ca="1" si="301"/>
        <v>181.82707451897949</v>
      </c>
      <c r="H659" s="307">
        <f t="shared" ca="1" si="302"/>
        <v>471.90608298661891</v>
      </c>
      <c r="I659" s="304">
        <f t="shared" ca="1" si="303"/>
        <v>505.7236757241094</v>
      </c>
      <c r="J659" s="306">
        <f t="shared" ca="1" si="304"/>
        <v>624.87117526665736</v>
      </c>
      <c r="K659" s="307">
        <f t="shared" ca="1" si="305"/>
        <v>1721.5696407274193</v>
      </c>
      <c r="L659" s="304">
        <f t="shared" ca="1" si="290"/>
        <v>1831.4655370913943</v>
      </c>
      <c r="M659" s="306">
        <f t="shared" ca="1" si="306"/>
        <v>1.2030231737576103</v>
      </c>
      <c r="N659" s="304">
        <f t="shared" ca="1" si="307"/>
        <v>68.928150512744566</v>
      </c>
      <c r="P659" s="310">
        <f t="shared" ca="1" si="308"/>
        <v>18</v>
      </c>
      <c r="Q659" s="304">
        <f t="shared" ca="1" si="309"/>
        <v>1775.3194776120397</v>
      </c>
      <c r="R659" s="306">
        <f t="shared" ca="1" si="310"/>
        <v>1.0676312182917278</v>
      </c>
      <c r="S659" s="307">
        <f t="shared" ca="1" si="311"/>
        <v>11.845455874468666</v>
      </c>
      <c r="T659" s="304">
        <f t="shared" ca="1" si="291"/>
        <v>116.20392212853761</v>
      </c>
      <c r="U659" s="311">
        <f t="shared" ca="1" si="292"/>
        <v>0</v>
      </c>
      <c r="V659" s="306">
        <f t="shared" ca="1" si="293"/>
        <v>1.0308222453743023</v>
      </c>
      <c r="W659" s="304">
        <f t="shared" ca="1" si="294"/>
        <v>1492.5781476308989</v>
      </c>
      <c r="Y659" s="314" t="str">
        <f t="shared" ca="1" si="312"/>
        <v/>
      </c>
      <c r="Z659" s="315" t="str">
        <f t="shared" ca="1" si="313"/>
        <v/>
      </c>
      <c r="AA659" s="316" t="str">
        <f t="shared" ca="1" si="314"/>
        <v/>
      </c>
      <c r="AC659" s="310" t="e">
        <f t="shared" ca="1" si="315"/>
        <v>#N/A</v>
      </c>
      <c r="AD659" s="323" t="e">
        <f t="shared" ca="1" si="316"/>
        <v>#N/A</v>
      </c>
      <c r="AE659" s="324">
        <f t="shared" ca="1" si="295"/>
        <v>1721.5696407274193</v>
      </c>
      <c r="AG659" s="306">
        <f t="shared" ca="1" si="317"/>
        <v>14.728434180217091</v>
      </c>
      <c r="AH659" s="304">
        <f t="shared" ca="1" si="318"/>
        <v>23.882688301383247</v>
      </c>
    </row>
    <row r="660" spans="1:34" x14ac:dyDescent="0.2">
      <c r="A660" s="347">
        <f t="shared" ca="1" si="296"/>
        <v>0.01</v>
      </c>
      <c r="B660" s="304">
        <f t="shared" ca="1" si="297"/>
        <v>6.5599999999999046</v>
      </c>
      <c r="D660" s="306">
        <f t="shared" ca="1" si="298"/>
        <v>8.2720189417779633</v>
      </c>
      <c r="E660" s="307">
        <f t="shared" ca="1" si="299"/>
        <v>11.658838276876567</v>
      </c>
      <c r="F660" s="304">
        <f t="shared" ca="1" si="300"/>
        <v>14.295272202357518</v>
      </c>
      <c r="G660" s="306">
        <f t="shared" ca="1" si="301"/>
        <v>181.90979470839727</v>
      </c>
      <c r="H660" s="307">
        <f t="shared" ca="1" si="302"/>
        <v>472.02267136938769</v>
      </c>
      <c r="I660" s="304">
        <f t="shared" ca="1" si="303"/>
        <v>505.86221018924135</v>
      </c>
      <c r="J660" s="306">
        <f t="shared" ca="1" si="304"/>
        <v>626.68985961279429</v>
      </c>
      <c r="K660" s="307">
        <f t="shared" ca="1" si="305"/>
        <v>1726.2892844991993</v>
      </c>
      <c r="L660" s="304">
        <f t="shared" ca="1" si="290"/>
        <v>1836.5224948032248</v>
      </c>
      <c r="M660" s="306">
        <f t="shared" ca="1" si="306"/>
        <v>1.2029534497990702</v>
      </c>
      <c r="N660" s="304">
        <f t="shared" ca="1" si="307"/>
        <v>68.924155624189268</v>
      </c>
      <c r="P660" s="310">
        <f t="shared" ca="1" si="308"/>
        <v>18</v>
      </c>
      <c r="Q660" s="304">
        <f t="shared" ca="1" si="309"/>
        <v>1764.8662935324378</v>
      </c>
      <c r="R660" s="306">
        <f t="shared" ca="1" si="310"/>
        <v>1.0613449437396429</v>
      </c>
      <c r="S660" s="307">
        <f t="shared" ca="1" si="311"/>
        <v>11.834842425031269</v>
      </c>
      <c r="T660" s="304">
        <f t="shared" ca="1" si="291"/>
        <v>116.09980418955675</v>
      </c>
      <c r="U660" s="311">
        <f t="shared" ca="1" si="292"/>
        <v>0</v>
      </c>
      <c r="V660" s="306">
        <f t="shared" ca="1" si="293"/>
        <v>1.030332208752254</v>
      </c>
      <c r="W660" s="304">
        <f t="shared" ca="1" si="294"/>
        <v>1492.6860559362565</v>
      </c>
      <c r="Y660" s="314" t="str">
        <f t="shared" ca="1" si="312"/>
        <v/>
      </c>
      <c r="Z660" s="315" t="str">
        <f t="shared" ca="1" si="313"/>
        <v/>
      </c>
      <c r="AA660" s="316" t="str">
        <f t="shared" ca="1" si="314"/>
        <v/>
      </c>
      <c r="AC660" s="310" t="e">
        <f t="shared" ca="1" si="315"/>
        <v>#N/A</v>
      </c>
      <c r="AD660" s="323" t="e">
        <f t="shared" ca="1" si="316"/>
        <v>#N/A</v>
      </c>
      <c r="AE660" s="324">
        <f t="shared" ca="1" si="295"/>
        <v>1726.2892844991993</v>
      </c>
      <c r="AG660" s="306">
        <f t="shared" ca="1" si="317"/>
        <v>13.853323552497384</v>
      </c>
      <c r="AH660" s="304">
        <f t="shared" ca="1" si="318"/>
        <v>23.00733175167894</v>
      </c>
    </row>
    <row r="661" spans="1:34" x14ac:dyDescent="0.2">
      <c r="A661" s="347">
        <f t="shared" ca="1" si="296"/>
        <v>0.01</v>
      </c>
      <c r="B661" s="304">
        <f t="shared" ca="1" si="297"/>
        <v>6.5699999999999044</v>
      </c>
      <c r="D661" s="306">
        <f t="shared" ca="1" si="298"/>
        <v>7.9597114158648656</v>
      </c>
      <c r="E661" s="307">
        <f t="shared" ca="1" si="299"/>
        <v>10.843996404474575</v>
      </c>
      <c r="F661" s="304">
        <f t="shared" ca="1" si="300"/>
        <v>13.451738320533408</v>
      </c>
      <c r="G661" s="306">
        <f t="shared" ca="1" si="301"/>
        <v>181.98939182255592</v>
      </c>
      <c r="H661" s="307">
        <f t="shared" ca="1" si="302"/>
        <v>472.13111133343244</v>
      </c>
      <c r="I661" s="304">
        <f t="shared" ca="1" si="303"/>
        <v>505.99202071266473</v>
      </c>
      <c r="J661" s="306">
        <f t="shared" ca="1" si="304"/>
        <v>628.50935554544901</v>
      </c>
      <c r="K661" s="307">
        <f t="shared" ca="1" si="305"/>
        <v>1731.0100534127134</v>
      </c>
      <c r="L661" s="304">
        <f t="shared" ca="1" si="290"/>
        <v>1841.5807924237374</v>
      </c>
      <c r="M661" s="306">
        <f t="shared" ca="1" si="306"/>
        <v>1.2028837311142344</v>
      </c>
      <c r="N661" s="304">
        <f t="shared" ca="1" si="307"/>
        <v>68.920161037794983</v>
      </c>
      <c r="P661" s="310">
        <f t="shared" ca="1" si="308"/>
        <v>18</v>
      </c>
      <c r="Q661" s="304">
        <f t="shared" ca="1" si="309"/>
        <v>1754.4131094528361</v>
      </c>
      <c r="R661" s="306">
        <f t="shared" ca="1" si="310"/>
        <v>1.0550586691875583</v>
      </c>
      <c r="S661" s="307">
        <f t="shared" ca="1" si="311"/>
        <v>11.824291838339393</v>
      </c>
      <c r="T661" s="304">
        <f t="shared" ca="1" si="291"/>
        <v>115.99630293410945</v>
      </c>
      <c r="U661" s="311">
        <f t="shared" ca="1" si="292"/>
        <v>0</v>
      </c>
      <c r="V661" s="306">
        <f t="shared" ca="1" si="293"/>
        <v>1.0298422682407655</v>
      </c>
      <c r="W661" s="304">
        <f t="shared" ca="1" si="294"/>
        <v>1492.7420758048133</v>
      </c>
      <c r="Y661" s="314" t="str">
        <f t="shared" ca="1" si="312"/>
        <v/>
      </c>
      <c r="Z661" s="315" t="str">
        <f t="shared" ca="1" si="313"/>
        <v/>
      </c>
      <c r="AA661" s="316" t="str">
        <f t="shared" ca="1" si="314"/>
        <v/>
      </c>
      <c r="AC661" s="310" t="e">
        <f t="shared" ca="1" si="315"/>
        <v>#N/A</v>
      </c>
      <c r="AD661" s="323" t="e">
        <f t="shared" ca="1" si="316"/>
        <v>#N/A</v>
      </c>
      <c r="AE661" s="324">
        <f t="shared" ca="1" si="295"/>
        <v>1731.0100534127134</v>
      </c>
      <c r="AG661" s="306">
        <f t="shared" ca="1" si="317"/>
        <v>12.980929368694412</v>
      </c>
      <c r="AH661" s="304">
        <f t="shared" ca="1" si="318"/>
        <v>22.134691624233174</v>
      </c>
    </row>
    <row r="662" spans="1:34" x14ac:dyDescent="0.2">
      <c r="A662" s="347">
        <f t="shared" ca="1" si="296"/>
        <v>0.01</v>
      </c>
      <c r="B662" s="304">
        <f t="shared" ca="1" si="297"/>
        <v>6.5799999999999041</v>
      </c>
      <c r="D662" s="306">
        <f t="shared" ca="1" si="298"/>
        <v>7.6482686364602932</v>
      </c>
      <c r="E662" s="307">
        <f t="shared" ca="1" si="299"/>
        <v>10.031736570170159</v>
      </c>
      <c r="F662" s="304">
        <f t="shared" ca="1" si="300"/>
        <v>12.614743427781301</v>
      </c>
      <c r="G662" s="306">
        <f t="shared" ca="1" si="301"/>
        <v>182.06587450892053</v>
      </c>
      <c r="H662" s="307">
        <f t="shared" ca="1" si="302"/>
        <v>472.23142869913414</v>
      </c>
      <c r="I662" s="304">
        <f t="shared" ca="1" si="303"/>
        <v>506.11313449852634</v>
      </c>
      <c r="J662" s="306">
        <f t="shared" ca="1" si="304"/>
        <v>630.32963187710641</v>
      </c>
      <c r="K662" s="307">
        <f t="shared" ca="1" si="305"/>
        <v>1735.7318661128763</v>
      </c>
      <c r="L662" s="304">
        <f t="shared" ca="1" si="290"/>
        <v>1846.6403428556457</v>
      </c>
      <c r="M662" s="306">
        <f t="shared" ca="1" si="306"/>
        <v>1.2028140165037782</v>
      </c>
      <c r="N662" s="304">
        <f t="shared" ca="1" si="307"/>
        <v>68.916166684845436</v>
      </c>
      <c r="P662" s="310">
        <f t="shared" ca="1" si="308"/>
        <v>18</v>
      </c>
      <c r="Q662" s="304">
        <f t="shared" ca="1" si="309"/>
        <v>1743.9599253732345</v>
      </c>
      <c r="R662" s="306">
        <f t="shared" ca="1" si="310"/>
        <v>1.0487723946354737</v>
      </c>
      <c r="S662" s="307">
        <f t="shared" ca="1" si="311"/>
        <v>11.813804114393038</v>
      </c>
      <c r="T662" s="304">
        <f t="shared" ca="1" si="291"/>
        <v>115.89341836219572</v>
      </c>
      <c r="U662" s="311">
        <f t="shared" ca="1" si="292"/>
        <v>0</v>
      </c>
      <c r="V662" s="306">
        <f t="shared" ca="1" si="293"/>
        <v>1.0293524322911582</v>
      </c>
      <c r="W662" s="304">
        <f t="shared" ca="1" si="294"/>
        <v>1492.7464137290362</v>
      </c>
      <c r="Y662" s="314" t="str">
        <f t="shared" ca="1" si="312"/>
        <v/>
      </c>
      <c r="Z662" s="315" t="str">
        <f t="shared" ca="1" si="313"/>
        <v/>
      </c>
      <c r="AA662" s="316" t="str">
        <f t="shared" ca="1" si="314"/>
        <v/>
      </c>
      <c r="AC662" s="310" t="e">
        <f t="shared" ca="1" si="315"/>
        <v>#N/A</v>
      </c>
      <c r="AD662" s="323" t="e">
        <f t="shared" ca="1" si="316"/>
        <v>#N/A</v>
      </c>
      <c r="AE662" s="324">
        <f t="shared" ca="1" si="295"/>
        <v>1735.7318661128763</v>
      </c>
      <c r="AG662" s="306">
        <f t="shared" ca="1" si="317"/>
        <v>12.111255597454571</v>
      </c>
      <c r="AH662" s="304">
        <f t="shared" ca="1" si="318"/>
        <v>21.264771883457627</v>
      </c>
    </row>
    <row r="663" spans="1:34" x14ac:dyDescent="0.2">
      <c r="A663" s="347">
        <f t="shared" ca="1" si="296"/>
        <v>0.01</v>
      </c>
      <c r="B663" s="304">
        <f t="shared" ca="1" si="297"/>
        <v>6.5899999999999039</v>
      </c>
      <c r="D663" s="306">
        <f t="shared" ca="1" si="298"/>
        <v>7.3376924899893323</v>
      </c>
      <c r="E663" s="307">
        <f t="shared" ca="1" si="299"/>
        <v>9.2220619789338532</v>
      </c>
      <c r="F663" s="304">
        <f t="shared" ca="1" si="300"/>
        <v>11.785082020119471</v>
      </c>
      <c r="G663" s="306">
        <f t="shared" ca="1" si="301"/>
        <v>182.13925143382042</v>
      </c>
      <c r="H663" s="307">
        <f t="shared" ca="1" si="302"/>
        <v>472.32364931892346</v>
      </c>
      <c r="I663" s="304">
        <f t="shared" ca="1" si="303"/>
        <v>506.22557878757749</v>
      </c>
      <c r="J663" s="306">
        <f t="shared" ca="1" si="304"/>
        <v>632.15065750682015</v>
      </c>
      <c r="K663" s="307">
        <f t="shared" ca="1" si="305"/>
        <v>1740.4546415029665</v>
      </c>
      <c r="L663" s="304">
        <f t="shared" ca="1" si="290"/>
        <v>1851.7010592737493</v>
      </c>
      <c r="M663" s="306">
        <f t="shared" ca="1" si="306"/>
        <v>1.2027443047729816</v>
      </c>
      <c r="N663" s="304">
        <f t="shared" ca="1" si="307"/>
        <v>68.912172496888232</v>
      </c>
      <c r="P663" s="310">
        <f t="shared" ca="1" si="308"/>
        <v>18</v>
      </c>
      <c r="Q663" s="304">
        <f t="shared" ca="1" si="309"/>
        <v>1733.5067412936326</v>
      </c>
      <c r="R663" s="306">
        <f t="shared" ca="1" si="310"/>
        <v>1.0424861200833888</v>
      </c>
      <c r="S663" s="307">
        <f t="shared" ca="1" si="311"/>
        <v>11.803379253192205</v>
      </c>
      <c r="T663" s="304">
        <f t="shared" ca="1" si="291"/>
        <v>115.79115047381553</v>
      </c>
      <c r="U663" s="311">
        <f t="shared" ca="1" si="292"/>
        <v>0</v>
      </c>
      <c r="V663" s="306">
        <f t="shared" ca="1" si="293"/>
        <v>1.0288627093132641</v>
      </c>
      <c r="W663" s="304">
        <f t="shared" ca="1" si="294"/>
        <v>1492.6992789224796</v>
      </c>
      <c r="Y663" s="314" t="str">
        <f t="shared" ca="1" si="312"/>
        <v/>
      </c>
      <c r="Z663" s="315" t="str">
        <f t="shared" ca="1" si="313"/>
        <v/>
      </c>
      <c r="AA663" s="316" t="str">
        <f t="shared" ca="1" si="314"/>
        <v/>
      </c>
      <c r="AC663" s="310" t="e">
        <f t="shared" ca="1" si="315"/>
        <v>#N/A</v>
      </c>
      <c r="AD663" s="323" t="e">
        <f t="shared" ca="1" si="316"/>
        <v>#N/A</v>
      </c>
      <c r="AE663" s="324">
        <f t="shared" ca="1" si="295"/>
        <v>1740.4546415029665</v>
      </c>
      <c r="AG663" s="306">
        <f t="shared" ca="1" si="317"/>
        <v>11.244305899253272</v>
      </c>
      <c r="AH663" s="304">
        <f t="shared" ca="1" si="318"/>
        <v>20.397576185606599</v>
      </c>
    </row>
    <row r="664" spans="1:34" x14ac:dyDescent="0.2">
      <c r="A664" s="347">
        <f t="shared" ca="1" si="296"/>
        <v>0.01</v>
      </c>
      <c r="B664" s="304">
        <f t="shared" ca="1" si="297"/>
        <v>6.5999999999999037</v>
      </c>
      <c r="D664" s="306">
        <f t="shared" ca="1" si="298"/>
        <v>7.0279847500633279</v>
      </c>
      <c r="E664" s="307">
        <f t="shared" ca="1" si="299"/>
        <v>8.4149755523661742</v>
      </c>
      <c r="F664" s="304">
        <f t="shared" ca="1" si="300"/>
        <v>10.963775955118889</v>
      </c>
      <c r="G664" s="306">
        <f t="shared" ca="1" si="301"/>
        <v>182.20953128132106</v>
      </c>
      <c r="H664" s="307">
        <f t="shared" ca="1" si="302"/>
        <v>472.4077990744471</v>
      </c>
      <c r="I664" s="304">
        <f t="shared" ca="1" si="303"/>
        <v>506.3293808541253</v>
      </c>
      <c r="J664" s="306">
        <f t="shared" ca="1" si="304"/>
        <v>633.97240142039584</v>
      </c>
      <c r="K664" s="307">
        <f t="shared" ca="1" si="305"/>
        <v>1745.1782987449333</v>
      </c>
      <c r="L664" s="304">
        <f t="shared" ca="1" si="290"/>
        <v>1856.7628551252858</v>
      </c>
      <c r="M664" s="306">
        <f t="shared" ca="1" si="306"/>
        <v>1.2026745947316075</v>
      </c>
      <c r="N664" s="304">
        <f t="shared" ca="1" si="307"/>
        <v>68.908178405727824</v>
      </c>
      <c r="P664" s="310">
        <f t="shared" ca="1" si="308"/>
        <v>18</v>
      </c>
      <c r="Q664" s="304">
        <f t="shared" ca="1" si="309"/>
        <v>1723.0535572140309</v>
      </c>
      <c r="R664" s="306">
        <f t="shared" ca="1" si="310"/>
        <v>1.0361998455313042</v>
      </c>
      <c r="S664" s="307">
        <f t="shared" ca="1" si="311"/>
        <v>11.793017254736892</v>
      </c>
      <c r="T664" s="304">
        <f t="shared" ca="1" si="291"/>
        <v>115.68949926896892</v>
      </c>
      <c r="U664" s="311">
        <f t="shared" ca="1" si="292"/>
        <v>0</v>
      </c>
      <c r="V664" s="306">
        <f t="shared" ca="1" si="293"/>
        <v>1.0283731076754672</v>
      </c>
      <c r="W664" s="304">
        <f t="shared" ca="1" si="294"/>
        <v>1492.6008832632144</v>
      </c>
      <c r="Y664" s="314" t="str">
        <f t="shared" ca="1" si="312"/>
        <v/>
      </c>
      <c r="Z664" s="315" t="str">
        <f t="shared" ca="1" si="313"/>
        <v/>
      </c>
      <c r="AA664" s="316" t="str">
        <f t="shared" ca="1" si="314"/>
        <v/>
      </c>
      <c r="AC664" s="310" t="e">
        <f t="shared" ca="1" si="315"/>
        <v>#N/A</v>
      </c>
      <c r="AD664" s="323" t="e">
        <f t="shared" ca="1" si="316"/>
        <v>#N/A</v>
      </c>
      <c r="AE664" s="324">
        <f t="shared" ca="1" si="295"/>
        <v>1745.1782987449333</v>
      </c>
      <c r="AG664" s="306">
        <f t="shared" ca="1" si="317"/>
        <v>10.380083629659728</v>
      </c>
      <c r="AH664" s="304">
        <f t="shared" ca="1" si="318"/>
        <v>19.533107882041389</v>
      </c>
    </row>
    <row r="665" spans="1:34" x14ac:dyDescent="0.2">
      <c r="A665" s="347">
        <f t="shared" ca="1" si="296"/>
        <v>0.01</v>
      </c>
      <c r="B665" s="304">
        <f t="shared" ca="1" si="297"/>
        <v>6.6099999999999035</v>
      </c>
      <c r="D665" s="306">
        <f t="shared" ca="1" si="298"/>
        <v>6.7191470786102334</v>
      </c>
      <c r="E665" s="307">
        <f t="shared" ca="1" si="299"/>
        <v>7.6104799317715877</v>
      </c>
      <c r="F665" s="304">
        <f t="shared" ca="1" si="300"/>
        <v>10.152159487315716</v>
      </c>
      <c r="G665" s="306">
        <f t="shared" ca="1" si="301"/>
        <v>182.27672275210716</v>
      </c>
      <c r="H665" s="307">
        <f t="shared" ca="1" si="302"/>
        <v>472.4839038737648</v>
      </c>
      <c r="I665" s="304">
        <f t="shared" ca="1" si="303"/>
        <v>506.42456800301619</v>
      </c>
      <c r="J665" s="306">
        <f t="shared" ca="1" si="304"/>
        <v>635.794832690563</v>
      </c>
      <c r="K665" s="307">
        <f t="shared" ca="1" si="305"/>
        <v>1749.9027572596744</v>
      </c>
      <c r="L665" s="304">
        <f t="shared" ca="1" si="290"/>
        <v>1861.8256441302531</v>
      </c>
      <c r="M665" s="306">
        <f t="shared" ca="1" si="306"/>
        <v>1.2026048851937812</v>
      </c>
      <c r="N665" s="304">
        <f t="shared" ca="1" si="307"/>
        <v>68.904184343418564</v>
      </c>
      <c r="P665" s="310">
        <f t="shared" ca="1" si="308"/>
        <v>18</v>
      </c>
      <c r="Q665" s="304">
        <f t="shared" ca="1" si="309"/>
        <v>1712.6003731344292</v>
      </c>
      <c r="R665" s="306">
        <f t="shared" ca="1" si="310"/>
        <v>1.0299135709792195</v>
      </c>
      <c r="S665" s="307">
        <f t="shared" ca="1" si="311"/>
        <v>11.7827181190271</v>
      </c>
      <c r="T665" s="304">
        <f t="shared" ca="1" si="291"/>
        <v>115.58846474765586</v>
      </c>
      <c r="U665" s="311">
        <f t="shared" ca="1" si="292"/>
        <v>0</v>
      </c>
      <c r="V665" s="306">
        <f t="shared" ca="1" si="293"/>
        <v>1.0278836357047527</v>
      </c>
      <c r="W665" s="304">
        <f t="shared" ca="1" si="294"/>
        <v>1492.4514412376627</v>
      </c>
      <c r="Y665" s="314" t="str">
        <f t="shared" ca="1" si="312"/>
        <v/>
      </c>
      <c r="Z665" s="315" t="str">
        <f t="shared" ca="1" si="313"/>
        <v/>
      </c>
      <c r="AA665" s="316" t="str">
        <f t="shared" ca="1" si="314"/>
        <v/>
      </c>
      <c r="AC665" s="310" t="e">
        <f t="shared" ca="1" si="315"/>
        <v>#N/A</v>
      </c>
      <c r="AD665" s="323" t="e">
        <f t="shared" ca="1" si="316"/>
        <v>#N/A</v>
      </c>
      <c r="AE665" s="324">
        <f t="shared" ca="1" si="295"/>
        <v>1749.9027572596744</v>
      </c>
      <c r="AG665" s="306">
        <f t="shared" ca="1" si="317"/>
        <v>9.5185918426108742</v>
      </c>
      <c r="AH665" s="304">
        <f t="shared" ca="1" si="318"/>
        <v>18.671370022503787</v>
      </c>
    </row>
    <row r="666" spans="1:34" x14ac:dyDescent="0.2">
      <c r="A666" s="347">
        <f t="shared" ca="1" si="296"/>
        <v>0.01</v>
      </c>
      <c r="B666" s="304">
        <f t="shared" ca="1" si="297"/>
        <v>6.6199999999999033</v>
      </c>
      <c r="D666" s="306">
        <f t="shared" ca="1" si="298"/>
        <v>6.4111810270081353</v>
      </c>
      <c r="E666" s="307">
        <f t="shared" ca="1" si="299"/>
        <v>6.8085774812390216</v>
      </c>
      <c r="F666" s="304">
        <f t="shared" ca="1" si="300"/>
        <v>9.352003500806882</v>
      </c>
      <c r="G666" s="306">
        <f t="shared" ca="1" si="301"/>
        <v>182.34083456237724</v>
      </c>
      <c r="H666" s="307">
        <f t="shared" ca="1" si="302"/>
        <v>472.55198964857721</v>
      </c>
      <c r="I666" s="304">
        <f t="shared" ca="1" si="303"/>
        <v>506.51116756665226</v>
      </c>
      <c r="J666" s="306">
        <f t="shared" ca="1" si="304"/>
        <v>637.61792047713539</v>
      </c>
      <c r="K666" s="307">
        <f t="shared" ca="1" si="305"/>
        <v>1754.6279367272862</v>
      </c>
      <c r="L666" s="304">
        <f t="shared" ca="1" si="290"/>
        <v>1866.8893402816996</v>
      </c>
      <c r="M666" s="306">
        <f t="shared" ca="1" si="306"/>
        <v>1.202535174977869</v>
      </c>
      <c r="N666" s="304">
        <f t="shared" ca="1" si="307"/>
        <v>68.90019024225785</v>
      </c>
      <c r="P666" s="310">
        <f t="shared" ca="1" si="308"/>
        <v>18</v>
      </c>
      <c r="Q666" s="304">
        <f t="shared" ca="1" si="309"/>
        <v>1702.1471890548273</v>
      </c>
      <c r="R666" s="306">
        <f t="shared" ca="1" si="310"/>
        <v>1.0236272964271347</v>
      </c>
      <c r="S666" s="307">
        <f t="shared" ca="1" si="311"/>
        <v>11.77248184606283</v>
      </c>
      <c r="T666" s="304">
        <f t="shared" ca="1" si="291"/>
        <v>115.48804690987636</v>
      </c>
      <c r="U666" s="311">
        <f t="shared" ca="1" si="292"/>
        <v>0</v>
      </c>
      <c r="V666" s="306">
        <f t="shared" ca="1" si="293"/>
        <v>1.0273943016867537</v>
      </c>
      <c r="W666" s="304">
        <f t="shared" ca="1" si="294"/>
        <v>1492.2511698848202</v>
      </c>
      <c r="Y666" s="314" t="str">
        <f t="shared" ca="1" si="312"/>
        <v/>
      </c>
      <c r="Z666" s="315" t="str">
        <f t="shared" ca="1" si="313"/>
        <v/>
      </c>
      <c r="AA666" s="316" t="str">
        <f t="shared" ca="1" si="314"/>
        <v/>
      </c>
      <c r="AC666" s="310" t="e">
        <f t="shared" ca="1" si="315"/>
        <v>#N/A</v>
      </c>
      <c r="AD666" s="323" t="e">
        <f t="shared" ca="1" si="316"/>
        <v>#N/A</v>
      </c>
      <c r="AE666" s="324">
        <f t="shared" ca="1" si="295"/>
        <v>1754.6279367272862</v>
      </c>
      <c r="AG666" s="306">
        <f t="shared" ca="1" si="317"/>
        <v>8.6598332936924773</v>
      </c>
      <c r="AH666" s="304">
        <f t="shared" ca="1" si="318"/>
        <v>17.812365358396786</v>
      </c>
    </row>
    <row r="667" spans="1:34" x14ac:dyDescent="0.2">
      <c r="A667" s="347">
        <f t="shared" ca="1" si="296"/>
        <v>0.01</v>
      </c>
      <c r="B667" s="304">
        <f t="shared" ca="1" si="297"/>
        <v>6.6299999999999031</v>
      </c>
      <c r="D667" s="306">
        <f t="shared" ca="1" si="298"/>
        <v>6.1040880372223327</v>
      </c>
      <c r="E667" s="307">
        <f t="shared" ca="1" si="299"/>
        <v>6.0092702907298019</v>
      </c>
      <c r="F667" s="304">
        <f t="shared" ca="1" si="300"/>
        <v>8.56570021616497</v>
      </c>
      <c r="G667" s="306">
        <f t="shared" ca="1" si="301"/>
        <v>182.40187544274946</v>
      </c>
      <c r="H667" s="307">
        <f t="shared" ca="1" si="302"/>
        <v>472.6120823514845</v>
      </c>
      <c r="I667" s="304">
        <f t="shared" ca="1" si="303"/>
        <v>506.58920690204076</v>
      </c>
      <c r="J667" s="306">
        <f t="shared" ca="1" si="304"/>
        <v>639.44163402716106</v>
      </c>
      <c r="K667" s="307">
        <f t="shared" ca="1" si="305"/>
        <v>1759.3537570872866</v>
      </c>
      <c r="L667" s="304">
        <f t="shared" ca="1" si="290"/>
        <v>1871.9538578459876</v>
      </c>
      <c r="M667" s="306">
        <f t="shared" ca="1" si="306"/>
        <v>1.2024654629063602</v>
      </c>
      <c r="N667" s="304">
        <f t="shared" ca="1" si="307"/>
        <v>68.896196034779294</v>
      </c>
      <c r="P667" s="310">
        <f t="shared" ca="1" si="308"/>
        <v>18</v>
      </c>
      <c r="Q667" s="304">
        <f t="shared" ca="1" si="309"/>
        <v>1691.6940049752257</v>
      </c>
      <c r="R667" s="306">
        <f t="shared" ca="1" si="310"/>
        <v>1.01734102187505</v>
      </c>
      <c r="S667" s="307">
        <f t="shared" ca="1" si="311"/>
        <v>11.76230843584408</v>
      </c>
      <c r="T667" s="304">
        <f t="shared" ca="1" si="291"/>
        <v>115.38824575563044</v>
      </c>
      <c r="U667" s="311">
        <f t="shared" ca="1" si="292"/>
        <v>0</v>
      </c>
      <c r="V667" s="306">
        <f t="shared" ca="1" si="293"/>
        <v>1.0269051138658061</v>
      </c>
      <c r="W667" s="304">
        <f t="shared" ca="1" si="294"/>
        <v>1492.0002887408982</v>
      </c>
      <c r="Y667" s="314" t="str">
        <f t="shared" ca="1" si="312"/>
        <v/>
      </c>
      <c r="Z667" s="315" t="str">
        <f t="shared" ca="1" si="313"/>
        <v/>
      </c>
      <c r="AA667" s="316" t="str">
        <f t="shared" ca="1" si="314"/>
        <v/>
      </c>
      <c r="AC667" s="310" t="e">
        <f t="shared" ca="1" si="315"/>
        <v>#N/A</v>
      </c>
      <c r="AD667" s="323" t="e">
        <f t="shared" ca="1" si="316"/>
        <v>#N/A</v>
      </c>
      <c r="AE667" s="324">
        <f t="shared" ca="1" si="295"/>
        <v>1759.3537570872866</v>
      </c>
      <c r="AG667" s="306">
        <f t="shared" ca="1" si="317"/>
        <v>7.8038104434284836</v>
      </c>
      <c r="AH667" s="304">
        <f t="shared" ca="1" si="318"/>
        <v>16.956096346073508</v>
      </c>
    </row>
    <row r="668" spans="1:34" x14ac:dyDescent="0.2">
      <c r="A668" s="347">
        <f t="shared" ca="1" si="296"/>
        <v>0.01</v>
      </c>
      <c r="B668" s="304">
        <f t="shared" ca="1" si="297"/>
        <v>6.6399999999999029</v>
      </c>
      <c r="D668" s="306">
        <f t="shared" ca="1" si="298"/>
        <v>5.7978694429448066</v>
      </c>
      <c r="E668" s="307">
        <f t="shared" ca="1" si="299"/>
        <v>5.2125601791700706</v>
      </c>
      <c r="F668" s="304">
        <f t="shared" ca="1" si="300"/>
        <v>7.7965424194897217</v>
      </c>
      <c r="G668" s="306">
        <f t="shared" ca="1" si="301"/>
        <v>182.45985413717889</v>
      </c>
      <c r="H668" s="307">
        <f t="shared" ca="1" si="302"/>
        <v>472.66420795327622</v>
      </c>
      <c r="I668" s="304">
        <f t="shared" ca="1" si="303"/>
        <v>506.65871338787662</v>
      </c>
      <c r="J668" s="306">
        <f t="shared" ca="1" si="304"/>
        <v>641.26594267506073</v>
      </c>
      <c r="K668" s="307">
        <f t="shared" ca="1" si="305"/>
        <v>1764.0801385388104</v>
      </c>
      <c r="L668" s="304">
        <f t="shared" ca="1" si="290"/>
        <v>1877.0191113630258</v>
      </c>
      <c r="M668" s="306">
        <f t="shared" ca="1" si="306"/>
        <v>1.202395747805749</v>
      </c>
      <c r="N668" s="304">
        <f t="shared" ca="1" si="307"/>
        <v>68.892201653745929</v>
      </c>
      <c r="P668" s="310">
        <f t="shared" ca="1" si="308"/>
        <v>18</v>
      </c>
      <c r="Q668" s="304">
        <f t="shared" ca="1" si="309"/>
        <v>1681.240820895624</v>
      </c>
      <c r="R668" s="306">
        <f t="shared" ca="1" si="310"/>
        <v>1.0110547473229654</v>
      </c>
      <c r="S668" s="307">
        <f t="shared" ca="1" si="311"/>
        <v>11.75219788837085</v>
      </c>
      <c r="T668" s="304">
        <f t="shared" ca="1" si="291"/>
        <v>115.28906128491803</v>
      </c>
      <c r="U668" s="311">
        <f t="shared" ca="1" si="292"/>
        <v>0</v>
      </c>
      <c r="V668" s="306">
        <f t="shared" ca="1" si="293"/>
        <v>1.0264160804450038</v>
      </c>
      <c r="W668" s="304">
        <f t="shared" ca="1" si="294"/>
        <v>1491.6990197843763</v>
      </c>
      <c r="Y668" s="314" t="str">
        <f t="shared" ca="1" si="312"/>
        <v/>
      </c>
      <c r="Z668" s="315" t="str">
        <f t="shared" ca="1" si="313"/>
        <v/>
      </c>
      <c r="AA668" s="316" t="str">
        <f t="shared" ca="1" si="314"/>
        <v/>
      </c>
      <c r="AC668" s="310" t="e">
        <f t="shared" ca="1" si="315"/>
        <v>#N/A</v>
      </c>
      <c r="AD668" s="323" t="e">
        <f t="shared" ca="1" si="316"/>
        <v>#N/A</v>
      </c>
      <c r="AE668" s="324">
        <f t="shared" ca="1" si="295"/>
        <v>1764.0801385388104</v>
      </c>
      <c r="AG668" s="306">
        <f t="shared" ca="1" si="317"/>
        <v>6.9505254605754061</v>
      </c>
      <c r="AH668" s="304">
        <f t="shared" ca="1" si="318"/>
        <v>16.102565150131188</v>
      </c>
    </row>
    <row r="669" spans="1:34" x14ac:dyDescent="0.2">
      <c r="A669" s="347">
        <f t="shared" ca="1" si="296"/>
        <v>0.01</v>
      </c>
      <c r="B669" s="304">
        <f t="shared" ca="1" si="297"/>
        <v>6.6499999999999027</v>
      </c>
      <c r="D669" s="306">
        <f t="shared" ca="1" si="298"/>
        <v>5.4925264707363697</v>
      </c>
      <c r="E669" s="307">
        <f t="shared" ca="1" si="299"/>
        <v>4.4184486975483761</v>
      </c>
      <c r="F669" s="304">
        <f t="shared" ca="1" si="300"/>
        <v>7.0491514329461431</v>
      </c>
      <c r="G669" s="306">
        <f t="shared" ca="1" si="301"/>
        <v>182.51477940188624</v>
      </c>
      <c r="H669" s="307">
        <f t="shared" ca="1" si="302"/>
        <v>472.70839244025171</v>
      </c>
      <c r="I669" s="304">
        <f t="shared" ca="1" si="303"/>
        <v>506.71971442165761</v>
      </c>
      <c r="J669" s="306">
        <f t="shared" ca="1" si="304"/>
        <v>643.090815842756</v>
      </c>
      <c r="K669" s="307">
        <f t="shared" ca="1" si="305"/>
        <v>1768.8070015407779</v>
      </c>
      <c r="L669" s="304">
        <f t="shared" ca="1" si="290"/>
        <v>1882.0850156464717</v>
      </c>
      <c r="M669" s="306">
        <f t="shared" ca="1" si="306"/>
        <v>1.202326028506417</v>
      </c>
      <c r="N669" s="304">
        <f t="shared" ca="1" si="307"/>
        <v>68.888207032143598</v>
      </c>
      <c r="P669" s="310">
        <f t="shared" ca="1" si="308"/>
        <v>18</v>
      </c>
      <c r="Q669" s="304">
        <f t="shared" ca="1" si="309"/>
        <v>1670.7876368160221</v>
      </c>
      <c r="R669" s="306">
        <f t="shared" ca="1" si="310"/>
        <v>1.0047684727708805</v>
      </c>
      <c r="S669" s="307">
        <f t="shared" ca="1" si="311"/>
        <v>11.74215020364314</v>
      </c>
      <c r="T669" s="304">
        <f t="shared" ca="1" si="291"/>
        <v>115.19049349773921</v>
      </c>
      <c r="U669" s="311">
        <f t="shared" ca="1" si="292"/>
        <v>0</v>
      </c>
      <c r="V669" s="306">
        <f t="shared" ca="1" si="293"/>
        <v>1.0259272095862588</v>
      </c>
      <c r="W669" s="304">
        <f t="shared" ca="1" si="294"/>
        <v>1491.3475873814787</v>
      </c>
      <c r="Y669" s="314" t="str">
        <f t="shared" ca="1" si="312"/>
        <v/>
      </c>
      <c r="Z669" s="315" t="str">
        <f t="shared" ca="1" si="313"/>
        <v/>
      </c>
      <c r="AA669" s="316" t="str">
        <f t="shared" ca="1" si="314"/>
        <v/>
      </c>
      <c r="AC669" s="310" t="e">
        <f t="shared" ca="1" si="315"/>
        <v>#N/A</v>
      </c>
      <c r="AD669" s="323" t="e">
        <f t="shared" ca="1" si="316"/>
        <v>#N/A</v>
      </c>
      <c r="AE669" s="324">
        <f t="shared" ca="1" si="295"/>
        <v>1768.8070015407779</v>
      </c>
      <c r="AG669" s="306">
        <f t="shared" ca="1" si="317"/>
        <v>6.0999802254224722</v>
      </c>
      <c r="AH669" s="304">
        <f t="shared" ca="1" si="318"/>
        <v>15.251773646710923</v>
      </c>
    </row>
    <row r="670" spans="1:34" x14ac:dyDescent="0.2">
      <c r="A670" s="347">
        <f t="shared" ca="1" si="296"/>
        <v>0.01</v>
      </c>
      <c r="B670" s="304">
        <f t="shared" ca="1" si="297"/>
        <v>6.6599999999999024</v>
      </c>
      <c r="D670" s="306">
        <f t="shared" ca="1" si="298"/>
        <v>4.8317432265655453</v>
      </c>
      <c r="E670" s="307">
        <f t="shared" ca="1" si="299"/>
        <v>2.7040856033616603</v>
      </c>
      <c r="F670" s="304">
        <f t="shared" ca="1" si="300"/>
        <v>5.5369505648659914</v>
      </c>
      <c r="G670" s="306">
        <f t="shared" ca="1" si="301"/>
        <v>182.56309683415191</v>
      </c>
      <c r="H670" s="307">
        <f t="shared" ca="1" si="302"/>
        <v>472.73543329628535</v>
      </c>
      <c r="I670" s="304">
        <f t="shared" ca="1" si="303"/>
        <v>506.76234491080982</v>
      </c>
      <c r="J670" s="306">
        <f t="shared" ca="1" si="304"/>
        <v>644.91620522393623</v>
      </c>
      <c r="K670" s="307">
        <f t="shared" ca="1" si="305"/>
        <v>1773.5342206694606</v>
      </c>
      <c r="L670" s="304">
        <f t="shared" ca="1" si="290"/>
        <v>1887.151436330978</v>
      </c>
      <c r="M670" s="306">
        <f t="shared" ca="1" si="306"/>
        <v>1.2022563024814223</v>
      </c>
      <c r="N670" s="304">
        <f t="shared" ca="1" si="307"/>
        <v>68.884212025189186</v>
      </c>
      <c r="P670" s="310">
        <f t="shared" ca="1" si="308"/>
        <v>19</v>
      </c>
      <c r="Q670" s="304">
        <f t="shared" ca="1" si="309"/>
        <v>1648.7293372367776</v>
      </c>
      <c r="R670" s="306">
        <f t="shared" ca="1" si="310"/>
        <v>0.99150318190339692</v>
      </c>
      <c r="S670" s="307">
        <f t="shared" ca="1" si="311"/>
        <v>11.732235171824106</v>
      </c>
      <c r="T670" s="304">
        <f t="shared" ca="1" si="291"/>
        <v>115.0932270355945</v>
      </c>
      <c r="U670" s="311">
        <f t="shared" ca="1" si="292"/>
        <v>0</v>
      </c>
      <c r="V670" s="306">
        <f t="shared" ca="1" si="293"/>
        <v>1.0254385141795055</v>
      </c>
      <c r="W670" s="304">
        <f t="shared" ca="1" si="294"/>
        <v>1490.8880173581849</v>
      </c>
      <c r="Y670" s="314" t="str">
        <f t="shared" ca="1" si="312"/>
        <v/>
      </c>
      <c r="Z670" s="315" t="str">
        <f t="shared" ca="1" si="313"/>
        <v/>
      </c>
      <c r="AA670" s="316" t="str">
        <f t="shared" ca="1" si="314"/>
        <v/>
      </c>
      <c r="AC670" s="310" t="e">
        <f t="shared" ca="1" si="315"/>
        <v>#N/A</v>
      </c>
      <c r="AD670" s="323" t="e">
        <f t="shared" ca="1" si="316"/>
        <v>#N/A</v>
      </c>
      <c r="AE670" s="324">
        <f t="shared" ca="1" si="295"/>
        <v>1773.5342206694606</v>
      </c>
      <c r="AG670" s="306">
        <f t="shared" ca="1" si="317"/>
        <v>4.262925728426648</v>
      </c>
      <c r="AH670" s="304">
        <f t="shared" ca="1" si="318"/>
        <v>13.414472822132282</v>
      </c>
    </row>
    <row r="671" spans="1:34" x14ac:dyDescent="0.2">
      <c r="A671" s="347">
        <f t="shared" ca="1" si="296"/>
        <v>0.01</v>
      </c>
      <c r="B671" s="304">
        <f t="shared" ca="1" si="297"/>
        <v>6.6699999999999022</v>
      </c>
      <c r="D671" s="306">
        <f t="shared" ca="1" si="298"/>
        <v>4.0837093937571893</v>
      </c>
      <c r="E671" s="307">
        <f t="shared" ca="1" si="299"/>
        <v>0.76450362746463263</v>
      </c>
      <c r="F671" s="304">
        <f t="shared" ca="1" si="300"/>
        <v>4.1546538013494327</v>
      </c>
      <c r="G671" s="306">
        <f t="shared" ca="1" si="301"/>
        <v>182.60393392808948</v>
      </c>
      <c r="H671" s="307">
        <f t="shared" ca="1" si="302"/>
        <v>472.74307833256</v>
      </c>
      <c r="I671" s="304">
        <f t="shared" ca="1" si="303"/>
        <v>506.78418956924753</v>
      </c>
      <c r="J671" s="306">
        <f t="shared" ca="1" si="304"/>
        <v>646.74204037774746</v>
      </c>
      <c r="K671" s="307">
        <f t="shared" ca="1" si="305"/>
        <v>1778.2616132276048</v>
      </c>
      <c r="L671" s="304">
        <f t="shared" ca="1" si="290"/>
        <v>1892.2181776610264</v>
      </c>
      <c r="M671" s="306">
        <f t="shared" ca="1" si="306"/>
        <v>1.2021865668709215</v>
      </c>
      <c r="N671" s="304">
        <f t="shared" ca="1" si="307"/>
        <v>68.880216469025711</v>
      </c>
      <c r="P671" s="310">
        <f t="shared" ca="1" si="308"/>
        <v>19</v>
      </c>
      <c r="Q671" s="304">
        <f t="shared" ca="1" si="309"/>
        <v>1623.7697587824457</v>
      </c>
      <c r="R671" s="306">
        <f t="shared" ca="1" si="310"/>
        <v>0.97649313695695739</v>
      </c>
      <c r="S671" s="307">
        <f t="shared" ca="1" si="311"/>
        <v>11.722470240454538</v>
      </c>
      <c r="T671" s="304">
        <f t="shared" ca="1" si="291"/>
        <v>114.99743305885902</v>
      </c>
      <c r="U671" s="311">
        <f t="shared" ca="1" si="292"/>
        <v>0</v>
      </c>
      <c r="V671" s="306">
        <f t="shared" ca="1" si="293"/>
        <v>1.0249500130092364</v>
      </c>
      <c r="W671" s="304">
        <f t="shared" ca="1" si="294"/>
        <v>1490.3062590176628</v>
      </c>
      <c r="Y671" s="314" t="str">
        <f t="shared" ca="1" si="312"/>
        <v/>
      </c>
      <c r="Z671" s="315" t="str">
        <f t="shared" ca="1" si="313"/>
        <v/>
      </c>
      <c r="AA671" s="316" t="str">
        <f t="shared" ca="1" si="314"/>
        <v/>
      </c>
      <c r="AC671" s="310" t="e">
        <f t="shared" ca="1" si="315"/>
        <v>#N/A</v>
      </c>
      <c r="AD671" s="323" t="e">
        <f t="shared" ca="1" si="316"/>
        <v>#N/A</v>
      </c>
      <c r="AE671" s="324">
        <f t="shared" ca="1" si="295"/>
        <v>1778.2616132276048</v>
      </c>
      <c r="AG671" s="306">
        <f t="shared" ca="1" si="317"/>
        <v>2.1843426177924208</v>
      </c>
      <c r="AH671" s="304">
        <f t="shared" ca="1" si="318"/>
        <v>11.335643315662477</v>
      </c>
    </row>
    <row r="672" spans="1:34" x14ac:dyDescent="0.2">
      <c r="A672" s="347">
        <f t="shared" ca="1" si="296"/>
        <v>0.01</v>
      </c>
      <c r="B672" s="304">
        <f t="shared" ca="1" si="297"/>
        <v>6.679999999999902</v>
      </c>
      <c r="D672" s="306">
        <f t="shared" ca="1" si="298"/>
        <v>3.3378723478129131</v>
      </c>
      <c r="E672" s="307">
        <f t="shared" ca="1" si="299"/>
        <v>-1.1685867793647056</v>
      </c>
      <c r="F672" s="304">
        <f t="shared" ca="1" si="300"/>
        <v>3.5365218606987376</v>
      </c>
      <c r="G672" s="306">
        <f t="shared" ca="1" si="301"/>
        <v>182.63731265156761</v>
      </c>
      <c r="H672" s="307">
        <f t="shared" ca="1" si="302"/>
        <v>472.73139246476637</v>
      </c>
      <c r="I672" s="304">
        <f t="shared" ca="1" si="303"/>
        <v>506.78531686924737</v>
      </c>
      <c r="J672" s="306">
        <f t="shared" ca="1" si="304"/>
        <v>648.5682466106457</v>
      </c>
      <c r="K672" s="307">
        <f t="shared" ca="1" si="305"/>
        <v>1782.9889855815914</v>
      </c>
      <c r="L672" s="304">
        <f t="shared" ca="1" si="290"/>
        <v>1897.285032149065</v>
      </c>
      <c r="M672" s="306">
        <f t="shared" ca="1" si="306"/>
        <v>1.202116818823169</v>
      </c>
      <c r="N672" s="304">
        <f t="shared" ca="1" si="307"/>
        <v>68.876220200260221</v>
      </c>
      <c r="P672" s="310">
        <f t="shared" ca="1" si="308"/>
        <v>19</v>
      </c>
      <c r="Q672" s="304">
        <f t="shared" ca="1" si="309"/>
        <v>1598.8101803281136</v>
      </c>
      <c r="R672" s="306">
        <f t="shared" ca="1" si="310"/>
        <v>0.96148309201051774</v>
      </c>
      <c r="S672" s="307">
        <f t="shared" ca="1" si="311"/>
        <v>11.712855409534432</v>
      </c>
      <c r="T672" s="304">
        <f t="shared" ca="1" si="291"/>
        <v>114.90311156753279</v>
      </c>
      <c r="U672" s="311">
        <f t="shared" ca="1" si="292"/>
        <v>0</v>
      </c>
      <c r="V672" s="306">
        <f t="shared" ca="1" si="293"/>
        <v>1.0244617259566011</v>
      </c>
      <c r="W672" s="304">
        <f t="shared" ca="1" si="294"/>
        <v>1489.6029028336934</v>
      </c>
      <c r="Y672" s="314" t="str">
        <f t="shared" ca="1" si="312"/>
        <v/>
      </c>
      <c r="Z672" s="315" t="str">
        <f t="shared" ca="1" si="313"/>
        <v/>
      </c>
      <c r="AA672" s="316" t="str">
        <f t="shared" ca="1" si="314"/>
        <v/>
      </c>
      <c r="AC672" s="310" t="e">
        <f t="shared" ca="1" si="315"/>
        <v>#N/A</v>
      </c>
      <c r="AD672" s="323" t="e">
        <f t="shared" ca="1" si="316"/>
        <v>#N/A</v>
      </c>
      <c r="AE672" s="324">
        <f t="shared" ca="1" si="295"/>
        <v>1782.9889855815914</v>
      </c>
      <c r="AG672" s="306">
        <f t="shared" ca="1" si="317"/>
        <v>0.11260672976662534</v>
      </c>
      <c r="AH672" s="304">
        <f t="shared" ca="1" si="318"/>
        <v>9.2636609534278911</v>
      </c>
    </row>
    <row r="673" spans="1:34" x14ac:dyDescent="0.2">
      <c r="A673" s="347">
        <f t="shared" ca="1" si="296"/>
        <v>0.01</v>
      </c>
      <c r="B673" s="304">
        <f t="shared" ca="1" si="297"/>
        <v>6.6899999999999018</v>
      </c>
      <c r="D673" s="306">
        <f t="shared" ca="1" si="298"/>
        <v>2.5942500291236477</v>
      </c>
      <c r="E673" s="307">
        <f t="shared" ca="1" si="299"/>
        <v>-3.0951430473626367</v>
      </c>
      <c r="F673" s="304">
        <f t="shared" ca="1" si="300"/>
        <v>4.03856951125585</v>
      </c>
      <c r="G673" s="306">
        <f t="shared" ca="1" si="301"/>
        <v>182.66325515185883</v>
      </c>
      <c r="H673" s="307">
        <f t="shared" ca="1" si="302"/>
        <v>472.70044103429274</v>
      </c>
      <c r="I673" s="304">
        <f t="shared" ca="1" si="303"/>
        <v>506.76579574462988</v>
      </c>
      <c r="J673" s="306">
        <f t="shared" ca="1" si="304"/>
        <v>650.39474944966287</v>
      </c>
      <c r="K673" s="307">
        <f t="shared" ca="1" si="305"/>
        <v>1787.7161447490867</v>
      </c>
      <c r="L673" s="304">
        <f t="shared" ca="1" si="290"/>
        <v>1902.3517929941947</v>
      </c>
      <c r="M673" s="306">
        <f t="shared" ca="1" si="306"/>
        <v>1.2020470554938878</v>
      </c>
      <c r="N673" s="304">
        <f t="shared" ca="1" si="307"/>
        <v>68.87222305592762</v>
      </c>
      <c r="P673" s="310">
        <f t="shared" ca="1" si="308"/>
        <v>19</v>
      </c>
      <c r="Q673" s="304">
        <f t="shared" ca="1" si="309"/>
        <v>1573.8506018737814</v>
      </c>
      <c r="R673" s="306">
        <f t="shared" ca="1" si="310"/>
        <v>0.94647304706407798</v>
      </c>
      <c r="S673" s="307">
        <f t="shared" ca="1" si="311"/>
        <v>11.703390679063792</v>
      </c>
      <c r="T673" s="304">
        <f t="shared" ca="1" si="291"/>
        <v>114.81026256161582</v>
      </c>
      <c r="U673" s="311">
        <f t="shared" ca="1" si="292"/>
        <v>0</v>
      </c>
      <c r="V673" s="306">
        <f t="shared" ca="1" si="293"/>
        <v>1.0239736728009083</v>
      </c>
      <c r="W673" s="304">
        <f t="shared" ca="1" si="294"/>
        <v>1488.7785559246138</v>
      </c>
      <c r="Y673" s="314" t="str">
        <f t="shared" ca="1" si="312"/>
        <v/>
      </c>
      <c r="Z673" s="315" t="str">
        <f t="shared" ca="1" si="313"/>
        <v/>
      </c>
      <c r="AA673" s="316" t="str">
        <f t="shared" ca="1" si="314"/>
        <v/>
      </c>
      <c r="AC673" s="310" t="e">
        <f t="shared" ca="1" si="315"/>
        <v>#N/A</v>
      </c>
      <c r="AD673" s="323" t="e">
        <f t="shared" ca="1" si="316"/>
        <v>#N/A</v>
      </c>
      <c r="AE673" s="324">
        <f t="shared" ca="1" si="295"/>
        <v>1787.7161447490867</v>
      </c>
      <c r="AG673" s="306">
        <f t="shared" ca="1" si="317"/>
        <v>-1.952235781225772</v>
      </c>
      <c r="AH673" s="304">
        <f t="shared" ca="1" si="318"/>
        <v>7.1985718797543718</v>
      </c>
    </row>
    <row r="674" spans="1:34" x14ac:dyDescent="0.2">
      <c r="A674" s="347">
        <f t="shared" ca="1" si="296"/>
        <v>0.01</v>
      </c>
      <c r="B674" s="304">
        <f t="shared" ca="1" si="297"/>
        <v>6.6999999999999016</v>
      </c>
      <c r="D674" s="306">
        <f t="shared" ca="1" si="298"/>
        <v>1.8528597183386251</v>
      </c>
      <c r="E674" s="307">
        <f t="shared" ca="1" si="299"/>
        <v>-5.0151242856413623</v>
      </c>
      <c r="F674" s="304">
        <f t="shared" ca="1" si="300"/>
        <v>5.3464530986694037</v>
      </c>
      <c r="G674" s="306">
        <f t="shared" ca="1" si="301"/>
        <v>182.68178374904221</v>
      </c>
      <c r="H674" s="307">
        <f t="shared" ca="1" si="302"/>
        <v>472.65028979143631</v>
      </c>
      <c r="I674" s="304">
        <f t="shared" ca="1" si="303"/>
        <v>506.72569557272362</v>
      </c>
      <c r="J674" s="306">
        <f t="shared" ca="1" si="304"/>
        <v>652.22147464416742</v>
      </c>
      <c r="K674" s="307">
        <f t="shared" ca="1" si="305"/>
        <v>1792.4428984032154</v>
      </c>
      <c r="L674" s="304">
        <f t="shared" ca="1" si="290"/>
        <v>1907.4182540866939</v>
      </c>
      <c r="M674" s="306">
        <f t="shared" ca="1" si="306"/>
        <v>1.2019772740456449</v>
      </c>
      <c r="N674" s="304">
        <f t="shared" ca="1" si="307"/>
        <v>68.868224873455006</v>
      </c>
      <c r="P674" s="310">
        <f t="shared" ca="1" si="308"/>
        <v>19</v>
      </c>
      <c r="Q674" s="304">
        <f t="shared" ca="1" si="309"/>
        <v>1548.8910234194495</v>
      </c>
      <c r="R674" s="306">
        <f t="shared" ca="1" si="310"/>
        <v>0.93146300211763844</v>
      </c>
      <c r="S674" s="307">
        <f t="shared" ca="1" si="311"/>
        <v>11.694076049042616</v>
      </c>
      <c r="T674" s="304">
        <f t="shared" ca="1" si="291"/>
        <v>114.71888604110806</v>
      </c>
      <c r="U674" s="311">
        <f t="shared" ca="1" si="292"/>
        <v>0</v>
      </c>
      <c r="V674" s="306">
        <f t="shared" ca="1" si="293"/>
        <v>1.023485873219397</v>
      </c>
      <c r="W674" s="304">
        <f t="shared" ca="1" si="294"/>
        <v>1487.833841717136</v>
      </c>
      <c r="Y674" s="314" t="str">
        <f t="shared" ca="1" si="312"/>
        <v/>
      </c>
      <c r="Z674" s="315" t="str">
        <f t="shared" ca="1" si="313"/>
        <v/>
      </c>
      <c r="AA674" s="316" t="str">
        <f t="shared" ca="1" si="314"/>
        <v/>
      </c>
      <c r="AC674" s="310" t="e">
        <f t="shared" ca="1" si="315"/>
        <v>#N/A</v>
      </c>
      <c r="AD674" s="323" t="e">
        <f t="shared" ca="1" si="316"/>
        <v>#N/A</v>
      </c>
      <c r="AE674" s="324">
        <f t="shared" ca="1" si="295"/>
        <v>1792.4428984032154</v>
      </c>
      <c r="AG674" s="306">
        <f t="shared" ca="1" si="317"/>
        <v>-4.010140564413792</v>
      </c>
      <c r="AH674" s="304">
        <f t="shared" ca="1" si="318"/>
        <v>5.1404204353329064</v>
      </c>
    </row>
    <row r="675" spans="1:34" x14ac:dyDescent="0.2">
      <c r="A675" s="347">
        <f t="shared" ca="1" si="296"/>
        <v>0.01</v>
      </c>
      <c r="B675" s="304">
        <f t="shared" ca="1" si="297"/>
        <v>6.7099999999999014</v>
      </c>
      <c r="D675" s="306">
        <f t="shared" ca="1" si="298"/>
        <v>1.1137180417289265</v>
      </c>
      <c r="E675" s="307">
        <f t="shared" ca="1" si="299"/>
        <v>-6.928491267348992</v>
      </c>
      <c r="F675" s="304">
        <f t="shared" ca="1" si="300"/>
        <v>7.0174325161132662</v>
      </c>
      <c r="G675" s="306">
        <f t="shared" ca="1" si="301"/>
        <v>182.69292092945949</v>
      </c>
      <c r="H675" s="307">
        <f t="shared" ca="1" si="302"/>
        <v>472.58100487876283</v>
      </c>
      <c r="I675" s="304">
        <f t="shared" ca="1" si="303"/>
        <v>506.66508615648564</v>
      </c>
      <c r="J675" s="306">
        <f t="shared" ca="1" si="304"/>
        <v>654.04834816755988</v>
      </c>
      <c r="K675" s="307">
        <f t="shared" ca="1" si="305"/>
        <v>1797.1690548765664</v>
      </c>
      <c r="L675" s="304">
        <f t="shared" ca="1" si="290"/>
        <v>1912.4842100123715</v>
      </c>
      <c r="M675" s="306">
        <f t="shared" ca="1" si="306"/>
        <v>1.2019074716472298</v>
      </c>
      <c r="N675" s="304">
        <f t="shared" ca="1" si="307"/>
        <v>68.864225490625927</v>
      </c>
      <c r="P675" s="310">
        <f t="shared" ca="1" si="308"/>
        <v>19</v>
      </c>
      <c r="Q675" s="304">
        <f t="shared" ca="1" si="309"/>
        <v>1523.9314449651174</v>
      </c>
      <c r="R675" s="306">
        <f t="shared" ca="1" si="310"/>
        <v>0.91645295717119868</v>
      </c>
      <c r="S675" s="307">
        <f t="shared" ca="1" si="311"/>
        <v>11.684911519470905</v>
      </c>
      <c r="T675" s="304">
        <f t="shared" ca="1" si="291"/>
        <v>114.62898200600958</v>
      </c>
      <c r="U675" s="311">
        <f t="shared" ca="1" si="292"/>
        <v>0</v>
      </c>
      <c r="V675" s="306">
        <f t="shared" ca="1" si="293"/>
        <v>1.0229983467870334</v>
      </c>
      <c r="W675" s="304">
        <f t="shared" ca="1" si="294"/>
        <v>1486.7693996112721</v>
      </c>
      <c r="Y675" s="314" t="str">
        <f t="shared" ca="1" si="312"/>
        <v/>
      </c>
      <c r="Z675" s="315" t="str">
        <f t="shared" ca="1" si="313"/>
        <v/>
      </c>
      <c r="AA675" s="316" t="str">
        <f t="shared" ca="1" si="314"/>
        <v/>
      </c>
      <c r="AC675" s="310" t="e">
        <f t="shared" ca="1" si="315"/>
        <v>#N/A</v>
      </c>
      <c r="AD675" s="323" t="e">
        <f t="shared" ca="1" si="316"/>
        <v>#N/A</v>
      </c>
      <c r="AE675" s="324">
        <f t="shared" ca="1" si="295"/>
        <v>1797.1690548765664</v>
      </c>
      <c r="AG675" s="306">
        <f t="shared" ca="1" si="317"/>
        <v>-6.0610650569083369</v>
      </c>
      <c r="AH675" s="304">
        <f t="shared" ca="1" si="318"/>
        <v>3.0892491729895362</v>
      </c>
    </row>
    <row r="676" spans="1:34" x14ac:dyDescent="0.2">
      <c r="A676" s="347">
        <f t="shared" ca="1" si="296"/>
        <v>0.01</v>
      </c>
      <c r="B676" s="304">
        <f t="shared" ca="1" si="297"/>
        <v>6.7199999999999012</v>
      </c>
      <c r="D676" s="306">
        <f t="shared" ca="1" si="298"/>
        <v>0.3768409766689183</v>
      </c>
      <c r="E676" s="307">
        <f t="shared" ca="1" si="299"/>
        <v>-8.8352064145252012</v>
      </c>
      <c r="F676" s="304">
        <f t="shared" ca="1" si="300"/>
        <v>8.8432393108500715</v>
      </c>
      <c r="G676" s="306">
        <f t="shared" ca="1" si="301"/>
        <v>182.69668933922617</v>
      </c>
      <c r="H676" s="307">
        <f t="shared" ca="1" si="302"/>
        <v>472.4926528146176</v>
      </c>
      <c r="I676" s="304">
        <f t="shared" ca="1" si="303"/>
        <v>506.5840377067841</v>
      </c>
      <c r="J676" s="306">
        <f t="shared" ca="1" si="304"/>
        <v>655.87529621890326</v>
      </c>
      <c r="K676" s="307">
        <f t="shared" ca="1" si="305"/>
        <v>1801.8944231650332</v>
      </c>
      <c r="L676" s="304">
        <f t="shared" ca="1" si="290"/>
        <v>1917.5494560567354</v>
      </c>
      <c r="M676" s="306">
        <f t="shared" ca="1" si="306"/>
        <v>1.2018376454730382</v>
      </c>
      <c r="N676" s="304">
        <f t="shared" ca="1" si="307"/>
        <v>68.860224745545196</v>
      </c>
      <c r="P676" s="310">
        <f t="shared" ca="1" si="308"/>
        <v>19</v>
      </c>
      <c r="Q676" s="304">
        <f t="shared" ca="1" si="309"/>
        <v>1498.9718665107855</v>
      </c>
      <c r="R676" s="306">
        <f t="shared" ca="1" si="310"/>
        <v>0.90144291222475914</v>
      </c>
      <c r="S676" s="307">
        <f t="shared" ca="1" si="311"/>
        <v>11.675897090348657</v>
      </c>
      <c r="T676" s="304">
        <f t="shared" ca="1" si="291"/>
        <v>114.54055045632033</v>
      </c>
      <c r="U676" s="311">
        <f t="shared" ca="1" si="292"/>
        <v>0</v>
      </c>
      <c r="V676" s="306">
        <f t="shared" ca="1" si="293"/>
        <v>1.0225111129763258</v>
      </c>
      <c r="W676" s="304">
        <f t="shared" ca="1" si="294"/>
        <v>1485.5858846464953</v>
      </c>
      <c r="Y676" s="314" t="str">
        <f t="shared" ca="1" si="312"/>
        <v/>
      </c>
      <c r="Z676" s="315" t="str">
        <f t="shared" ca="1" si="313"/>
        <v/>
      </c>
      <c r="AA676" s="316" t="str">
        <f t="shared" ca="1" si="314"/>
        <v/>
      </c>
      <c r="AC676" s="310" t="e">
        <f t="shared" ca="1" si="315"/>
        <v>#N/A</v>
      </c>
      <c r="AD676" s="323" t="e">
        <f t="shared" ca="1" si="316"/>
        <v>#N/A</v>
      </c>
      <c r="AE676" s="324">
        <f t="shared" ca="1" si="295"/>
        <v>1801.8944231650332</v>
      </c>
      <c r="AG676" s="306">
        <f t="shared" ca="1" si="317"/>
        <v>-8.1049684676037543</v>
      </c>
      <c r="AH676" s="304">
        <f t="shared" ca="1" si="318"/>
        <v>1.0450988737816145</v>
      </c>
    </row>
    <row r="677" spans="1:34" x14ac:dyDescent="0.2">
      <c r="A677" s="347">
        <f t="shared" ca="1" si="296"/>
        <v>0.01</v>
      </c>
      <c r="B677" s="304">
        <f t="shared" ca="1" si="297"/>
        <v>6.729999999999901</v>
      </c>
      <c r="D677" s="306">
        <f t="shared" ca="1" si="298"/>
        <v>-0.35775614276944917</v>
      </c>
      <c r="E677" s="307">
        <f t="shared" ca="1" si="299"/>
        <v>-10.735233782665862</v>
      </c>
      <c r="F677" s="304">
        <f t="shared" ca="1" si="300"/>
        <v>10.741193314812822</v>
      </c>
      <c r="G677" s="306">
        <f t="shared" ca="1" si="301"/>
        <v>182.69311177779846</v>
      </c>
      <c r="H677" s="307">
        <f t="shared" ca="1" si="302"/>
        <v>472.38530047679092</v>
      </c>
      <c r="I677" s="304">
        <f t="shared" ca="1" si="303"/>
        <v>506.4826208248445</v>
      </c>
      <c r="J677" s="306">
        <f t="shared" ca="1" si="304"/>
        <v>657.70224522448837</v>
      </c>
      <c r="K677" s="307">
        <f t="shared" ca="1" si="305"/>
        <v>1806.6188129314903</v>
      </c>
      <c r="L677" s="304">
        <f t="shared" ca="1" si="290"/>
        <v>1922.6137882089893</v>
      </c>
      <c r="M677" s="306">
        <f t="shared" ca="1" si="306"/>
        <v>1.2017677927024579</v>
      </c>
      <c r="N677" s="304">
        <f t="shared" ca="1" si="307"/>
        <v>68.856222476603648</v>
      </c>
      <c r="P677" s="310">
        <f t="shared" ca="1" si="308"/>
        <v>19</v>
      </c>
      <c r="Q677" s="304">
        <f t="shared" ca="1" si="309"/>
        <v>1474.0122880564534</v>
      </c>
      <c r="R677" s="306">
        <f t="shared" ca="1" si="310"/>
        <v>0.88643286727831938</v>
      </c>
      <c r="S677" s="307">
        <f t="shared" ca="1" si="311"/>
        <v>11.667032761675875</v>
      </c>
      <c r="T677" s="304">
        <f t="shared" ca="1" si="291"/>
        <v>114.45359139204034</v>
      </c>
      <c r="U677" s="311">
        <f t="shared" ca="1" si="292"/>
        <v>0</v>
      </c>
      <c r="V677" s="306">
        <f t="shared" ca="1" si="293"/>
        <v>1.022024191157165</v>
      </c>
      <c r="W677" s="304">
        <f t="shared" ca="1" si="294"/>
        <v>1484.2839671692732</v>
      </c>
      <c r="Y677" s="314" t="str">
        <f t="shared" ca="1" si="312"/>
        <v/>
      </c>
      <c r="Z677" s="315" t="str">
        <f t="shared" ca="1" si="313"/>
        <v/>
      </c>
      <c r="AA677" s="316" t="str">
        <f t="shared" ca="1" si="314"/>
        <v/>
      </c>
      <c r="AC677" s="310" t="e">
        <f t="shared" ca="1" si="315"/>
        <v>#N/A</v>
      </c>
      <c r="AD677" s="323" t="e">
        <f t="shared" ca="1" si="316"/>
        <v>#N/A</v>
      </c>
      <c r="AE677" s="324">
        <f t="shared" ca="1" si="295"/>
        <v>1806.6188129314903</v>
      </c>
      <c r="AG677" s="306">
        <f t="shared" ca="1" si="317"/>
        <v>-10.141811760767293</v>
      </c>
      <c r="AH677" s="304">
        <f t="shared" ca="1" si="318"/>
        <v>-0.9919914365938115</v>
      </c>
    </row>
    <row r="678" spans="1:34" x14ac:dyDescent="0.2">
      <c r="A678" s="347">
        <f t="shared" ca="1" si="296"/>
        <v>0.01</v>
      </c>
      <c r="B678" s="304">
        <f t="shared" ca="1" si="297"/>
        <v>6.7399999999999007</v>
      </c>
      <c r="D678" s="306">
        <f t="shared" ca="1" si="298"/>
        <v>-1.0900586201142954</v>
      </c>
      <c r="E678" s="307">
        <f t="shared" ca="1" si="299"/>
        <v>-12.628539045009486</v>
      </c>
      <c r="F678" s="304">
        <f t="shared" ca="1" si="300"/>
        <v>12.675497079271274</v>
      </c>
      <c r="G678" s="306">
        <f t="shared" ca="1" si="301"/>
        <v>182.68221119159733</v>
      </c>
      <c r="H678" s="307">
        <f t="shared" ca="1" si="302"/>
        <v>472.25901508634081</v>
      </c>
      <c r="I678" s="304">
        <f t="shared" ca="1" si="303"/>
        <v>506.36090648486288</v>
      </c>
      <c r="J678" s="306">
        <f t="shared" ca="1" si="304"/>
        <v>659.52912183933529</v>
      </c>
      <c r="K678" s="307">
        <f t="shared" ca="1" si="305"/>
        <v>1811.3420345093059</v>
      </c>
      <c r="L678" s="304">
        <f t="shared" ca="1" si="290"/>
        <v>1927.6770031658509</v>
      </c>
      <c r="M678" s="306">
        <f t="shared" ca="1" si="306"/>
        <v>1.2016979105192584</v>
      </c>
      <c r="N678" s="304">
        <f t="shared" ca="1" si="307"/>
        <v>68.852218522443167</v>
      </c>
      <c r="P678" s="310">
        <f t="shared" ca="1" si="308"/>
        <v>19</v>
      </c>
      <c r="Q678" s="304">
        <f t="shared" ca="1" si="309"/>
        <v>1449.0527096021215</v>
      </c>
      <c r="R678" s="306">
        <f t="shared" ca="1" si="310"/>
        <v>0.87142282233187984</v>
      </c>
      <c r="S678" s="307">
        <f t="shared" ca="1" si="311"/>
        <v>11.658318533452556</v>
      </c>
      <c r="T678" s="304">
        <f t="shared" ca="1" si="291"/>
        <v>114.36810481316958</v>
      </c>
      <c r="U678" s="311">
        <f t="shared" ca="1" si="292"/>
        <v>0</v>
      </c>
      <c r="V678" s="306">
        <f t="shared" ca="1" si="293"/>
        <v>1.0215376005966779</v>
      </c>
      <c r="W678" s="304">
        <f t="shared" ca="1" si="294"/>
        <v>1482.8643325020714</v>
      </c>
      <c r="Y678" s="314" t="str">
        <f t="shared" ca="1" si="312"/>
        <v/>
      </c>
      <c r="Z678" s="315" t="str">
        <f t="shared" ca="1" si="313"/>
        <v/>
      </c>
      <c r="AA678" s="316" t="str">
        <f t="shared" ca="1" si="314"/>
        <v/>
      </c>
      <c r="AC678" s="310" t="e">
        <f t="shared" ca="1" si="315"/>
        <v>#N/A</v>
      </c>
      <c r="AD678" s="323" t="e">
        <f t="shared" ca="1" si="316"/>
        <v>#N/A</v>
      </c>
      <c r="AE678" s="324">
        <f t="shared" ca="1" si="295"/>
        <v>1811.3420345093059</v>
      </c>
      <c r="AG678" s="306">
        <f t="shared" ca="1" si="317"/>
        <v>-12.171557639330139</v>
      </c>
      <c r="AH678" s="304">
        <f t="shared" ca="1" si="318"/>
        <v>-3.0219844710932033</v>
      </c>
    </row>
    <row r="679" spans="1:34" x14ac:dyDescent="0.2">
      <c r="A679" s="347">
        <f t="shared" ca="1" si="296"/>
        <v>0.01</v>
      </c>
      <c r="B679" s="304">
        <f t="shared" ca="1" si="297"/>
        <v>6.7499999999999005</v>
      </c>
      <c r="D679" s="306">
        <f t="shared" ca="1" si="298"/>
        <v>-1.820052390687664</v>
      </c>
      <c r="E679" s="307">
        <f t="shared" ca="1" si="299"/>
        <v>-14.515089476556716</v>
      </c>
      <c r="F679" s="304">
        <f t="shared" ca="1" si="300"/>
        <v>14.628752961797371</v>
      </c>
      <c r="G679" s="306">
        <f t="shared" ca="1" si="301"/>
        <v>182.66401066769046</v>
      </c>
      <c r="H679" s="307">
        <f t="shared" ca="1" si="302"/>
        <v>472.11386419157526</v>
      </c>
      <c r="I679" s="304">
        <f t="shared" ca="1" si="303"/>
        <v>506.21896601678935</v>
      </c>
      <c r="J679" s="306">
        <f t="shared" ca="1" si="304"/>
        <v>661.35585294863176</v>
      </c>
      <c r="K679" s="307">
        <f t="shared" ca="1" si="305"/>
        <v>1816.0638989056954</v>
      </c>
      <c r="L679" s="304">
        <f t="shared" ca="1" si="290"/>
        <v>1932.7388983352014</v>
      </c>
      <c r="M679" s="306">
        <f t="shared" ca="1" si="306"/>
        <v>1.2016279961109826</v>
      </c>
      <c r="N679" s="304">
        <f t="shared" ca="1" si="307"/>
        <v>68.848212721921797</v>
      </c>
      <c r="P679" s="310">
        <f t="shared" ca="1" si="308"/>
        <v>19</v>
      </c>
      <c r="Q679" s="304">
        <f t="shared" ca="1" si="309"/>
        <v>1424.0931311477893</v>
      </c>
      <c r="R679" s="306">
        <f t="shared" ca="1" si="310"/>
        <v>0.85641277738544019</v>
      </c>
      <c r="S679" s="307">
        <f t="shared" ca="1" si="311"/>
        <v>11.649754405678703</v>
      </c>
      <c r="T679" s="304">
        <f t="shared" ca="1" si="291"/>
        <v>114.28409071970808</v>
      </c>
      <c r="U679" s="311">
        <f t="shared" ca="1" si="292"/>
        <v>0</v>
      </c>
      <c r="V679" s="306">
        <f t="shared" ca="1" si="293"/>
        <v>1.0210513604591094</v>
      </c>
      <c r="W679" s="304">
        <f t="shared" ca="1" si="294"/>
        <v>1481.3276806139791</v>
      </c>
      <c r="Y679" s="314" t="str">
        <f t="shared" ca="1" si="312"/>
        <v/>
      </c>
      <c r="Z679" s="315" t="str">
        <f t="shared" ca="1" si="313"/>
        <v/>
      </c>
      <c r="AA679" s="316" t="str">
        <f t="shared" ca="1" si="314"/>
        <v/>
      </c>
      <c r="AC679" s="310" t="e">
        <f t="shared" ca="1" si="315"/>
        <v>#N/A</v>
      </c>
      <c r="AD679" s="323" t="e">
        <f t="shared" ca="1" si="316"/>
        <v>#N/A</v>
      </c>
      <c r="AE679" s="324">
        <f t="shared" ca="1" si="295"/>
        <v>1816.0638989056954</v>
      </c>
      <c r="AG679" s="306">
        <f t="shared" ca="1" si="317"/>
        <v>-14.194170527892084</v>
      </c>
      <c r="AH679" s="304">
        <f t="shared" ca="1" si="318"/>
        <v>-5.0448446643333451</v>
      </c>
    </row>
    <row r="680" spans="1:34" x14ac:dyDescent="0.2">
      <c r="A680" s="347">
        <f t="shared" ca="1" si="296"/>
        <v>0.01</v>
      </c>
      <c r="B680" s="304">
        <f t="shared" ca="1" si="297"/>
        <v>6.7599999999999003</v>
      </c>
      <c r="D680" s="306">
        <f t="shared" ca="1" si="298"/>
        <v>-2.5477240157010419</v>
      </c>
      <c r="E680" s="307">
        <f t="shared" ca="1" si="299"/>
        <v>-16.394853937837304</v>
      </c>
      <c r="F680" s="304">
        <f t="shared" ca="1" si="300"/>
        <v>16.591628410231444</v>
      </c>
      <c r="G680" s="306">
        <f t="shared" ca="1" si="301"/>
        <v>182.63853342753345</v>
      </c>
      <c r="H680" s="307">
        <f t="shared" ca="1" si="302"/>
        <v>471.94991565219686</v>
      </c>
      <c r="I680" s="304">
        <f t="shared" ca="1" si="303"/>
        <v>506.05687108928379</v>
      </c>
      <c r="J680" s="306">
        <f t="shared" ca="1" si="304"/>
        <v>663.18236566910787</v>
      </c>
      <c r="K680" s="307">
        <f t="shared" ca="1" si="305"/>
        <v>1820.7842178049143</v>
      </c>
      <c r="L680" s="304">
        <f t="shared" ca="1" si="290"/>
        <v>1937.7992718395597</v>
      </c>
      <c r="M680" s="306">
        <f t="shared" ca="1" si="306"/>
        <v>1.2015580466683409</v>
      </c>
      <c r="N680" s="304">
        <f t="shared" ca="1" si="307"/>
        <v>68.844204914079143</v>
      </c>
      <c r="P680" s="310">
        <f t="shared" ca="1" si="308"/>
        <v>19</v>
      </c>
      <c r="Q680" s="304">
        <f t="shared" ca="1" si="309"/>
        <v>1399.1335526934572</v>
      </c>
      <c r="R680" s="306">
        <f t="shared" ca="1" si="310"/>
        <v>0.84140273243900043</v>
      </c>
      <c r="S680" s="307">
        <f t="shared" ca="1" si="311"/>
        <v>11.641340378354313</v>
      </c>
      <c r="T680" s="304">
        <f t="shared" ca="1" si="291"/>
        <v>114.20154911165581</v>
      </c>
      <c r="U680" s="311">
        <f t="shared" ca="1" si="292"/>
        <v>0</v>
      </c>
      <c r="V680" s="306">
        <f t="shared" ca="1" si="293"/>
        <v>1.0205654898057193</v>
      </c>
      <c r="W680" s="304">
        <f t="shared" ca="1" si="294"/>
        <v>1479.6747257930438</v>
      </c>
      <c r="Y680" s="314" t="str">
        <f t="shared" ca="1" si="312"/>
        <v/>
      </c>
      <c r="Z680" s="315" t="str">
        <f t="shared" ca="1" si="313"/>
        <v/>
      </c>
      <c r="AA680" s="316" t="str">
        <f t="shared" ca="1" si="314"/>
        <v/>
      </c>
      <c r="AC680" s="310" t="e">
        <f t="shared" ca="1" si="315"/>
        <v>#N/A</v>
      </c>
      <c r="AD680" s="323" t="e">
        <f t="shared" ca="1" si="316"/>
        <v>#N/A</v>
      </c>
      <c r="AE680" s="324">
        <f t="shared" ca="1" si="295"/>
        <v>1820.7842178049143</v>
      </c>
      <c r="AG680" s="306">
        <f t="shared" ca="1" si="317"/>
        <v>-16.209616555455234</v>
      </c>
      <c r="AH680" s="304">
        <f t="shared" ca="1" si="318"/>
        <v>-7.0605381553272037</v>
      </c>
    </row>
    <row r="681" spans="1:34" x14ac:dyDescent="0.2">
      <c r="A681" s="347">
        <f t="shared" ca="1" si="296"/>
        <v>0.01</v>
      </c>
      <c r="B681" s="304">
        <f t="shared" ca="1" si="297"/>
        <v>6.7699999999999001</v>
      </c>
      <c r="D681" s="306">
        <f t="shared" ca="1" si="298"/>
        <v>-3.2730606762565513</v>
      </c>
      <c r="E681" s="307">
        <f t="shared" ca="1" si="299"/>
        <v>-18.267802858435182</v>
      </c>
      <c r="F681" s="304">
        <f t="shared" ca="1" si="300"/>
        <v>18.558705436131842</v>
      </c>
      <c r="G681" s="306">
        <f t="shared" ca="1" si="301"/>
        <v>182.60580282077089</v>
      </c>
      <c r="H681" s="307">
        <f t="shared" ca="1" si="302"/>
        <v>471.76723762361252</v>
      </c>
      <c r="I681" s="304">
        <f t="shared" ca="1" si="303"/>
        <v>505.87469369284753</v>
      </c>
      <c r="J681" s="306">
        <f t="shared" ca="1" si="304"/>
        <v>665.00858735034944</v>
      </c>
      <c r="K681" s="307">
        <f t="shared" ca="1" si="305"/>
        <v>1825.5028035712933</v>
      </c>
      <c r="L681" s="304">
        <f t="shared" ca="1" si="290"/>
        <v>1942.8579225193898</v>
      </c>
      <c r="M681" s="306">
        <f t="shared" ca="1" si="306"/>
        <v>1.2014880593846085</v>
      </c>
      <c r="N681" s="304">
        <f t="shared" ca="1" si="307"/>
        <v>68.840194938101689</v>
      </c>
      <c r="P681" s="310">
        <f t="shared" ca="1" si="308"/>
        <v>19</v>
      </c>
      <c r="Q681" s="304">
        <f t="shared" ca="1" si="309"/>
        <v>1374.1739742391253</v>
      </c>
      <c r="R681" s="306">
        <f t="shared" ca="1" si="310"/>
        <v>0.8263926874925609</v>
      </c>
      <c r="S681" s="307">
        <f t="shared" ca="1" si="311"/>
        <v>11.633076451479386</v>
      </c>
      <c r="T681" s="304">
        <f t="shared" ca="1" si="291"/>
        <v>114.12047998901278</v>
      </c>
      <c r="U681" s="311">
        <f t="shared" ca="1" si="292"/>
        <v>0</v>
      </c>
      <c r="V681" s="306">
        <f t="shared" ca="1" si="293"/>
        <v>1.0200800075947007</v>
      </c>
      <c r="W681" s="304">
        <f t="shared" ca="1" si="294"/>
        <v>1477.9061963204463</v>
      </c>
      <c r="Y681" s="314" t="str">
        <f t="shared" ca="1" si="312"/>
        <v/>
      </c>
      <c r="Z681" s="315" t="str">
        <f t="shared" ca="1" si="313"/>
        <v/>
      </c>
      <c r="AA681" s="316" t="str">
        <f t="shared" ca="1" si="314"/>
        <v/>
      </c>
      <c r="AC681" s="310" t="e">
        <f t="shared" ca="1" si="315"/>
        <v>#N/A</v>
      </c>
      <c r="AD681" s="323" t="e">
        <f t="shared" ca="1" si="316"/>
        <v>#N/A</v>
      </c>
      <c r="AE681" s="324">
        <f t="shared" ca="1" si="295"/>
        <v>1825.5028035712933</v>
      </c>
      <c r="AG681" s="306">
        <f t="shared" ca="1" si="317"/>
        <v>-18.217863537898118</v>
      </c>
      <c r="AH681" s="304">
        <f t="shared" ca="1" si="318"/>
        <v>-9.0690327699601649</v>
      </c>
    </row>
    <row r="682" spans="1:34" x14ac:dyDescent="0.2">
      <c r="A682" s="347">
        <f t="shared" ca="1" si="296"/>
        <v>0.01</v>
      </c>
      <c r="B682" s="304">
        <f t="shared" ca="1" si="297"/>
        <v>6.7799999999998999</v>
      </c>
      <c r="D682" s="306">
        <f t="shared" ca="1" si="298"/>
        <v>-3.9960501672588951</v>
      </c>
      <c r="E682" s="307">
        <f t="shared" ca="1" si="299"/>
        <v>-20.133908220285029</v>
      </c>
      <c r="F682" s="304">
        <f t="shared" ca="1" si="300"/>
        <v>20.526633361613662</v>
      </c>
      <c r="G682" s="306">
        <f t="shared" ca="1" si="301"/>
        <v>182.56584231909829</v>
      </c>
      <c r="H682" s="307">
        <f t="shared" ca="1" si="302"/>
        <v>471.56589854140964</v>
      </c>
      <c r="I682" s="304">
        <f t="shared" ca="1" si="303"/>
        <v>505.67250612313194</v>
      </c>
      <c r="J682" s="306">
        <f t="shared" ca="1" si="304"/>
        <v>666.83444557604878</v>
      </c>
      <c r="K682" s="307">
        <f t="shared" ca="1" si="305"/>
        <v>1830.2194692521184</v>
      </c>
      <c r="L682" s="304">
        <f t="shared" ca="1" si="290"/>
        <v>1947.9146499362396</v>
      </c>
      <c r="M682" s="306">
        <f t="shared" ca="1" si="306"/>
        <v>1.2014180314550231</v>
      </c>
      <c r="N682" s="304">
        <f t="shared" ca="1" si="307"/>
        <v>68.836182633288402</v>
      </c>
      <c r="P682" s="310">
        <f t="shared" ca="1" si="308"/>
        <v>19</v>
      </c>
      <c r="Q682" s="304">
        <f t="shared" ca="1" si="309"/>
        <v>1349.2143957847932</v>
      </c>
      <c r="R682" s="306">
        <f t="shared" ca="1" si="310"/>
        <v>0.81138264254612114</v>
      </c>
      <c r="S682" s="307">
        <f t="shared" ca="1" si="311"/>
        <v>11.624962625053925</v>
      </c>
      <c r="T682" s="304">
        <f t="shared" ca="1" si="291"/>
        <v>114.04088335177902</v>
      </c>
      <c r="U682" s="311">
        <f t="shared" ca="1" si="292"/>
        <v>0</v>
      </c>
      <c r="V682" s="306">
        <f t="shared" ca="1" si="293"/>
        <v>1.0195949326811184</v>
      </c>
      <c r="W682" s="304">
        <f t="shared" ca="1" si="294"/>
        <v>1476.0228341466118</v>
      </c>
      <c r="Y682" s="314" t="str">
        <f t="shared" ca="1" si="312"/>
        <v/>
      </c>
      <c r="Z682" s="315" t="str">
        <f t="shared" ca="1" si="313"/>
        <v/>
      </c>
      <c r="AA682" s="316" t="str">
        <f t="shared" ca="1" si="314"/>
        <v/>
      </c>
      <c r="AC682" s="310" t="e">
        <f t="shared" ca="1" si="315"/>
        <v>#N/A</v>
      </c>
      <c r="AD682" s="323" t="e">
        <f t="shared" ca="1" si="316"/>
        <v>#N/A</v>
      </c>
      <c r="AE682" s="324">
        <f t="shared" ca="1" si="295"/>
        <v>1830.2194692521184</v>
      </c>
      <c r="AG682" s="306">
        <f t="shared" ca="1" si="317"/>
        <v>-20.218880960204501</v>
      </c>
      <c r="AH682" s="304">
        <f t="shared" ca="1" si="318"/>
        <v>-11.070298003220989</v>
      </c>
    </row>
    <row r="683" spans="1:34" x14ac:dyDescent="0.2">
      <c r="A683" s="347">
        <f t="shared" ca="1" si="296"/>
        <v>0.01</v>
      </c>
      <c r="B683" s="304">
        <f t="shared" ca="1" si="297"/>
        <v>6.7899999999998997</v>
      </c>
      <c r="D683" s="306">
        <f t="shared" ca="1" si="298"/>
        <v>-4.7166808912422562</v>
      </c>
      <c r="E683" s="307">
        <f t="shared" ca="1" si="299"/>
        <v>-21.993143540751344</v>
      </c>
      <c r="F683" s="304">
        <f t="shared" ca="1" si="300"/>
        <v>22.493231013660584</v>
      </c>
      <c r="G683" s="306">
        <f t="shared" ca="1" si="301"/>
        <v>182.51867551018586</v>
      </c>
      <c r="H683" s="307">
        <f t="shared" ca="1" si="302"/>
        <v>471.34596710600215</v>
      </c>
      <c r="I683" s="304">
        <f t="shared" ca="1" si="303"/>
        <v>505.45038096442755</v>
      </c>
      <c r="J683" s="306">
        <f t="shared" ca="1" si="304"/>
        <v>668.65986816519523</v>
      </c>
      <c r="K683" s="307">
        <f t="shared" ca="1" si="305"/>
        <v>1834.9340285803555</v>
      </c>
      <c r="L683" s="304">
        <f t="shared" ca="1" si="290"/>
        <v>1952.9692543757133</v>
      </c>
      <c r="M683" s="306">
        <f t="shared" ca="1" si="306"/>
        <v>1.2013479600761852</v>
      </c>
      <c r="N683" s="304">
        <f t="shared" ca="1" si="307"/>
        <v>68.832167839016336</v>
      </c>
      <c r="P683" s="310">
        <f t="shared" ca="1" si="308"/>
        <v>19</v>
      </c>
      <c r="Q683" s="304">
        <f t="shared" ca="1" si="309"/>
        <v>1324.2548173304613</v>
      </c>
      <c r="R683" s="306">
        <f t="shared" ca="1" si="310"/>
        <v>0.7963725975996816</v>
      </c>
      <c r="S683" s="307">
        <f t="shared" ca="1" si="311"/>
        <v>11.616998899077927</v>
      </c>
      <c r="T683" s="304">
        <f t="shared" ca="1" si="291"/>
        <v>113.96275919995448</v>
      </c>
      <c r="U683" s="311">
        <f t="shared" ca="1" si="292"/>
        <v>0</v>
      </c>
      <c r="V683" s="306">
        <f t="shared" ca="1" si="293"/>
        <v>1.0191102838168657</v>
      </c>
      <c r="W683" s="304">
        <f t="shared" ca="1" si="294"/>
        <v>1474.025394569376</v>
      </c>
      <c r="Y683" s="314" t="str">
        <f t="shared" ca="1" si="312"/>
        <v/>
      </c>
      <c r="Z683" s="315" t="str">
        <f t="shared" ca="1" si="313"/>
        <v/>
      </c>
      <c r="AA683" s="316" t="str">
        <f t="shared" ca="1" si="314"/>
        <v/>
      </c>
      <c r="AC683" s="310" t="e">
        <f t="shared" ca="1" si="315"/>
        <v>#N/A</v>
      </c>
      <c r="AD683" s="323" t="e">
        <f t="shared" ca="1" si="316"/>
        <v>#N/A</v>
      </c>
      <c r="AE683" s="324">
        <f t="shared" ca="1" si="295"/>
        <v>1834.9340285803555</v>
      </c>
      <c r="AG683" s="306">
        <f t="shared" ca="1" si="317"/>
        <v>-22.212639958458723</v>
      </c>
      <c r="AH683" s="304">
        <f t="shared" ca="1" si="318"/>
        <v>-13.064305001199299</v>
      </c>
    </row>
    <row r="684" spans="1:34" x14ac:dyDescent="0.2">
      <c r="A684" s="347">
        <f t="shared" ca="1" si="296"/>
        <v>0.01</v>
      </c>
      <c r="B684" s="304">
        <f t="shared" ca="1" si="297"/>
        <v>6.7999999999998995</v>
      </c>
      <c r="D684" s="306">
        <f t="shared" ca="1" si="298"/>
        <v>-5.4349418521172437</v>
      </c>
      <c r="E684" s="307">
        <f t="shared" ca="1" si="299"/>
        <v>-23.84548385550346</v>
      </c>
      <c r="F684" s="304">
        <f t="shared" ca="1" si="300"/>
        <v>24.457017259653142</v>
      </c>
      <c r="G684" s="306">
        <f t="shared" ca="1" si="301"/>
        <v>182.46432609166467</v>
      </c>
      <c r="H684" s="307">
        <f t="shared" ca="1" si="302"/>
        <v>471.10751226744713</v>
      </c>
      <c r="I684" s="304">
        <f t="shared" ca="1" si="303"/>
        <v>505.20839107333535</v>
      </c>
      <c r="J684" s="306">
        <f t="shared" ca="1" si="304"/>
        <v>670.48478317320451</v>
      </c>
      <c r="K684" s="307">
        <f t="shared" ca="1" si="305"/>
        <v>1839.6462959772227</v>
      </c>
      <c r="L684" s="304">
        <f t="shared" ca="1" si="290"/>
        <v>1958.0215368502804</v>
      </c>
      <c r="M684" s="306">
        <f t="shared" ca="1" si="306"/>
        <v>1.2012778424454573</v>
      </c>
      <c r="N684" s="304">
        <f t="shared" ca="1" si="307"/>
        <v>68.828150394706171</v>
      </c>
      <c r="P684" s="310">
        <f t="shared" ca="1" si="308"/>
        <v>19</v>
      </c>
      <c r="Q684" s="304">
        <f t="shared" ca="1" si="309"/>
        <v>1299.2952388761291</v>
      </c>
      <c r="R684" s="306">
        <f t="shared" ca="1" si="310"/>
        <v>0.78136255265324195</v>
      </c>
      <c r="S684" s="307">
        <f t="shared" ca="1" si="311"/>
        <v>11.609185273551395</v>
      </c>
      <c r="T684" s="304">
        <f t="shared" ca="1" si="291"/>
        <v>113.88610753353919</v>
      </c>
      <c r="U684" s="311">
        <f t="shared" ca="1" si="292"/>
        <v>0</v>
      </c>
      <c r="V684" s="306">
        <f t="shared" ca="1" si="293"/>
        <v>1.0186260796506403</v>
      </c>
      <c r="W684" s="304">
        <f t="shared" ca="1" si="294"/>
        <v>1471.9146459142898</v>
      </c>
      <c r="Y684" s="314" t="str">
        <f t="shared" ca="1" si="312"/>
        <v/>
      </c>
      <c r="Z684" s="315" t="str">
        <f t="shared" ca="1" si="313"/>
        <v/>
      </c>
      <c r="AA684" s="316" t="str">
        <f t="shared" ca="1" si="314"/>
        <v/>
      </c>
      <c r="AC684" s="310" t="e">
        <f t="shared" ca="1" si="315"/>
        <v>#N/A</v>
      </c>
      <c r="AD684" s="323" t="e">
        <f t="shared" ca="1" si="316"/>
        <v>#N/A</v>
      </c>
      <c r="AE684" s="324">
        <f t="shared" ca="1" si="295"/>
        <v>1839.6462959772227</v>
      </c>
      <c r="AG684" s="306">
        <f t="shared" ca="1" si="317"/>
        <v>-24.199113301621935</v>
      </c>
      <c r="AH684" s="304">
        <f t="shared" ca="1" si="318"/>
        <v>-15.051026542863909</v>
      </c>
    </row>
    <row r="685" spans="1:34" x14ac:dyDescent="0.2">
      <c r="A685" s="347">
        <f t="shared" ca="1" si="296"/>
        <v>0.01</v>
      </c>
      <c r="B685" s="304">
        <f t="shared" ca="1" si="297"/>
        <v>6.8099999999998992</v>
      </c>
      <c r="D685" s="306">
        <f t="shared" ca="1" si="298"/>
        <v>-6.1508226488416629</v>
      </c>
      <c r="E685" s="307">
        <f t="shared" ca="1" si="299"/>
        <v>-25.690905701196339</v>
      </c>
      <c r="F685" s="304">
        <f t="shared" ca="1" si="300"/>
        <v>26.416950145792118</v>
      </c>
      <c r="G685" s="306">
        <f t="shared" ca="1" si="301"/>
        <v>182.40281786517625</v>
      </c>
      <c r="H685" s="307">
        <f t="shared" ca="1" si="302"/>
        <v>470.85060321043517</v>
      </c>
      <c r="I685" s="304">
        <f t="shared" ca="1" si="303"/>
        <v>504.94660956262231</v>
      </c>
      <c r="J685" s="306">
        <f t="shared" ca="1" si="304"/>
        <v>672.30911889298875</v>
      </c>
      <c r="K685" s="307">
        <f t="shared" ca="1" si="305"/>
        <v>1844.3560865546121</v>
      </c>
      <c r="L685" s="304">
        <f t="shared" ca="1" si="290"/>
        <v>1963.0712991019227</v>
      </c>
      <c r="M685" s="306">
        <f t="shared" ca="1" si="306"/>
        <v>1.2012076757603671</v>
      </c>
      <c r="N685" s="304">
        <f t="shared" ca="1" si="307"/>
        <v>68.824130139788082</v>
      </c>
      <c r="P685" s="310">
        <f t="shared" ca="1" si="308"/>
        <v>19</v>
      </c>
      <c r="Q685" s="304">
        <f t="shared" ca="1" si="309"/>
        <v>1274.335660421797</v>
      </c>
      <c r="R685" s="306">
        <f t="shared" ca="1" si="310"/>
        <v>0.76635250770680219</v>
      </c>
      <c r="S685" s="307">
        <f t="shared" ca="1" si="311"/>
        <v>11.601521748474328</v>
      </c>
      <c r="T685" s="304">
        <f t="shared" ca="1" si="291"/>
        <v>113.81092835253317</v>
      </c>
      <c r="U685" s="311">
        <f t="shared" ca="1" si="292"/>
        <v>0</v>
      </c>
      <c r="V685" s="306">
        <f t="shared" ca="1" si="293"/>
        <v>1.0181423387279389</v>
      </c>
      <c r="W685" s="304">
        <f t="shared" ca="1" si="294"/>
        <v>1469.6913692171761</v>
      </c>
      <c r="Y685" s="314" t="str">
        <f t="shared" ca="1" si="312"/>
        <v/>
      </c>
      <c r="Z685" s="315" t="str">
        <f t="shared" ca="1" si="313"/>
        <v/>
      </c>
      <c r="AA685" s="316" t="str">
        <f t="shared" ca="1" si="314"/>
        <v/>
      </c>
      <c r="AC685" s="310" t="e">
        <f t="shared" ca="1" si="315"/>
        <v>#N/A</v>
      </c>
      <c r="AD685" s="323" t="e">
        <f t="shared" ca="1" si="316"/>
        <v>#N/A</v>
      </c>
      <c r="AE685" s="324">
        <f t="shared" ca="1" si="295"/>
        <v>1844.3560865546121</v>
      </c>
      <c r="AG685" s="306">
        <f t="shared" ca="1" si="317"/>
        <v>-26.178275373099709</v>
      </c>
      <c r="AH685" s="304">
        <f t="shared" ca="1" si="318"/>
        <v>-17.03043702163259</v>
      </c>
    </row>
    <row r="686" spans="1:34" x14ac:dyDescent="0.2">
      <c r="A686" s="347">
        <f t="shared" ca="1" si="296"/>
        <v>0.01</v>
      </c>
      <c r="B686" s="304">
        <f t="shared" ca="1" si="297"/>
        <v>6.819999999999899</v>
      </c>
      <c r="D686" s="306">
        <f t="shared" ca="1" si="298"/>
        <v>-6.864313469020149</v>
      </c>
      <c r="E686" s="307">
        <f t="shared" ca="1" si="299"/>
        <v>-27.529387097970421</v>
      </c>
      <c r="F686" s="304">
        <f t="shared" ca="1" si="300"/>
        <v>28.37227437818251</v>
      </c>
      <c r="G686" s="306">
        <f t="shared" ca="1" si="301"/>
        <v>182.33417473048604</v>
      </c>
      <c r="H686" s="307">
        <f t="shared" ca="1" si="302"/>
        <v>470.57530933945549</v>
      </c>
      <c r="I686" s="304">
        <f t="shared" ca="1" si="303"/>
        <v>504.6651097852631</v>
      </c>
      <c r="J686" s="306">
        <f t="shared" ca="1" si="304"/>
        <v>674.13280385596704</v>
      </c>
      <c r="K686" s="307">
        <f t="shared" ca="1" si="305"/>
        <v>1849.0632161173617</v>
      </c>
      <c r="L686" s="304">
        <f t="shared" ca="1" si="290"/>
        <v>1968.118343604619</v>
      </c>
      <c r="M686" s="306">
        <f t="shared" ca="1" si="306"/>
        <v>1.2011374572180085</v>
      </c>
      <c r="N686" s="304">
        <f t="shared" ca="1" si="307"/>
        <v>68.82010691366736</v>
      </c>
      <c r="P686" s="310">
        <f t="shared" ca="1" si="308"/>
        <v>19</v>
      </c>
      <c r="Q686" s="304">
        <f t="shared" ca="1" si="309"/>
        <v>1249.3760819674651</v>
      </c>
      <c r="R686" s="306">
        <f t="shared" ca="1" si="310"/>
        <v>0.75134246276036265</v>
      </c>
      <c r="S686" s="307">
        <f t="shared" ca="1" si="311"/>
        <v>11.594008323846724</v>
      </c>
      <c r="T686" s="304">
        <f t="shared" ca="1" si="291"/>
        <v>113.73722165693637</v>
      </c>
      <c r="U686" s="311">
        <f t="shared" ca="1" si="292"/>
        <v>0</v>
      </c>
      <c r="V686" s="306">
        <f t="shared" ca="1" si="293"/>
        <v>1.0176590794910718</v>
      </c>
      <c r="W686" s="304">
        <f t="shared" ca="1" si="294"/>
        <v>1467.3563579090294</v>
      </c>
      <c r="Y686" s="314" t="str">
        <f t="shared" ca="1" si="312"/>
        <v/>
      </c>
      <c r="Z686" s="315" t="str">
        <f t="shared" ca="1" si="313"/>
        <v/>
      </c>
      <c r="AA686" s="316" t="str">
        <f t="shared" ca="1" si="314"/>
        <v/>
      </c>
      <c r="AC686" s="310" t="e">
        <f t="shared" ca="1" si="315"/>
        <v>#N/A</v>
      </c>
      <c r="AD686" s="323" t="e">
        <f t="shared" ca="1" si="316"/>
        <v>#N/A</v>
      </c>
      <c r="AE686" s="324">
        <f t="shared" ca="1" si="295"/>
        <v>1849.0632161173617</v>
      </c>
      <c r="AG686" s="306">
        <f t="shared" ca="1" si="317"/>
        <v>-28.150102152115309</v>
      </c>
      <c r="AH686" s="304">
        <f t="shared" ca="1" si="318"/>
        <v>-19.002512426747472</v>
      </c>
    </row>
    <row r="687" spans="1:34" x14ac:dyDescent="0.2">
      <c r="A687" s="347">
        <f t="shared" ca="1" si="296"/>
        <v>0.01</v>
      </c>
      <c r="B687" s="304">
        <f t="shared" ca="1" si="297"/>
        <v>6.8299999999998988</v>
      </c>
      <c r="D687" s="306">
        <f t="shared" ca="1" si="298"/>
        <v>-7.5754050824369639</v>
      </c>
      <c r="E687" s="307">
        <f t="shared" ca="1" si="299"/>
        <v>-29.360907531781685</v>
      </c>
      <c r="F687" s="304">
        <f t="shared" ca="1" si="300"/>
        <v>30.322428221579589</v>
      </c>
      <c r="G687" s="306">
        <f t="shared" ca="1" si="301"/>
        <v>182.25842067966167</v>
      </c>
      <c r="H687" s="307">
        <f t="shared" ca="1" si="302"/>
        <v>470.28170026413767</v>
      </c>
      <c r="I687" s="304">
        <f t="shared" ca="1" si="303"/>
        <v>504.36396531867018</v>
      </c>
      <c r="J687" s="306">
        <f t="shared" ca="1" si="304"/>
        <v>675.95576683301783</v>
      </c>
      <c r="K687" s="307">
        <f t="shared" ca="1" si="305"/>
        <v>1853.7675011653796</v>
      </c>
      <c r="L687" s="304">
        <f t="shared" ca="1" si="290"/>
        <v>1973.1624735666724</v>
      </c>
      <c r="M687" s="306">
        <f t="shared" ca="1" si="306"/>
        <v>1.2010671840144445</v>
      </c>
      <c r="N687" s="304">
        <f t="shared" ca="1" si="307"/>
        <v>68.816080555690277</v>
      </c>
      <c r="P687" s="310">
        <f t="shared" ca="1" si="308"/>
        <v>19</v>
      </c>
      <c r="Q687" s="304">
        <f t="shared" ca="1" si="309"/>
        <v>1224.416503513133</v>
      </c>
      <c r="R687" s="306">
        <f t="shared" ca="1" si="310"/>
        <v>0.73633241781392289</v>
      </c>
      <c r="S687" s="307">
        <f t="shared" ca="1" si="311"/>
        <v>11.586644999668586</v>
      </c>
      <c r="T687" s="304">
        <f t="shared" ca="1" si="291"/>
        <v>113.66498744674884</v>
      </c>
      <c r="U687" s="311">
        <f t="shared" ca="1" si="292"/>
        <v>0</v>
      </c>
      <c r="V687" s="306">
        <f t="shared" ca="1" si="293"/>
        <v>1.0171763202791928</v>
      </c>
      <c r="W687" s="304">
        <f t="shared" ca="1" si="294"/>
        <v>1464.9104175033422</v>
      </c>
      <c r="Y687" s="314" t="str">
        <f t="shared" ca="1" si="312"/>
        <v/>
      </c>
      <c r="Z687" s="315" t="str">
        <f t="shared" ca="1" si="313"/>
        <v/>
      </c>
      <c r="AA687" s="316" t="str">
        <f t="shared" ca="1" si="314"/>
        <v/>
      </c>
      <c r="AC687" s="310" t="e">
        <f t="shared" ca="1" si="315"/>
        <v>#N/A</v>
      </c>
      <c r="AD687" s="323" t="e">
        <f t="shared" ca="1" si="316"/>
        <v>#N/A</v>
      </c>
      <c r="AE687" s="324">
        <f t="shared" ca="1" si="295"/>
        <v>1853.7675011653796</v>
      </c>
      <c r="AG687" s="306">
        <f t="shared" ca="1" si="317"/>
        <v>-30.11457119490051</v>
      </c>
      <c r="AH687" s="304">
        <f t="shared" ca="1" si="318"/>
        <v>-20.967230324467977</v>
      </c>
    </row>
    <row r="688" spans="1:34" x14ac:dyDescent="0.2">
      <c r="A688" s="347">
        <f t="shared" ca="1" si="296"/>
        <v>0.01</v>
      </c>
      <c r="B688" s="304">
        <f t="shared" ca="1" si="297"/>
        <v>6.8399999999998986</v>
      </c>
      <c r="D688" s="306">
        <f t="shared" ca="1" si="298"/>
        <v>-8.2840888345258925</v>
      </c>
      <c r="E688" s="307">
        <f t="shared" ca="1" si="299"/>
        <v>-31.185447936572274</v>
      </c>
      <c r="F688" s="304">
        <f t="shared" ca="1" si="300"/>
        <v>32.26698453253691</v>
      </c>
      <c r="G688" s="306">
        <f t="shared" ca="1" si="301"/>
        <v>182.17557979131641</v>
      </c>
      <c r="H688" s="307">
        <f t="shared" ca="1" si="302"/>
        <v>469.96984578477196</v>
      </c>
      <c r="I688" s="304">
        <f t="shared" ca="1" si="303"/>
        <v>504.0432499491136</v>
      </c>
      <c r="J688" s="306">
        <f t="shared" ca="1" si="304"/>
        <v>677.77793683537277</v>
      </c>
      <c r="K688" s="307">
        <f t="shared" ca="1" si="305"/>
        <v>1858.4687588956242</v>
      </c>
      <c r="L688" s="304">
        <f t="shared" ca="1" si="290"/>
        <v>1978.2034929328825</v>
      </c>
      <c r="M688" s="306">
        <f t="shared" ca="1" si="306"/>
        <v>1.2009968533441087</v>
      </c>
      <c r="N688" s="304">
        <f t="shared" ca="1" si="307"/>
        <v>68.812050905109714</v>
      </c>
      <c r="P688" s="310">
        <f t="shared" ca="1" si="308"/>
        <v>19</v>
      </c>
      <c r="Q688" s="304">
        <f t="shared" ca="1" si="309"/>
        <v>1199.4569250588011</v>
      </c>
      <c r="R688" s="306">
        <f t="shared" ca="1" si="310"/>
        <v>0.72132237286748335</v>
      </c>
      <c r="S688" s="307">
        <f t="shared" ca="1" si="311"/>
        <v>11.579431775939911</v>
      </c>
      <c r="T688" s="304">
        <f t="shared" ca="1" si="291"/>
        <v>113.59422572197053</v>
      </c>
      <c r="U688" s="311">
        <f t="shared" ca="1" si="292"/>
        <v>0</v>
      </c>
      <c r="V688" s="306">
        <f t="shared" ca="1" si="293"/>
        <v>1.0166940793283488</v>
      </c>
      <c r="W688" s="304">
        <f t="shared" ca="1" si="294"/>
        <v>1462.3543652859553</v>
      </c>
      <c r="Y688" s="314" t="str">
        <f t="shared" ca="1" si="312"/>
        <v/>
      </c>
      <c r="Z688" s="315" t="str">
        <f t="shared" ca="1" si="313"/>
        <v/>
      </c>
      <c r="AA688" s="316" t="str">
        <f t="shared" ca="1" si="314"/>
        <v/>
      </c>
      <c r="AC688" s="310" t="e">
        <f t="shared" ca="1" si="315"/>
        <v>#N/A</v>
      </c>
      <c r="AD688" s="323" t="e">
        <f t="shared" ca="1" si="316"/>
        <v>#N/A</v>
      </c>
      <c r="AE688" s="324">
        <f t="shared" ca="1" si="295"/>
        <v>1858.4687588956242</v>
      </c>
      <c r="AG688" s="306">
        <f t="shared" ca="1" si="317"/>
        <v>-32.071661615715108</v>
      </c>
      <c r="AH688" s="304">
        <f t="shared" ca="1" si="318"/>
        <v>-22.924569839092474</v>
      </c>
    </row>
    <row r="689" spans="1:34" x14ac:dyDescent="0.2">
      <c r="A689" s="347">
        <f t="shared" ca="1" si="296"/>
        <v>0.01</v>
      </c>
      <c r="B689" s="304">
        <f t="shared" ca="1" si="297"/>
        <v>6.8499999999998984</v>
      </c>
      <c r="D689" s="306">
        <f t="shared" ca="1" si="298"/>
        <v>-8.9903566397821333</v>
      </c>
      <c r="E689" s="307">
        <f t="shared" ca="1" si="299"/>
        <v>-33.002990676294303</v>
      </c>
      <c r="F689" s="304">
        <f t="shared" ca="1" si="300"/>
        <v>34.205612201655498</v>
      </c>
      <c r="G689" s="306">
        <f t="shared" ca="1" si="301"/>
        <v>182.08567622491859</v>
      </c>
      <c r="H689" s="307">
        <f t="shared" ca="1" si="302"/>
        <v>469.63981587800902</v>
      </c>
      <c r="I689" s="304">
        <f t="shared" ca="1" si="303"/>
        <v>503.7030376563319</v>
      </c>
      <c r="J689" s="306">
        <f t="shared" ca="1" si="304"/>
        <v>679.59924311545399</v>
      </c>
      <c r="K689" s="307">
        <f t="shared" ca="1" si="305"/>
        <v>1863.1668072039381</v>
      </c>
      <c r="L689" s="304">
        <f t="shared" ca="1" si="290"/>
        <v>1983.2412063865593</v>
      </c>
      <c r="M689" s="306">
        <f t="shared" ca="1" si="306"/>
        <v>1.2009264623992069</v>
      </c>
      <c r="N689" s="304">
        <f t="shared" ca="1" si="307"/>
        <v>68.808017801050909</v>
      </c>
      <c r="P689" s="310">
        <f t="shared" ca="1" si="308"/>
        <v>19</v>
      </c>
      <c r="Q689" s="304">
        <f t="shared" ca="1" si="309"/>
        <v>1174.4973466044689</v>
      </c>
      <c r="R689" s="306">
        <f t="shared" ca="1" si="310"/>
        <v>0.70631232792104359</v>
      </c>
      <c r="S689" s="307">
        <f t="shared" ca="1" si="311"/>
        <v>11.572368652660701</v>
      </c>
      <c r="T689" s="304">
        <f t="shared" ca="1" si="291"/>
        <v>113.52493648260149</v>
      </c>
      <c r="U689" s="311">
        <f t="shared" ca="1" si="292"/>
        <v>0</v>
      </c>
      <c r="V689" s="306">
        <f t="shared" ca="1" si="293"/>
        <v>1.016212374771547</v>
      </c>
      <c r="W689" s="304">
        <f t="shared" ca="1" si="294"/>
        <v>1459.6890300075108</v>
      </c>
      <c r="Y689" s="314" t="str">
        <f t="shared" ca="1" si="312"/>
        <v/>
      </c>
      <c r="Z689" s="315" t="str">
        <f t="shared" ca="1" si="313"/>
        <v/>
      </c>
      <c r="AA689" s="316" t="str">
        <f t="shared" ca="1" si="314"/>
        <v/>
      </c>
      <c r="AC689" s="310" t="e">
        <f t="shared" ca="1" si="315"/>
        <v>#N/A</v>
      </c>
      <c r="AD689" s="323" t="e">
        <f t="shared" ca="1" si="316"/>
        <v>#N/A</v>
      </c>
      <c r="AE689" s="324">
        <f t="shared" ca="1" si="295"/>
        <v>1863.1668072039381</v>
      </c>
      <c r="AG689" s="306">
        <f t="shared" ca="1" si="317"/>
        <v>-34.021354067708565</v>
      </c>
      <c r="AH689" s="304">
        <f t="shared" ca="1" si="318"/>
        <v>-24.87451163382206</v>
      </c>
    </row>
    <row r="690" spans="1:34" x14ac:dyDescent="0.2">
      <c r="A690" s="347">
        <f t="shared" ca="1" si="296"/>
        <v>0.01</v>
      </c>
      <c r="B690" s="304">
        <f t="shared" ca="1" si="297"/>
        <v>6.8599999999998982</v>
      </c>
      <c r="D690" s="306">
        <f t="shared" ca="1" si="298"/>
        <v>-9.6942009751199141</v>
      </c>
      <c r="E690" s="307">
        <f t="shared" ca="1" si="299"/>
        <v>-34.813519526796689</v>
      </c>
      <c r="F690" s="304">
        <f t="shared" ca="1" si="300"/>
        <v>36.138050229483468</v>
      </c>
      <c r="G690" s="306">
        <f t="shared" ca="1" si="301"/>
        <v>181.9887342151674</v>
      </c>
      <c r="H690" s="307">
        <f t="shared" ca="1" si="302"/>
        <v>469.29168068274106</v>
      </c>
      <c r="I690" s="304">
        <f t="shared" ca="1" si="303"/>
        <v>503.34340259833607</v>
      </c>
      <c r="J690" s="306">
        <f t="shared" ca="1" si="304"/>
        <v>681.41961516765446</v>
      </c>
      <c r="K690" s="307">
        <f t="shared" ca="1" si="305"/>
        <v>1867.8614646867418</v>
      </c>
      <c r="L690" s="304">
        <f t="shared" ca="1" si="290"/>
        <v>1988.2754193513872</v>
      </c>
      <c r="M690" s="306">
        <f t="shared" ca="1" si="306"/>
        <v>1.2008560083691182</v>
      </c>
      <c r="N690" s="304">
        <f t="shared" ca="1" si="307"/>
        <v>68.803981082477137</v>
      </c>
      <c r="P690" s="310">
        <f t="shared" ca="1" si="308"/>
        <v>19</v>
      </c>
      <c r="Q690" s="304">
        <f t="shared" ca="1" si="309"/>
        <v>1149.5377681501368</v>
      </c>
      <c r="R690" s="306">
        <f t="shared" ca="1" si="310"/>
        <v>0.69130228297460394</v>
      </c>
      <c r="S690" s="307">
        <f t="shared" ca="1" si="311"/>
        <v>11.565455629830955</v>
      </c>
      <c r="T690" s="304">
        <f t="shared" ca="1" si="291"/>
        <v>113.45711972864167</v>
      </c>
      <c r="U690" s="311">
        <f t="shared" ca="1" si="292"/>
        <v>0</v>
      </c>
      <c r="V690" s="306">
        <f t="shared" ca="1" si="293"/>
        <v>1.015731224638839</v>
      </c>
      <c r="W690" s="304">
        <f t="shared" ca="1" si="294"/>
        <v>1456.9152515785895</v>
      </c>
      <c r="Y690" s="314" t="str">
        <f t="shared" ca="1" si="312"/>
        <v/>
      </c>
      <c r="Z690" s="315" t="str">
        <f t="shared" ca="1" si="313"/>
        <v/>
      </c>
      <c r="AA690" s="316" t="str">
        <f t="shared" ca="1" si="314"/>
        <v/>
      </c>
      <c r="AC690" s="310" t="e">
        <f t="shared" ca="1" si="315"/>
        <v>#N/A</v>
      </c>
      <c r="AD690" s="323" t="e">
        <f t="shared" ca="1" si="316"/>
        <v>#N/A</v>
      </c>
      <c r="AE690" s="324">
        <f t="shared" ca="1" si="295"/>
        <v>1867.8614646867418</v>
      </c>
      <c r="AG690" s="306">
        <f t="shared" ca="1" si="317"/>
        <v>-35.963630723634424</v>
      </c>
      <c r="AH690" s="304">
        <f t="shared" ca="1" si="318"/>
        <v>-26.817037891477113</v>
      </c>
    </row>
    <row r="691" spans="1:34" x14ac:dyDescent="0.2">
      <c r="A691" s="347">
        <f t="shared" ca="1" si="296"/>
        <v>0.01</v>
      </c>
      <c r="B691" s="304">
        <f t="shared" ca="1" si="297"/>
        <v>6.869999999999898</v>
      </c>
      <c r="D691" s="306">
        <f t="shared" ca="1" si="298"/>
        <v>-10.395614873180284</v>
      </c>
      <c r="E691" s="307">
        <f t="shared" ca="1" si="299"/>
        <v>-36.617019657586489</v>
      </c>
      <c r="F691" s="304">
        <f t="shared" ca="1" si="300"/>
        <v>38.064089864274472</v>
      </c>
      <c r="G691" s="306">
        <f t="shared" ca="1" si="301"/>
        <v>181.88477806643559</v>
      </c>
      <c r="H691" s="307">
        <f t="shared" ca="1" si="302"/>
        <v>468.92551048616519</v>
      </c>
      <c r="I691" s="304">
        <f t="shared" ca="1" si="303"/>
        <v>502.96441909640799</v>
      </c>
      <c r="J691" s="306">
        <f t="shared" ca="1" si="304"/>
        <v>683.23898272906251</v>
      </c>
      <c r="K691" s="307">
        <f t="shared" ca="1" si="305"/>
        <v>1872.5525506425863</v>
      </c>
      <c r="L691" s="304">
        <f t="shared" ca="1" si="290"/>
        <v>1993.3059379931371</v>
      </c>
      <c r="M691" s="306">
        <f t="shared" ca="1" si="306"/>
        <v>1.2007854884397948</v>
      </c>
      <c r="N691" s="304">
        <f t="shared" ca="1" si="307"/>
        <v>68.799940588155351</v>
      </c>
      <c r="P691" s="310">
        <f t="shared" ca="1" si="308"/>
        <v>19</v>
      </c>
      <c r="Q691" s="304">
        <f t="shared" ca="1" si="309"/>
        <v>1124.5781896958047</v>
      </c>
      <c r="R691" s="306">
        <f t="shared" ca="1" si="310"/>
        <v>0.67629223802816418</v>
      </c>
      <c r="S691" s="307">
        <f t="shared" ca="1" si="311"/>
        <v>11.558692707450675</v>
      </c>
      <c r="T691" s="304">
        <f t="shared" ca="1" si="291"/>
        <v>113.39077546009112</v>
      </c>
      <c r="U691" s="311">
        <f t="shared" ca="1" si="292"/>
        <v>0</v>
      </c>
      <c r="V691" s="306">
        <f t="shared" ca="1" si="293"/>
        <v>1.0152506468574216</v>
      </c>
      <c r="W691" s="304">
        <f t="shared" ca="1" si="294"/>
        <v>1454.0338807676133</v>
      </c>
      <c r="Y691" s="314" t="str">
        <f t="shared" ca="1" si="312"/>
        <v/>
      </c>
      <c r="Z691" s="315" t="str">
        <f t="shared" ca="1" si="313"/>
        <v/>
      </c>
      <c r="AA691" s="316" t="str">
        <f t="shared" ca="1" si="314"/>
        <v/>
      </c>
      <c r="AC691" s="310" t="e">
        <f t="shared" ca="1" si="315"/>
        <v>#N/A</v>
      </c>
      <c r="AD691" s="323" t="e">
        <f t="shared" ca="1" si="316"/>
        <v>#N/A</v>
      </c>
      <c r="AE691" s="324">
        <f t="shared" ca="1" si="295"/>
        <v>1872.5525506425863</v>
      </c>
      <c r="AG691" s="306">
        <f t="shared" ca="1" si="317"/>
        <v>-37.898475256429712</v>
      </c>
      <c r="AH691" s="304">
        <f t="shared" ca="1" si="318"/>
        <v>-28.752132295078841</v>
      </c>
    </row>
    <row r="692" spans="1:34" x14ac:dyDescent="0.2">
      <c r="A692" s="347">
        <f t="shared" ca="1" si="296"/>
        <v>0.01</v>
      </c>
      <c r="B692" s="304">
        <f t="shared" ca="1" si="297"/>
        <v>6.8799999999998978</v>
      </c>
      <c r="D692" s="306">
        <f t="shared" ca="1" si="298"/>
        <v>-11.094591915593188</v>
      </c>
      <c r="E692" s="307">
        <f t="shared" ca="1" si="299"/>
        <v>-38.413477613475322</v>
      </c>
      <c r="F692" s="304">
        <f t="shared" ca="1" si="300"/>
        <v>39.983562024093295</v>
      </c>
      <c r="G692" s="306">
        <f t="shared" ca="1" si="301"/>
        <v>181.77383214727965</v>
      </c>
      <c r="H692" s="307">
        <f t="shared" ca="1" si="302"/>
        <v>468.54137571003042</v>
      </c>
      <c r="I692" s="304">
        <f t="shared" ca="1" si="303"/>
        <v>502.56616162029383</v>
      </c>
      <c r="J692" s="306">
        <f t="shared" ca="1" si="304"/>
        <v>685.05727578013114</v>
      </c>
      <c r="K692" s="307">
        <f t="shared" ca="1" si="305"/>
        <v>1877.2398850735674</v>
      </c>
      <c r="L692" s="304">
        <f t="shared" ca="1" si="290"/>
        <v>1998.3325692212284</v>
      </c>
      <c r="M692" s="306">
        <f t="shared" ca="1" si="306"/>
        <v>1.2007148997931598</v>
      </c>
      <c r="N692" s="304">
        <f t="shared" ca="1" si="307"/>
        <v>68.795896156621623</v>
      </c>
      <c r="P692" s="310">
        <f t="shared" ca="1" si="308"/>
        <v>19</v>
      </c>
      <c r="Q692" s="304">
        <f t="shared" ca="1" si="309"/>
        <v>1099.6186112414728</v>
      </c>
      <c r="R692" s="306">
        <f t="shared" ca="1" si="310"/>
        <v>0.66128219308172465</v>
      </c>
      <c r="S692" s="307">
        <f t="shared" ca="1" si="311"/>
        <v>11.552079885519857</v>
      </c>
      <c r="T692" s="304">
        <f t="shared" ca="1" si="291"/>
        <v>113.32590367694981</v>
      </c>
      <c r="U692" s="311">
        <f t="shared" ca="1" si="292"/>
        <v>0</v>
      </c>
      <c r="V692" s="306">
        <f t="shared" ca="1" si="293"/>
        <v>1.0147706592517547</v>
      </c>
      <c r="W692" s="304">
        <f t="shared" ca="1" si="294"/>
        <v>1451.0457789015823</v>
      </c>
      <c r="Y692" s="314" t="str">
        <f t="shared" ca="1" si="312"/>
        <v/>
      </c>
      <c r="Z692" s="315" t="str">
        <f t="shared" ca="1" si="313"/>
        <v/>
      </c>
      <c r="AA692" s="316" t="str">
        <f t="shared" ca="1" si="314"/>
        <v/>
      </c>
      <c r="AC692" s="310" t="e">
        <f t="shared" ca="1" si="315"/>
        <v>#N/A</v>
      </c>
      <c r="AD692" s="323" t="e">
        <f t="shared" ca="1" si="316"/>
        <v>#N/A</v>
      </c>
      <c r="AE692" s="324">
        <f t="shared" ca="1" si="295"/>
        <v>1877.2398850735674</v>
      </c>
      <c r="AG692" s="306">
        <f t="shared" ca="1" si="317"/>
        <v>-39.825872819670764</v>
      </c>
      <c r="AH692" s="304">
        <f t="shared" ca="1" si="318"/>
        <v>-30.679780008307254</v>
      </c>
    </row>
    <row r="693" spans="1:34" x14ac:dyDescent="0.2">
      <c r="A693" s="347">
        <f t="shared" ca="1" si="296"/>
        <v>0.01</v>
      </c>
      <c r="B693" s="304">
        <f t="shared" ca="1" si="297"/>
        <v>6.8899999999998975</v>
      </c>
      <c r="D693" s="306">
        <f t="shared" ca="1" si="298"/>
        <v>-11.791126226197758</v>
      </c>
      <c r="E693" s="307">
        <f t="shared" ca="1" si="299"/>
        <v>-40.202881296121127</v>
      </c>
      <c r="F693" s="304">
        <f t="shared" ca="1" si="300"/>
        <v>41.896328266235152</v>
      </c>
      <c r="G693" s="306">
        <f t="shared" ca="1" si="301"/>
        <v>181.65592088501768</v>
      </c>
      <c r="H693" s="307">
        <f t="shared" ca="1" si="302"/>
        <v>468.13934689706923</v>
      </c>
      <c r="I693" s="304">
        <f t="shared" ca="1" si="303"/>
        <v>502.14870477359426</v>
      </c>
      <c r="J693" s="306">
        <f t="shared" ca="1" si="304"/>
        <v>686.87442454529264</v>
      </c>
      <c r="K693" s="307">
        <f t="shared" ca="1" si="305"/>
        <v>1881.923288686603</v>
      </c>
      <c r="L693" s="304">
        <f t="shared" ca="1" si="290"/>
        <v>2003.3551206901452</v>
      </c>
      <c r="M693" s="306">
        <f t="shared" ca="1" si="306"/>
        <v>1.2006442396065042</v>
      </c>
      <c r="N693" s="304">
        <f t="shared" ca="1" si="307"/>
        <v>68.791847626146648</v>
      </c>
      <c r="P693" s="310">
        <f t="shared" ca="1" si="308"/>
        <v>19</v>
      </c>
      <c r="Q693" s="304">
        <f t="shared" ca="1" si="309"/>
        <v>1074.6590327871409</v>
      </c>
      <c r="R693" s="306">
        <f t="shared" ca="1" si="310"/>
        <v>0.64627214813528511</v>
      </c>
      <c r="S693" s="307">
        <f t="shared" ca="1" si="311"/>
        <v>11.545617164038504</v>
      </c>
      <c r="T693" s="304">
        <f t="shared" ca="1" si="291"/>
        <v>113.26250437921773</v>
      </c>
      <c r="U693" s="311">
        <f t="shared" ca="1" si="292"/>
        <v>0</v>
      </c>
      <c r="V693" s="306">
        <f t="shared" ca="1" si="293"/>
        <v>1.0142912795436951</v>
      </c>
      <c r="W693" s="304">
        <f t="shared" ca="1" si="294"/>
        <v>1447.9518175697197</v>
      </c>
      <c r="Y693" s="314" t="str">
        <f t="shared" ca="1" si="312"/>
        <v/>
      </c>
      <c r="Z693" s="315" t="str">
        <f t="shared" ca="1" si="313"/>
        <v/>
      </c>
      <c r="AA693" s="316" t="str">
        <f t="shared" ca="1" si="314"/>
        <v/>
      </c>
      <c r="AC693" s="310" t="e">
        <f t="shared" ca="1" si="315"/>
        <v>#N/A</v>
      </c>
      <c r="AD693" s="323" t="e">
        <f t="shared" ca="1" si="316"/>
        <v>#N/A</v>
      </c>
      <c r="AE693" s="324">
        <f t="shared" ca="1" si="295"/>
        <v>1881.923288686603</v>
      </c>
      <c r="AG693" s="306">
        <f t="shared" ca="1" si="317"/>
        <v>-41.74581002791637</v>
      </c>
      <c r="AH693" s="304">
        <f t="shared" ca="1" si="318"/>
        <v>-32.599967655846498</v>
      </c>
    </row>
    <row r="694" spans="1:34" x14ac:dyDescent="0.2">
      <c r="A694" s="347">
        <f t="shared" ca="1" si="296"/>
        <v>0.01</v>
      </c>
      <c r="B694" s="304">
        <f t="shared" ca="1" si="297"/>
        <v>6.8999999999998973</v>
      </c>
      <c r="D694" s="306">
        <f t="shared" ca="1" si="298"/>
        <v>-12.485212464224848</v>
      </c>
      <c r="E694" s="307">
        <f t="shared" ca="1" si="299"/>
        <v>-41.985219945475649</v>
      </c>
      <c r="F694" s="304">
        <f t="shared" ca="1" si="300"/>
        <v>43.802274189210792</v>
      </c>
      <c r="G694" s="306">
        <f t="shared" ca="1" si="301"/>
        <v>181.53106876037543</v>
      </c>
      <c r="H694" s="307">
        <f t="shared" ca="1" si="302"/>
        <v>467.71949469761449</v>
      </c>
      <c r="I694" s="304">
        <f t="shared" ca="1" si="303"/>
        <v>501.71212327935228</v>
      </c>
      <c r="J694" s="306">
        <f t="shared" ca="1" si="304"/>
        <v>688.69035949351962</v>
      </c>
      <c r="K694" s="307">
        <f t="shared" ca="1" si="305"/>
        <v>1886.6025828945765</v>
      </c>
      <c r="L694" s="304">
        <f t="shared" ca="1" si="290"/>
        <v>2008.3734008007077</v>
      </c>
      <c r="M694" s="306">
        <f t="shared" ca="1" si="306"/>
        <v>1.2005735050518818</v>
      </c>
      <c r="N694" s="304">
        <f t="shared" ca="1" si="307"/>
        <v>68.787794834701046</v>
      </c>
      <c r="P694" s="310">
        <f t="shared" ca="1" si="308"/>
        <v>19</v>
      </c>
      <c r="Q694" s="304">
        <f t="shared" ca="1" si="309"/>
        <v>1049.6994543328087</v>
      </c>
      <c r="R694" s="306">
        <f t="shared" ca="1" si="310"/>
        <v>0.63126210318884535</v>
      </c>
      <c r="S694" s="307">
        <f t="shared" ca="1" si="311"/>
        <v>11.539304543006615</v>
      </c>
      <c r="T694" s="304">
        <f t="shared" ca="1" si="291"/>
        <v>113.20057756689491</v>
      </c>
      <c r="U694" s="311">
        <f t="shared" ca="1" si="292"/>
        <v>0</v>
      </c>
      <c r="V694" s="306">
        <f t="shared" ca="1" si="293"/>
        <v>1.0138125253526484</v>
      </c>
      <c r="W694" s="304">
        <f t="shared" ca="1" si="294"/>
        <v>1444.7528783300963</v>
      </c>
      <c r="Y694" s="314" t="str">
        <f t="shared" ca="1" si="312"/>
        <v/>
      </c>
      <c r="Z694" s="315" t="str">
        <f t="shared" ca="1" si="313"/>
        <v/>
      </c>
      <c r="AA694" s="316" t="str">
        <f t="shared" ca="1" si="314"/>
        <v/>
      </c>
      <c r="AC694" s="310" t="e">
        <f t="shared" ca="1" si="315"/>
        <v>#N/A</v>
      </c>
      <c r="AD694" s="323" t="e">
        <f t="shared" ca="1" si="316"/>
        <v>#N/A</v>
      </c>
      <c r="AE694" s="324">
        <f t="shared" ca="1" si="295"/>
        <v>1886.6025828945765</v>
      </c>
      <c r="AG694" s="306">
        <f t="shared" ca="1" si="317"/>
        <v>-43.658274936949454</v>
      </c>
      <c r="AH694" s="304">
        <f t="shared" ca="1" si="318"/>
        <v>-34.512683303628677</v>
      </c>
    </row>
    <row r="695" spans="1:34" x14ac:dyDescent="0.2">
      <c r="A695" s="347">
        <f t="shared" ca="1" si="296"/>
        <v>0.01</v>
      </c>
      <c r="B695" s="304">
        <f t="shared" ca="1" si="297"/>
        <v>6.9099999999998971</v>
      </c>
      <c r="D695" s="306">
        <f t="shared" ca="1" si="298"/>
        <v>-13.176845817445928</v>
      </c>
      <c r="E695" s="307">
        <f t="shared" ca="1" si="299"/>
        <v>-43.760484121148188</v>
      </c>
      <c r="F695" s="304">
        <f t="shared" ca="1" si="300"/>
        <v>45.701304535144345</v>
      </c>
      <c r="G695" s="306">
        <f t="shared" ca="1" si="301"/>
        <v>181.39930030220097</v>
      </c>
      <c r="H695" s="307">
        <f t="shared" ca="1" si="302"/>
        <v>467.28188985640298</v>
      </c>
      <c r="I695" s="304">
        <f t="shared" ca="1" si="303"/>
        <v>501.25649196583942</v>
      </c>
      <c r="J695" s="306">
        <f t="shared" ca="1" si="304"/>
        <v>690.50501133883256</v>
      </c>
      <c r="K695" s="307">
        <f t="shared" ca="1" si="305"/>
        <v>1891.2775898173466</v>
      </c>
      <c r="L695" s="304">
        <f t="shared" ca="1" si="290"/>
        <v>2013.3872187011998</v>
      </c>
      <c r="M695" s="306">
        <f t="shared" ca="1" si="306"/>
        <v>1.2005026932955003</v>
      </c>
      <c r="N695" s="304">
        <f t="shared" ca="1" si="307"/>
        <v>68.783737619920473</v>
      </c>
      <c r="P695" s="310">
        <f t="shared" ca="1" si="308"/>
        <v>19</v>
      </c>
      <c r="Q695" s="304">
        <f t="shared" ca="1" si="309"/>
        <v>1024.7398758784766</v>
      </c>
      <c r="R695" s="306">
        <f t="shared" ca="1" si="310"/>
        <v>0.6162520582424057</v>
      </c>
      <c r="S695" s="307">
        <f t="shared" ca="1" si="311"/>
        <v>11.533142022424192</v>
      </c>
      <c r="T695" s="304">
        <f t="shared" ca="1" si="291"/>
        <v>113.14012323998134</v>
      </c>
      <c r="U695" s="311">
        <f t="shared" ca="1" si="292"/>
        <v>0</v>
      </c>
      <c r="V695" s="306">
        <f t="shared" ca="1" si="293"/>
        <v>1.0133344141957337</v>
      </c>
      <c r="W695" s="304">
        <f t="shared" ca="1" si="294"/>
        <v>1441.4498524192898</v>
      </c>
      <c r="Y695" s="314" t="str">
        <f t="shared" ca="1" si="312"/>
        <v/>
      </c>
      <c r="Z695" s="315" t="str">
        <f t="shared" ca="1" si="313"/>
        <v/>
      </c>
      <c r="AA695" s="316" t="str">
        <f t="shared" ca="1" si="314"/>
        <v/>
      </c>
      <c r="AC695" s="310" t="e">
        <f t="shared" ca="1" si="315"/>
        <v>#N/A</v>
      </c>
      <c r="AD695" s="323" t="e">
        <f t="shared" ca="1" si="316"/>
        <v>#N/A</v>
      </c>
      <c r="AE695" s="324">
        <f t="shared" ca="1" si="295"/>
        <v>1891.2775898173466</v>
      </c>
      <c r="AG695" s="306">
        <f t="shared" ca="1" si="317"/>
        <v>-45.56325702392855</v>
      </c>
      <c r="AH695" s="304">
        <f t="shared" ca="1" si="318"/>
        <v>-36.417916438987518</v>
      </c>
    </row>
    <row r="696" spans="1:34" x14ac:dyDescent="0.2">
      <c r="A696" s="347">
        <f t="shared" ca="1" si="296"/>
        <v>0.01</v>
      </c>
      <c r="B696" s="304">
        <f t="shared" ca="1" si="297"/>
        <v>6.9199999999998969</v>
      </c>
      <c r="D696" s="306">
        <f t="shared" ca="1" si="298"/>
        <v>-13.866021995291925</v>
      </c>
      <c r="E696" s="307">
        <f t="shared" ca="1" si="299"/>
        <v>-45.528665683694747</v>
      </c>
      <c r="F696" s="304">
        <f t="shared" ca="1" si="300"/>
        <v>47.593339501568529</v>
      </c>
      <c r="G696" s="306">
        <f t="shared" ca="1" si="301"/>
        <v>181.26064008224805</v>
      </c>
      <c r="H696" s="307">
        <f t="shared" ca="1" si="302"/>
        <v>466.82660319956602</v>
      </c>
      <c r="I696" s="304">
        <f t="shared" ca="1" si="303"/>
        <v>500.78188575254131</v>
      </c>
      <c r="J696" s="306">
        <f t="shared" ca="1" si="304"/>
        <v>692.31831104075479</v>
      </c>
      <c r="K696" s="307">
        <f t="shared" ca="1" si="305"/>
        <v>1895.9481322826264</v>
      </c>
      <c r="L696" s="304">
        <f t="shared" ca="1" si="290"/>
        <v>2018.3963842883545</v>
      </c>
      <c r="M696" s="306">
        <f t="shared" ca="1" si="306"/>
        <v>1.2004318014971125</v>
      </c>
      <c r="N696" s="304">
        <f t="shared" ca="1" si="307"/>
        <v>68.779675819070761</v>
      </c>
      <c r="P696" s="310">
        <f t="shared" ca="1" si="308"/>
        <v>19</v>
      </c>
      <c r="Q696" s="304">
        <f t="shared" ca="1" si="309"/>
        <v>999.78029742414458</v>
      </c>
      <c r="R696" s="306">
        <f t="shared" ca="1" si="310"/>
        <v>0.60124201329596605</v>
      </c>
      <c r="S696" s="307">
        <f t="shared" ca="1" si="311"/>
        <v>11.527129602291232</v>
      </c>
      <c r="T696" s="304">
        <f t="shared" ca="1" si="291"/>
        <v>113.081141398477</v>
      </c>
      <c r="U696" s="311">
        <f t="shared" ca="1" si="292"/>
        <v>0</v>
      </c>
      <c r="V696" s="306">
        <f t="shared" ca="1" si="293"/>
        <v>1.0128569634879663</v>
      </c>
      <c r="W696" s="304">
        <f t="shared" ca="1" si="294"/>
        <v>1438.0436404651527</v>
      </c>
      <c r="Y696" s="314" t="str">
        <f t="shared" ca="1" si="312"/>
        <v/>
      </c>
      <c r="Z696" s="315" t="str">
        <f t="shared" ca="1" si="313"/>
        <v/>
      </c>
      <c r="AA696" s="316" t="str">
        <f t="shared" ca="1" si="314"/>
        <v/>
      </c>
      <c r="AC696" s="310" t="e">
        <f t="shared" ca="1" si="315"/>
        <v>#N/A</v>
      </c>
      <c r="AD696" s="323" t="e">
        <f t="shared" ca="1" si="316"/>
        <v>#N/A</v>
      </c>
      <c r="AE696" s="324">
        <f t="shared" ca="1" si="295"/>
        <v>1895.9481322826264</v>
      </c>
      <c r="AG696" s="306">
        <f t="shared" ca="1" si="317"/>
        <v>-47.460747167458955</v>
      </c>
      <c r="AH696" s="304">
        <f t="shared" ca="1" si="318"/>
        <v>-38.315657950731733</v>
      </c>
    </row>
    <row r="697" spans="1:34" x14ac:dyDescent="0.2">
      <c r="A697" s="347">
        <f t="shared" ca="1" si="296"/>
        <v>0.01</v>
      </c>
      <c r="B697" s="304">
        <f t="shared" ca="1" si="297"/>
        <v>6.9299999999998967</v>
      </c>
      <c r="D697" s="306">
        <f t="shared" ca="1" si="298"/>
        <v>-14.552737221946128</v>
      </c>
      <c r="E697" s="307">
        <f t="shared" ca="1" si="299"/>
        <v>-47.289757775843484</v>
      </c>
      <c r="F697" s="304">
        <f t="shared" ca="1" si="300"/>
        <v>49.478311927034916</v>
      </c>
      <c r="G697" s="306">
        <f t="shared" ca="1" si="301"/>
        <v>181.1151127100286</v>
      </c>
      <c r="H697" s="307">
        <f t="shared" ca="1" si="302"/>
        <v>466.35370562180759</v>
      </c>
      <c r="I697" s="304">
        <f t="shared" ca="1" si="303"/>
        <v>500.28837963634328</v>
      </c>
      <c r="J697" s="306">
        <f t="shared" ca="1" si="304"/>
        <v>694.13018980471622</v>
      </c>
      <c r="K697" s="307">
        <f t="shared" ca="1" si="305"/>
        <v>1900.6140338267332</v>
      </c>
      <c r="L697" s="304">
        <f t="shared" ca="1" si="290"/>
        <v>2023.4007082082032</v>
      </c>
      <c r="M697" s="306">
        <f t="shared" ca="1" si="306"/>
        <v>1.2003608268094013</v>
      </c>
      <c r="N697" s="304">
        <f t="shared" ca="1" si="307"/>
        <v>68.775609269012648</v>
      </c>
      <c r="P697" s="310">
        <f t="shared" ca="1" si="308"/>
        <v>19</v>
      </c>
      <c r="Q697" s="304">
        <f t="shared" ca="1" si="309"/>
        <v>974.82071896981256</v>
      </c>
      <c r="R697" s="306">
        <f t="shared" ca="1" si="310"/>
        <v>0.5862319683495264</v>
      </c>
      <c r="S697" s="307">
        <f t="shared" ca="1" si="311"/>
        <v>11.521267282607738</v>
      </c>
      <c r="T697" s="304">
        <f t="shared" ca="1" si="291"/>
        <v>113.02363204238192</v>
      </c>
      <c r="U697" s="311">
        <f t="shared" ca="1" si="292"/>
        <v>0</v>
      </c>
      <c r="V697" s="306">
        <f t="shared" ca="1" si="293"/>
        <v>1.0123801905424541</v>
      </c>
      <c r="W697" s="304">
        <f t="shared" ca="1" si="294"/>
        <v>1434.5351522027329</v>
      </c>
      <c r="Y697" s="314" t="str">
        <f t="shared" ca="1" si="312"/>
        <v/>
      </c>
      <c r="Z697" s="315" t="str">
        <f t="shared" ca="1" si="313"/>
        <v/>
      </c>
      <c r="AA697" s="316" t="str">
        <f t="shared" ca="1" si="314"/>
        <v/>
      </c>
      <c r="AC697" s="310" t="e">
        <f t="shared" ca="1" si="315"/>
        <v>#N/A</v>
      </c>
      <c r="AD697" s="323" t="e">
        <f t="shared" ca="1" si="316"/>
        <v>#N/A</v>
      </c>
      <c r="AE697" s="324">
        <f t="shared" ca="1" si="295"/>
        <v>1900.6140338267332</v>
      </c>
      <c r="AG697" s="306">
        <f t="shared" ca="1" si="317"/>
        <v>-49.350737627595137</v>
      </c>
      <c r="AH697" s="304">
        <f t="shared" ca="1" si="318"/>
        <v>-40.205900109149603</v>
      </c>
    </row>
    <row r="698" spans="1:34" x14ac:dyDescent="0.2">
      <c r="A698" s="347">
        <f t="shared" ca="1" si="296"/>
        <v>0.01</v>
      </c>
      <c r="B698" s="304">
        <f t="shared" ca="1" si="297"/>
        <v>6.9399999999998965</v>
      </c>
      <c r="D698" s="306">
        <f t="shared" ca="1" si="298"/>
        <v>-15.236988229414525</v>
      </c>
      <c r="E698" s="307">
        <f t="shared" ca="1" si="299"/>
        <v>-49.043754803664534</v>
      </c>
      <c r="F698" s="304">
        <f t="shared" ca="1" si="300"/>
        <v>51.356165117201705</v>
      </c>
      <c r="G698" s="306">
        <f t="shared" ca="1" si="301"/>
        <v>180.96274282773444</v>
      </c>
      <c r="H698" s="307">
        <f t="shared" ca="1" si="302"/>
        <v>465.86326807377094</v>
      </c>
      <c r="I698" s="304">
        <f t="shared" ca="1" si="303"/>
        <v>499.77604867791626</v>
      </c>
      <c r="J698" s="306">
        <f t="shared" ca="1" si="304"/>
        <v>695.94057908240507</v>
      </c>
      <c r="K698" s="307">
        <f t="shared" ca="1" si="305"/>
        <v>1905.2751186952112</v>
      </c>
      <c r="L698" s="304">
        <f t="shared" ca="1" si="290"/>
        <v>2028.4000018567847</v>
      </c>
      <c r="M698" s="306">
        <f t="shared" ca="1" si="306"/>
        <v>1.2002897663773646</v>
      </c>
      <c r="N698" s="304">
        <f t="shared" ca="1" si="307"/>
        <v>68.771537806166577</v>
      </c>
      <c r="P698" s="310">
        <f t="shared" ca="1" si="308"/>
        <v>19</v>
      </c>
      <c r="Q698" s="304">
        <f t="shared" ca="1" si="309"/>
        <v>949.86114051548054</v>
      </c>
      <c r="R698" s="306">
        <f t="shared" ca="1" si="310"/>
        <v>0.57122192340308675</v>
      </c>
      <c r="S698" s="307">
        <f t="shared" ca="1" si="311"/>
        <v>11.515555063373707</v>
      </c>
      <c r="T698" s="304">
        <f t="shared" ca="1" si="291"/>
        <v>112.96759517169608</v>
      </c>
      <c r="U698" s="311">
        <f t="shared" ca="1" si="292"/>
        <v>0</v>
      </c>
      <c r="V698" s="306">
        <f t="shared" ca="1" si="293"/>
        <v>1.0119041125706112</v>
      </c>
      <c r="W698" s="304">
        <f t="shared" ca="1" si="294"/>
        <v>1430.9253061934166</v>
      </c>
      <c r="Y698" s="314" t="str">
        <f t="shared" ca="1" si="312"/>
        <v/>
      </c>
      <c r="Z698" s="315" t="str">
        <f t="shared" ca="1" si="313"/>
        <v/>
      </c>
      <c r="AA698" s="316" t="str">
        <f t="shared" ca="1" si="314"/>
        <v/>
      </c>
      <c r="AC698" s="310" t="e">
        <f t="shared" ca="1" si="315"/>
        <v>#N/A</v>
      </c>
      <c r="AD698" s="323" t="e">
        <f t="shared" ca="1" si="316"/>
        <v>#N/A</v>
      </c>
      <c r="AE698" s="324">
        <f t="shared" ca="1" si="295"/>
        <v>1905.2751186952112</v>
      </c>
      <c r="AG698" s="306">
        <f t="shared" ca="1" si="317"/>
        <v>-51.233222025783164</v>
      </c>
      <c r="AH698" s="304">
        <f t="shared" ca="1" si="318"/>
        <v>-42.088636545953662</v>
      </c>
    </row>
    <row r="699" spans="1:34" x14ac:dyDescent="0.2">
      <c r="A699" s="347">
        <f t="shared" ca="1" si="296"/>
        <v>0.01</v>
      </c>
      <c r="B699" s="304">
        <f t="shared" ca="1" si="297"/>
        <v>6.9499999999998963</v>
      </c>
      <c r="D699" s="306">
        <f t="shared" ca="1" si="298"/>
        <v>-15.918772250577629</v>
      </c>
      <c r="E699" s="307">
        <f t="shared" ca="1" si="299"/>
        <v>-50.790652417695206</v>
      </c>
      <c r="F699" s="304">
        <f t="shared" ca="1" si="300"/>
        <v>53.226851146586611</v>
      </c>
      <c r="G699" s="306">
        <f t="shared" ca="1" si="301"/>
        <v>180.80355510522867</v>
      </c>
      <c r="H699" s="307">
        <f t="shared" ca="1" si="302"/>
        <v>465.35536154959397</v>
      </c>
      <c r="I699" s="304">
        <f t="shared" ca="1" si="303"/>
        <v>499.2449679883041</v>
      </c>
      <c r="J699" s="306">
        <f t="shared" ca="1" si="304"/>
        <v>697.74941057206991</v>
      </c>
      <c r="K699" s="307">
        <f t="shared" ca="1" si="305"/>
        <v>1909.9312118433279</v>
      </c>
      <c r="L699" s="304">
        <f t="shared" ca="1" si="290"/>
        <v>2033.394077380721</v>
      </c>
      <c r="M699" s="306">
        <f t="shared" ca="1" si="306"/>
        <v>1.2002186173376934</v>
      </c>
      <c r="N699" s="304">
        <f t="shared" ca="1" si="307"/>
        <v>68.767461266477</v>
      </c>
      <c r="P699" s="310">
        <f t="shared" ca="1" si="308"/>
        <v>19</v>
      </c>
      <c r="Q699" s="304">
        <f t="shared" ca="1" si="309"/>
        <v>924.90156206114852</v>
      </c>
      <c r="R699" s="306">
        <f t="shared" ca="1" si="310"/>
        <v>0.5562118784566471</v>
      </c>
      <c r="S699" s="307">
        <f t="shared" ca="1" si="311"/>
        <v>11.509992944589142</v>
      </c>
      <c r="T699" s="304">
        <f t="shared" ca="1" si="291"/>
        <v>112.91303078641948</v>
      </c>
      <c r="U699" s="311">
        <f t="shared" ca="1" si="292"/>
        <v>0</v>
      </c>
      <c r="V699" s="306">
        <f t="shared" ca="1" si="293"/>
        <v>1.0114287466823833</v>
      </c>
      <c r="W699" s="304">
        <f t="shared" ca="1" si="294"/>
        <v>1427.2150295473346</v>
      </c>
      <c r="Y699" s="314" t="str">
        <f t="shared" ca="1" si="312"/>
        <v/>
      </c>
      <c r="Z699" s="315" t="str">
        <f t="shared" ca="1" si="313"/>
        <v/>
      </c>
      <c r="AA699" s="316" t="str">
        <f t="shared" ca="1" si="314"/>
        <v/>
      </c>
      <c r="AC699" s="310" t="e">
        <f t="shared" ca="1" si="315"/>
        <v>#N/A</v>
      </c>
      <c r="AD699" s="323" t="e">
        <f t="shared" ca="1" si="316"/>
        <v>#N/A</v>
      </c>
      <c r="AE699" s="324">
        <f t="shared" ca="1" si="295"/>
        <v>1909.9312118433279</v>
      </c>
      <c r="AG699" s="306">
        <f t="shared" ca="1" si="317"/>
        <v>-53.108195324754959</v>
      </c>
      <c r="AH699" s="304">
        <f t="shared" ca="1" si="318"/>
        <v>-43.963862234177157</v>
      </c>
    </row>
    <row r="700" spans="1:34" x14ac:dyDescent="0.2">
      <c r="A700" s="347">
        <f t="shared" ca="1" si="296"/>
        <v>0.01</v>
      </c>
      <c r="B700" s="304">
        <f t="shared" ca="1" si="297"/>
        <v>6.959999999999896</v>
      </c>
      <c r="D700" s="306">
        <f t="shared" ca="1" si="298"/>
        <v>-16.598087012227186</v>
      </c>
      <c r="E700" s="307">
        <f t="shared" ca="1" si="299"/>
        <v>-52.530447494028451</v>
      </c>
      <c r="F700" s="304">
        <f t="shared" ca="1" si="300"/>
        <v>55.090329517877677</v>
      </c>
      <c r="G700" s="306">
        <f t="shared" ca="1" si="301"/>
        <v>180.6375742351064</v>
      </c>
      <c r="H700" s="307">
        <f t="shared" ca="1" si="302"/>
        <v>464.83005707465367</v>
      </c>
      <c r="I700" s="304">
        <f t="shared" ca="1" si="303"/>
        <v>498.69521271571216</v>
      </c>
      <c r="J700" s="306">
        <f t="shared" ca="1" si="304"/>
        <v>699.55661621877164</v>
      </c>
      <c r="K700" s="307">
        <f t="shared" ca="1" si="305"/>
        <v>1914.5821389364492</v>
      </c>
      <c r="L700" s="304">
        <f t="shared" ca="1" si="290"/>
        <v>2038.3827476776598</v>
      </c>
      <c r="M700" s="306">
        <f t="shared" ca="1" si="306"/>
        <v>1.2001473768181485</v>
      </c>
      <c r="N700" s="304">
        <f t="shared" ca="1" si="307"/>
        <v>68.76337948537676</v>
      </c>
      <c r="P700" s="310">
        <f t="shared" ca="1" si="308"/>
        <v>19</v>
      </c>
      <c r="Q700" s="304">
        <f t="shared" ca="1" si="309"/>
        <v>899.94198360681651</v>
      </c>
      <c r="R700" s="306">
        <f t="shared" ca="1" si="310"/>
        <v>0.54120183351020745</v>
      </c>
      <c r="S700" s="307">
        <f t="shared" ca="1" si="311"/>
        <v>11.504580926254039</v>
      </c>
      <c r="T700" s="304">
        <f t="shared" ca="1" si="291"/>
        <v>112.85993888655213</v>
      </c>
      <c r="U700" s="311">
        <f t="shared" ca="1" si="292"/>
        <v>0</v>
      </c>
      <c r="V700" s="306">
        <f t="shared" ca="1" si="293"/>
        <v>1.0109541098864889</v>
      </c>
      <c r="W700" s="304">
        <f t="shared" ca="1" si="294"/>
        <v>1423.4052576490878</v>
      </c>
      <c r="Y700" s="314" t="str">
        <f t="shared" ca="1" si="312"/>
        <v/>
      </c>
      <c r="Z700" s="315" t="str">
        <f t="shared" ca="1" si="313"/>
        <v/>
      </c>
      <c r="AA700" s="316" t="str">
        <f t="shared" ca="1" si="314"/>
        <v/>
      </c>
      <c r="AC700" s="310" t="e">
        <f t="shared" ca="1" si="315"/>
        <v>#N/A</v>
      </c>
      <c r="AD700" s="323" t="e">
        <f t="shared" ca="1" si="316"/>
        <v>#N/A</v>
      </c>
      <c r="AE700" s="324">
        <f t="shared" ca="1" si="295"/>
        <v>1914.5821389364492</v>
      </c>
      <c r="AG700" s="306">
        <f t="shared" ca="1" si="317"/>
        <v>-54.975653808382823</v>
      </c>
      <c r="AH700" s="304">
        <f t="shared" ca="1" si="318"/>
        <v>-45.831573468030818</v>
      </c>
    </row>
    <row r="701" spans="1:34" x14ac:dyDescent="0.2">
      <c r="A701" s="347">
        <f t="shared" ca="1" si="296"/>
        <v>0.01</v>
      </c>
      <c r="B701" s="304">
        <f t="shared" ca="1" si="297"/>
        <v>6.9699999999998958</v>
      </c>
      <c r="D701" s="306">
        <f t="shared" ca="1" si="298"/>
        <v>-17.274930728091313</v>
      </c>
      <c r="E701" s="307">
        <f t="shared" ca="1" si="299"/>
        <v>-54.263138115374339</v>
      </c>
      <c r="F701" s="304">
        <f t="shared" ca="1" si="300"/>
        <v>56.946566093036239</v>
      </c>
      <c r="G701" s="306">
        <f t="shared" ca="1" si="301"/>
        <v>180.46482492782548</v>
      </c>
      <c r="H701" s="307">
        <f t="shared" ca="1" si="302"/>
        <v>464.28742569349993</v>
      </c>
      <c r="I701" s="304">
        <f t="shared" ca="1" si="303"/>
        <v>498.12685803249752</v>
      </c>
      <c r="J701" s="306">
        <f t="shared" ca="1" si="304"/>
        <v>701.36212821458628</v>
      </c>
      <c r="K701" s="307">
        <f t="shared" ca="1" si="305"/>
        <v>1919.2277263502899</v>
      </c>
      <c r="L701" s="304">
        <f t="shared" ca="1" si="290"/>
        <v>2043.3658263965845</v>
      </c>
      <c r="M701" s="306">
        <f t="shared" ca="1" si="306"/>
        <v>1.2000760419369318</v>
      </c>
      <c r="N701" s="304">
        <f t="shared" ca="1" si="307"/>
        <v>68.759292297750989</v>
      </c>
      <c r="P701" s="310">
        <f t="shared" ca="1" si="308"/>
        <v>19</v>
      </c>
      <c r="Q701" s="304">
        <f t="shared" ca="1" si="309"/>
        <v>874.98240515248438</v>
      </c>
      <c r="R701" s="306">
        <f t="shared" ca="1" si="310"/>
        <v>0.5261917885637678</v>
      </c>
      <c r="S701" s="307">
        <f t="shared" ca="1" si="311"/>
        <v>11.499319008368403</v>
      </c>
      <c r="T701" s="304">
        <f t="shared" ca="1" si="291"/>
        <v>112.80831947209404</v>
      </c>
      <c r="U701" s="311">
        <f t="shared" ca="1" si="292"/>
        <v>0</v>
      </c>
      <c r="V701" s="306">
        <f t="shared" ca="1" si="293"/>
        <v>1.0104802190906774</v>
      </c>
      <c r="W701" s="304">
        <f t="shared" ca="1" si="294"/>
        <v>1419.4969338868375</v>
      </c>
      <c r="Y701" s="314" t="str">
        <f t="shared" ca="1" si="312"/>
        <v/>
      </c>
      <c r="Z701" s="315" t="str">
        <f t="shared" ca="1" si="313"/>
        <v/>
      </c>
      <c r="AA701" s="316" t="str">
        <f t="shared" ca="1" si="314"/>
        <v/>
      </c>
      <c r="AC701" s="310" t="e">
        <f t="shared" ca="1" si="315"/>
        <v>#N/A</v>
      </c>
      <c r="AD701" s="323" t="e">
        <f t="shared" ca="1" si="316"/>
        <v>#N/A</v>
      </c>
      <c r="AE701" s="324">
        <f t="shared" ca="1" si="295"/>
        <v>1919.2277263502899</v>
      </c>
      <c r="AG701" s="306">
        <f t="shared" ca="1" si="317"/>
        <v>-56.83559506150474</v>
      </c>
      <c r="AH701" s="304">
        <f t="shared" ca="1" si="318"/>
        <v>-47.691767842730471</v>
      </c>
    </row>
    <row r="702" spans="1:34" x14ac:dyDescent="0.2">
      <c r="A702" s="347">
        <f t="shared" ca="1" si="296"/>
        <v>0.01</v>
      </c>
      <c r="B702" s="304">
        <f t="shared" ca="1" si="297"/>
        <v>6.9799999999998956</v>
      </c>
      <c r="D702" s="306">
        <f t="shared" ca="1" si="298"/>
        <v>-17.949302091851656</v>
      </c>
      <c r="E702" s="307">
        <f t="shared" ca="1" si="299"/>
        <v>-55.988723552103217</v>
      </c>
      <c r="F702" s="304">
        <f t="shared" ca="1" si="300"/>
        <v>58.795532233141557</v>
      </c>
      <c r="G702" s="306">
        <f t="shared" ca="1" si="301"/>
        <v>180.28533190690695</v>
      </c>
      <c r="H702" s="307">
        <f t="shared" ca="1" si="302"/>
        <v>463.72753845797888</v>
      </c>
      <c r="I702" s="304">
        <f t="shared" ca="1" si="303"/>
        <v>497.53997912236144</v>
      </c>
      <c r="J702" s="306">
        <f t="shared" ca="1" si="304"/>
        <v>703.16587899875992</v>
      </c>
      <c r="K702" s="307">
        <f t="shared" ca="1" si="305"/>
        <v>1923.8678011710474</v>
      </c>
      <c r="L702" s="304">
        <f t="shared" ca="1" si="290"/>
        <v>2048.3431279379975</v>
      </c>
      <c r="M702" s="306">
        <f t="shared" ca="1" si="306"/>
        <v>1.2000046098020525</v>
      </c>
      <c r="N702" s="304">
        <f t="shared" ca="1" si="307"/>
        <v>68.755199537900779</v>
      </c>
      <c r="P702" s="310">
        <f t="shared" ca="1" si="308"/>
        <v>19</v>
      </c>
      <c r="Q702" s="304">
        <f t="shared" ca="1" si="309"/>
        <v>850.02282669815236</v>
      </c>
      <c r="R702" s="306">
        <f t="shared" ca="1" si="310"/>
        <v>0.51118174361732815</v>
      </c>
      <c r="S702" s="307">
        <f t="shared" ca="1" si="311"/>
        <v>11.494207190932229</v>
      </c>
      <c r="T702" s="304">
        <f t="shared" ca="1" si="291"/>
        <v>112.75817254304518</v>
      </c>
      <c r="U702" s="311">
        <f t="shared" ca="1" si="292"/>
        <v>0</v>
      </c>
      <c r="V702" s="306">
        <f t="shared" ca="1" si="293"/>
        <v>1.0100070911019954</v>
      </c>
      <c r="W702" s="304">
        <f t="shared" ca="1" si="294"/>
        <v>1415.4910093847996</v>
      </c>
      <c r="Y702" s="314" t="str">
        <f t="shared" ca="1" si="312"/>
        <v/>
      </c>
      <c r="Z702" s="315" t="str">
        <f t="shared" ca="1" si="313"/>
        <v/>
      </c>
      <c r="AA702" s="316" t="str">
        <f t="shared" ca="1" si="314"/>
        <v/>
      </c>
      <c r="AC702" s="310" t="e">
        <f t="shared" ca="1" si="315"/>
        <v>#N/A</v>
      </c>
      <c r="AD702" s="323" t="e">
        <f t="shared" ca="1" si="316"/>
        <v>#N/A</v>
      </c>
      <c r="AE702" s="324">
        <f t="shared" ca="1" si="295"/>
        <v>1923.8678011710474</v>
      </c>
      <c r="AG702" s="306">
        <f t="shared" ca="1" si="317"/>
        <v>-58.688017949729733</v>
      </c>
      <c r="AH702" s="304">
        <f t="shared" ca="1" si="318"/>
        <v>-49.544444234304635</v>
      </c>
    </row>
    <row r="703" spans="1:34" x14ac:dyDescent="0.2">
      <c r="A703" s="347">
        <f t="shared" ca="1" si="296"/>
        <v>0.01</v>
      </c>
      <c r="B703" s="304">
        <f t="shared" ca="1" si="297"/>
        <v>6.9899999999998954</v>
      </c>
      <c r="D703" s="306">
        <f t="shared" ca="1" si="298"/>
        <v>-18.621200270155867</v>
      </c>
      <c r="E703" s="307">
        <f t="shared" ca="1" si="299"/>
        <v>-57.707204243278809</v>
      </c>
      <c r="F703" s="304">
        <f t="shared" ca="1" si="300"/>
        <v>60.637204100096412</v>
      </c>
      <c r="G703" s="306">
        <f t="shared" ca="1" si="301"/>
        <v>180.09911990420539</v>
      </c>
      <c r="H703" s="307">
        <f t="shared" ca="1" si="302"/>
        <v>463.15046641554608</v>
      </c>
      <c r="I703" s="304">
        <f t="shared" ca="1" si="303"/>
        <v>496.93465116774377</v>
      </c>
      <c r="J703" s="306">
        <f t="shared" ca="1" si="304"/>
        <v>704.96780125781549</v>
      </c>
      <c r="K703" s="307">
        <f t="shared" ca="1" si="305"/>
        <v>1928.502191195415</v>
      </c>
      <c r="L703" s="304">
        <f t="shared" ca="1" si="290"/>
        <v>2053.314467453974</v>
      </c>
      <c r="M703" s="306">
        <f t="shared" ca="1" si="306"/>
        <v>1.1999330775106891</v>
      </c>
      <c r="N703" s="304">
        <f t="shared" ca="1" si="307"/>
        <v>68.751101039506764</v>
      </c>
      <c r="P703" s="310">
        <f t="shared" ca="1" si="308"/>
        <v>19</v>
      </c>
      <c r="Q703" s="304">
        <f t="shared" ca="1" si="309"/>
        <v>825.06324824382034</v>
      </c>
      <c r="R703" s="306">
        <f t="shared" ca="1" si="310"/>
        <v>0.49617169867088851</v>
      </c>
      <c r="S703" s="307">
        <f t="shared" ca="1" si="311"/>
        <v>11.489245473945521</v>
      </c>
      <c r="T703" s="304">
        <f t="shared" ca="1" si="291"/>
        <v>112.70949809940556</v>
      </c>
      <c r="U703" s="311">
        <f t="shared" ca="1" si="292"/>
        <v>0</v>
      </c>
      <c r="V703" s="306">
        <f t="shared" ca="1" si="293"/>
        <v>1.0095347426270709</v>
      </c>
      <c r="W703" s="304">
        <f t="shared" ca="1" si="294"/>
        <v>1411.3884427391881</v>
      </c>
      <c r="Y703" s="314" t="str">
        <f t="shared" ca="1" si="312"/>
        <v/>
      </c>
      <c r="Z703" s="315" t="str">
        <f t="shared" ca="1" si="313"/>
        <v/>
      </c>
      <c r="AA703" s="316" t="str">
        <f t="shared" ca="1" si="314"/>
        <v/>
      </c>
      <c r="AC703" s="310" t="e">
        <f t="shared" ca="1" si="315"/>
        <v>#N/A</v>
      </c>
      <c r="AD703" s="323" t="e">
        <f t="shared" ca="1" si="316"/>
        <v>#N/A</v>
      </c>
      <c r="AE703" s="324">
        <f t="shared" ca="1" si="295"/>
        <v>1928.502191195415</v>
      </c>
      <c r="AG703" s="306">
        <f t="shared" ca="1" si="317"/>
        <v>-60.532922599232279</v>
      </c>
      <c r="AH703" s="304">
        <f t="shared" ca="1" si="318"/>
        <v>-51.389602779391261</v>
      </c>
    </row>
    <row r="704" spans="1:34" x14ac:dyDescent="0.2">
      <c r="A704" s="347">
        <f t="shared" ca="1" si="296"/>
        <v>0.01</v>
      </c>
      <c r="B704" s="304">
        <f t="shared" ca="1" si="297"/>
        <v>6.9999999999998952</v>
      </c>
      <c r="D704" s="306">
        <f t="shared" ca="1" si="298"/>
        <v>-19.290624895628735</v>
      </c>
      <c r="E704" s="307">
        <f t="shared" ca="1" si="299"/>
        <v>-59.418581777690143</v>
      </c>
      <c r="F704" s="304">
        <f t="shared" ca="1" si="300"/>
        <v>62.471562084967125</v>
      </c>
      <c r="G704" s="306">
        <f t="shared" ca="1" si="301"/>
        <v>179.9062136552491</v>
      </c>
      <c r="H704" s="307">
        <f t="shared" ca="1" si="302"/>
        <v>462.55628059776916</v>
      </c>
      <c r="I704" s="304">
        <f t="shared" ca="1" si="303"/>
        <v>496.31094933741923</v>
      </c>
      <c r="J704" s="306">
        <f t="shared" ca="1" si="304"/>
        <v>706.76782792561278</v>
      </c>
      <c r="K704" s="307">
        <f t="shared" ca="1" si="305"/>
        <v>1933.1307249304816</v>
      </c>
      <c r="L704" s="304">
        <f t="shared" ca="1" si="290"/>
        <v>2058.2796608480921</v>
      </c>
      <c r="M704" s="306">
        <f t="shared" ca="1" si="306"/>
        <v>1.1998614421485463</v>
      </c>
      <c r="N704" s="304">
        <f t="shared" ca="1" si="307"/>
        <v>68.746996635592083</v>
      </c>
      <c r="P704" s="310">
        <f t="shared" ca="1" si="308"/>
        <v>19</v>
      </c>
      <c r="Q704" s="304">
        <f t="shared" ca="1" si="309"/>
        <v>800.10366978948832</v>
      </c>
      <c r="R704" s="306">
        <f t="shared" ca="1" si="310"/>
        <v>0.48116165372444886</v>
      </c>
      <c r="S704" s="307">
        <f t="shared" ca="1" si="311"/>
        <v>11.484433857408277</v>
      </c>
      <c r="T704" s="304">
        <f t="shared" ca="1" si="291"/>
        <v>112.6622961411752</v>
      </c>
      <c r="U704" s="311">
        <f t="shared" ca="1" si="292"/>
        <v>0</v>
      </c>
      <c r="V704" s="306">
        <f t="shared" ca="1" si="293"/>
        <v>1.0090631902724096</v>
      </c>
      <c r="W704" s="304">
        <f t="shared" ca="1" si="294"/>
        <v>1407.1901997576449</v>
      </c>
      <c r="Y704" s="314" t="str">
        <f t="shared" ca="1" si="312"/>
        <v/>
      </c>
      <c r="Z704" s="315" t="str">
        <f t="shared" ca="1" si="313"/>
        <v/>
      </c>
      <c r="AA704" s="316" t="str">
        <f t="shared" ca="1" si="314"/>
        <v/>
      </c>
      <c r="AC704" s="310">
        <f t="shared" ca="1" si="315"/>
        <v>6.9999999999998952</v>
      </c>
      <c r="AD704" s="323">
        <f t="shared" ca="1" si="316"/>
        <v>706.76782792561278</v>
      </c>
      <c r="AE704" s="324">
        <f t="shared" ca="1" si="295"/>
        <v>1933.1307249304816</v>
      </c>
      <c r="AG704" s="306">
        <f t="shared" ca="1" si="317"/>
        <v>-62.370310376545085</v>
      </c>
      <c r="AH704" s="304">
        <f t="shared" ca="1" si="318"/>
        <v>-53.227244855032851</v>
      </c>
    </row>
    <row r="705" spans="1:34" x14ac:dyDescent="0.2">
      <c r="A705" s="347">
        <f t="shared" ca="1" si="296"/>
        <v>0.01</v>
      </c>
      <c r="B705" s="304">
        <f t="shared" ca="1" si="297"/>
        <v>7.009999999999895</v>
      </c>
      <c r="D705" s="306">
        <f t="shared" ca="1" si="298"/>
        <v>-19.957576059885316</v>
      </c>
      <c r="E705" s="307">
        <f t="shared" ca="1" si="299"/>
        <v>-61.122858874890163</v>
      </c>
      <c r="F705" s="304">
        <f t="shared" ca="1" si="300"/>
        <v>64.298590336226241</v>
      </c>
      <c r="G705" s="306">
        <f t="shared" ca="1" si="301"/>
        <v>179.70663789465024</v>
      </c>
      <c r="H705" s="307">
        <f t="shared" ca="1" si="302"/>
        <v>461.94505200902023</v>
      </c>
      <c r="I705" s="304">
        <f t="shared" ca="1" si="303"/>
        <v>495.66894877429564</v>
      </c>
      <c r="J705" s="306">
        <f t="shared" ca="1" si="304"/>
        <v>708.56589218336228</v>
      </c>
      <c r="K705" s="307">
        <f t="shared" ca="1" si="305"/>
        <v>1937.7532315935155</v>
      </c>
      <c r="L705" s="304">
        <f t="shared" ca="1" si="290"/>
        <v>2063.2385247752422</v>
      </c>
      <c r="M705" s="306">
        <f t="shared" ca="1" si="306"/>
        <v>1.1997897007892053</v>
      </c>
      <c r="N705" s="304">
        <f t="shared" ca="1" si="307"/>
        <v>68.742886158485319</v>
      </c>
      <c r="P705" s="310">
        <f t="shared" ca="1" si="308"/>
        <v>19</v>
      </c>
      <c r="Q705" s="304">
        <f t="shared" ca="1" si="309"/>
        <v>775.1440913351563</v>
      </c>
      <c r="R705" s="306">
        <f t="shared" ca="1" si="310"/>
        <v>0.46615160877800926</v>
      </c>
      <c r="S705" s="307">
        <f t="shared" ca="1" si="311"/>
        <v>11.479772341320498</v>
      </c>
      <c r="T705" s="304">
        <f t="shared" ca="1" si="291"/>
        <v>112.61656666835408</v>
      </c>
      <c r="U705" s="311">
        <f t="shared" ca="1" si="292"/>
        <v>0</v>
      </c>
      <c r="V705" s="306">
        <f t="shared" ca="1" si="293"/>
        <v>1.0085924505447057</v>
      </c>
      <c r="W705" s="304">
        <f t="shared" ca="1" si="294"/>
        <v>1402.8972532021896</v>
      </c>
      <c r="Y705" s="314" t="str">
        <f t="shared" ca="1" si="312"/>
        <v/>
      </c>
      <c r="Z705" s="315" t="str">
        <f t="shared" ca="1" si="313"/>
        <v/>
      </c>
      <c r="AA705" s="316" t="str">
        <f t="shared" ca="1" si="314"/>
        <v/>
      </c>
      <c r="AC705" s="310" t="e">
        <f t="shared" ca="1" si="315"/>
        <v>#N/A</v>
      </c>
      <c r="AD705" s="323" t="e">
        <f t="shared" ca="1" si="316"/>
        <v>#N/A</v>
      </c>
      <c r="AE705" s="324">
        <f t="shared" ca="1" si="295"/>
        <v>1937.7532315935155</v>
      </c>
      <c r="AG705" s="306">
        <f t="shared" ca="1" si="317"/>
        <v>-64.200183868359062</v>
      </c>
      <c r="AH705" s="304">
        <f t="shared" ca="1" si="318"/>
        <v>-55.057373058478746</v>
      </c>
    </row>
    <row r="706" spans="1:34" x14ac:dyDescent="0.2">
      <c r="A706" s="347">
        <f t="shared" ca="1" si="296"/>
        <v>0.01</v>
      </c>
      <c r="B706" s="304">
        <f t="shared" ca="1" si="297"/>
        <v>7.0199999999998948</v>
      </c>
      <c r="D706" s="306">
        <f t="shared" ca="1" si="298"/>
        <v>-20.62205430654922</v>
      </c>
      <c r="E706" s="307">
        <f t="shared" ca="1" si="299"/>
        <v>-62.820039366249333</v>
      </c>
      <c r="F706" s="304">
        <f t="shared" ca="1" si="300"/>
        <v>66.118276367426432</v>
      </c>
      <c r="G706" s="306">
        <f t="shared" ca="1" si="301"/>
        <v>179.50041735158476</v>
      </c>
      <c r="H706" s="307">
        <f t="shared" ca="1" si="302"/>
        <v>461.31685161535773</v>
      </c>
      <c r="I706" s="304">
        <f t="shared" ca="1" si="303"/>
        <v>495.0087245834149</v>
      </c>
      <c r="J706" s="306">
        <f t="shared" ca="1" si="304"/>
        <v>710.3619274595934</v>
      </c>
      <c r="K706" s="307">
        <f t="shared" ca="1" si="305"/>
        <v>1942.3695411116373</v>
      </c>
      <c r="L706" s="304">
        <f t="shared" ca="1" si="290"/>
        <v>2068.190876641308</v>
      </c>
      <c r="M706" s="306">
        <f t="shared" ca="1" si="306"/>
        <v>1.1997178504934685</v>
      </c>
      <c r="N706" s="304">
        <f t="shared" ca="1" si="307"/>
        <v>68.738769439782828</v>
      </c>
      <c r="P706" s="310">
        <f t="shared" ca="1" si="308"/>
        <v>19</v>
      </c>
      <c r="Q706" s="304">
        <f t="shared" ca="1" si="309"/>
        <v>750.18451288082417</v>
      </c>
      <c r="R706" s="306">
        <f t="shared" ca="1" si="310"/>
        <v>0.45114156383156956</v>
      </c>
      <c r="S706" s="307">
        <f t="shared" ca="1" si="311"/>
        <v>11.475260925682182</v>
      </c>
      <c r="T706" s="304">
        <f t="shared" ca="1" si="291"/>
        <v>112.57230968094221</v>
      </c>
      <c r="U706" s="311">
        <f t="shared" ca="1" si="292"/>
        <v>0</v>
      </c>
      <c r="V706" s="306">
        <f t="shared" ca="1" si="293"/>
        <v>1.0081225398511622</v>
      </c>
      <c r="W706" s="304">
        <f t="shared" ca="1" si="294"/>
        <v>1398.5105825357246</v>
      </c>
      <c r="Y706" s="314" t="str">
        <f t="shared" ca="1" si="312"/>
        <v/>
      </c>
      <c r="Z706" s="315" t="str">
        <f t="shared" ca="1" si="313"/>
        <v/>
      </c>
      <c r="AA706" s="316" t="str">
        <f t="shared" ca="1" si="314"/>
        <v/>
      </c>
      <c r="AC706" s="310" t="e">
        <f t="shared" ca="1" si="315"/>
        <v>#N/A</v>
      </c>
      <c r="AD706" s="323" t="e">
        <f t="shared" ca="1" si="316"/>
        <v>#N/A</v>
      </c>
      <c r="AE706" s="324">
        <f t="shared" ca="1" si="295"/>
        <v>1942.3695411116373</v>
      </c>
      <c r="AG706" s="306">
        <f t="shared" ca="1" si="317"/>
        <v>-66.022546861339038</v>
      </c>
      <c r="AH706" s="304">
        <f t="shared" ca="1" si="318"/>
        <v>-56.879991187003263</v>
      </c>
    </row>
    <row r="707" spans="1:34" x14ac:dyDescent="0.2">
      <c r="A707" s="347">
        <f t="shared" ca="1" si="296"/>
        <v>0.01</v>
      </c>
      <c r="B707" s="304">
        <f t="shared" ca="1" si="297"/>
        <v>7.0299999999998946</v>
      </c>
      <c r="D707" s="306">
        <f t="shared" ca="1" si="298"/>
        <v>-21.284060624279249</v>
      </c>
      <c r="E707" s="307">
        <f t="shared" ca="1" si="299"/>
        <v>-64.510128176031884</v>
      </c>
      <c r="F707" s="304">
        <f t="shared" ca="1" si="300"/>
        <v>67.930610728493065</v>
      </c>
      <c r="G707" s="306">
        <f t="shared" ca="1" si="301"/>
        <v>179.28757674534197</v>
      </c>
      <c r="H707" s="307">
        <f t="shared" ca="1" si="302"/>
        <v>460.6717503335974</v>
      </c>
      <c r="I707" s="304">
        <f t="shared" ca="1" si="303"/>
        <v>494.33035182015396</v>
      </c>
      <c r="J707" s="306">
        <f t="shared" ca="1" si="304"/>
        <v>712.15586743007805</v>
      </c>
      <c r="K707" s="307">
        <f t="shared" ca="1" si="305"/>
        <v>1946.979484121382</v>
      </c>
      <c r="L707" s="304">
        <f t="shared" ca="1" si="290"/>
        <v>2073.1365346027383</v>
      </c>
      <c r="M707" s="306">
        <f t="shared" ca="1" si="306"/>
        <v>1.1996458883086984</v>
      </c>
      <c r="N707" s="304">
        <f t="shared" ca="1" si="307"/>
        <v>68.734646310310964</v>
      </c>
      <c r="P707" s="310">
        <f t="shared" ca="1" si="308"/>
        <v>19</v>
      </c>
      <c r="Q707" s="304">
        <f t="shared" ca="1" si="309"/>
        <v>725.22493442649215</v>
      </c>
      <c r="R707" s="306">
        <f t="shared" ca="1" si="310"/>
        <v>0.43613151888512991</v>
      </c>
      <c r="S707" s="307">
        <f t="shared" ca="1" si="311"/>
        <v>11.470899610493332</v>
      </c>
      <c r="T707" s="304">
        <f t="shared" ca="1" si="291"/>
        <v>112.52952517893959</v>
      </c>
      <c r="U707" s="311">
        <f t="shared" ca="1" si="292"/>
        <v>0</v>
      </c>
      <c r="V707" s="306">
        <f t="shared" ca="1" si="293"/>
        <v>1.0076534744998262</v>
      </c>
      <c r="W707" s="304">
        <f t="shared" ca="1" si="294"/>
        <v>1394.0311736721171</v>
      </c>
      <c r="Y707" s="314" t="str">
        <f t="shared" ca="1" si="312"/>
        <v/>
      </c>
      <c r="Z707" s="315" t="str">
        <f t="shared" ca="1" si="313"/>
        <v/>
      </c>
      <c r="AA707" s="316" t="str">
        <f t="shared" ca="1" si="314"/>
        <v/>
      </c>
      <c r="AC707" s="310" t="e">
        <f t="shared" ca="1" si="315"/>
        <v>#N/A</v>
      </c>
      <c r="AD707" s="323" t="e">
        <f t="shared" ca="1" si="316"/>
        <v>#N/A</v>
      </c>
      <c r="AE707" s="324">
        <f t="shared" ca="1" si="295"/>
        <v>1946.979484121382</v>
      </c>
      <c r="AG707" s="306">
        <f t="shared" ca="1" si="317"/>
        <v>-67.837404321963874</v>
      </c>
      <c r="AH707" s="304">
        <f t="shared" ca="1" si="318"/>
        <v>-58.695104217748117</v>
      </c>
    </row>
    <row r="708" spans="1:34" x14ac:dyDescent="0.2">
      <c r="A708" s="347">
        <f t="shared" ca="1" si="296"/>
        <v>0.01</v>
      </c>
      <c r="B708" s="304">
        <f t="shared" ca="1" si="297"/>
        <v>7.0399999999998943</v>
      </c>
      <c r="D708" s="306">
        <f t="shared" ca="1" si="298"/>
        <v>-21.94359643980712</v>
      </c>
      <c r="E708" s="307">
        <f t="shared" ca="1" si="299"/>
        <v>-66.19313130250211</v>
      </c>
      <c r="F708" s="304">
        <f t="shared" ca="1" si="300"/>
        <v>69.735586728322573</v>
      </c>
      <c r="G708" s="306">
        <f t="shared" ca="1" si="301"/>
        <v>179.06814078094391</v>
      </c>
      <c r="H708" s="307">
        <f t="shared" ca="1" si="302"/>
        <v>460.00981902057237</v>
      </c>
      <c r="I708" s="304">
        <f t="shared" ca="1" si="303"/>
        <v>493.63390547862866</v>
      </c>
      <c r="J708" s="306">
        <f t="shared" ca="1" si="304"/>
        <v>713.94764601770953</v>
      </c>
      <c r="K708" s="307">
        <f t="shared" ca="1" si="305"/>
        <v>1951.5828919681528</v>
      </c>
      <c r="L708" s="304">
        <f t="shared" ref="L708:L771" ca="1" si="319">SQRT(pos_x^2+pos_z^2)</f>
        <v>2078.0753175659943</v>
      </c>
      <c r="M708" s="306">
        <f t="shared" ca="1" si="306"/>
        <v>1.1995738112681487</v>
      </c>
      <c r="N708" s="304">
        <f t="shared" ca="1" si="307"/>
        <v>68.730516600087668</v>
      </c>
      <c r="P708" s="310">
        <f t="shared" ca="1" si="308"/>
        <v>19</v>
      </c>
      <c r="Q708" s="304">
        <f t="shared" ca="1" si="309"/>
        <v>700.26535597216014</v>
      </c>
      <c r="R708" s="306">
        <f t="shared" ca="1" si="310"/>
        <v>0.42112147393869026</v>
      </c>
      <c r="S708" s="307">
        <f t="shared" ca="1" si="311"/>
        <v>11.466688395753945</v>
      </c>
      <c r="T708" s="304">
        <f t="shared" ref="T708:T771" ca="1" si="320">m*g</f>
        <v>112.4882131623462</v>
      </c>
      <c r="U708" s="311">
        <f t="shared" ref="U708:U771" ca="1" si="321">IF(pos_xz&lt;L_rampe,Poids*COS(Beta),0)</f>
        <v>0</v>
      </c>
      <c r="V708" s="306">
        <f t="shared" ref="V708:V771" ca="1" si="322">Rho_moyen*(20000-Alt_rampe-pos_z)/(20000+Alt_rampe+pos_z)</f>
        <v>1.0071852706999356</v>
      </c>
      <c r="W708" s="304">
        <f t="shared" ref="W708:W771" ca="1" si="323">1/2*Rho*Sref*Cx*vit_xz^2</f>
        <v>1389.4600187299009</v>
      </c>
      <c r="Y708" s="314" t="str">
        <f t="shared" ca="1" si="312"/>
        <v/>
      </c>
      <c r="Z708" s="315" t="str">
        <f t="shared" ca="1" si="313"/>
        <v/>
      </c>
      <c r="AA708" s="316" t="str">
        <f t="shared" ca="1" si="314"/>
        <v/>
      </c>
      <c r="AC708" s="310" t="e">
        <f t="shared" ca="1" si="315"/>
        <v>#N/A</v>
      </c>
      <c r="AD708" s="323" t="e">
        <f t="shared" ca="1" si="316"/>
        <v>#N/A</v>
      </c>
      <c r="AE708" s="324">
        <f t="shared" ref="AE708:AE771" ca="1" si="324">IF(t&lt;T_para, pos_z, NA())</f>
        <v>1951.5828919681528</v>
      </c>
      <c r="AG708" s="306">
        <f t="shared" ca="1" si="317"/>
        <v>-69.644762376398347</v>
      </c>
      <c r="AH708" s="304">
        <f t="shared" ca="1" si="318"/>
        <v>-60.502718287596871</v>
      </c>
    </row>
    <row r="709" spans="1:34" x14ac:dyDescent="0.2">
      <c r="A709" s="347">
        <f t="shared" ref="A709:A772" ca="1" si="325">IF(B708+0.01&lt;=T_ini+ROUNDUP(Temps_fin_propu,0), 0.01, IF(K708&gt;0, 0.1, 0.0001))</f>
        <v>0.01</v>
      </c>
      <c r="B709" s="304">
        <f t="shared" ref="B709:B772" ca="1" si="326">B708+pas</f>
        <v>7.0499999999998941</v>
      </c>
      <c r="D709" s="306">
        <f t="shared" ref="D709:D772" ca="1" si="327">IF(AND(L708&lt;L_rampe,Poussee&lt;Poids*SIN(M708)),0,(-W708+Poussee)/m*COS(M708)-U708/m*SIN(M708))</f>
        <v>-22.600663610989908</v>
      </c>
      <c r="E709" s="307">
        <f t="shared" ref="E709:E772" ca="1" si="328">IF(AND(L708&lt;L_rampe,Poussee&lt;Poids*SIN(M708)),0,(-W708+Poussee)/m*SIN(M708)+U708/m*COS(M708)-Poids/m)</f>
        <v>-67.869055799068661</v>
      </c>
      <c r="F709" s="304">
        <f t="shared" ref="F709:F772" ca="1" si="329">SQRT(acc_x^2+acc_z^2)</f>
        <v>71.533200199028002</v>
      </c>
      <c r="G709" s="306">
        <f t="shared" ref="G709:G772" ca="1" si="330">G708+acc_x*pas</f>
        <v>178.84213414483401</v>
      </c>
      <c r="H709" s="307">
        <f t="shared" ref="H709:H772" ca="1" si="331">H708+acc_z*pas</f>
        <v>459.33112846258166</v>
      </c>
      <c r="I709" s="304">
        <f t="shared" ref="I709:I772" ca="1" si="332">SQRT(vit_x^2+vit_z^2)</f>
        <v>492.9194604802974</v>
      </c>
      <c r="J709" s="306">
        <f t="shared" ref="J709:J772" ca="1" si="333">J708+0.5*(vit_x+G708)*pas*(K708&gt;=0)</f>
        <v>715.73719739233843</v>
      </c>
      <c r="K709" s="307">
        <f t="shared" ref="K709:K772" ca="1" si="334">K708+0.5*(vit_z+H708)*pas</f>
        <v>1956.1795967055687</v>
      </c>
      <c r="L709" s="304">
        <f t="shared" ca="1" si="319"/>
        <v>2083.0070451868855</v>
      </c>
      <c r="M709" s="306">
        <f t="shared" ref="M709:M772" ca="1" si="335">IF(AND(L708&gt;L_rampe,G709&gt;0),ATAN2(G709,H709),$M$4)</f>
        <v>1.1995016163902881</v>
      </c>
      <c r="N709" s="304">
        <f t="shared" ref="N709:N772" ca="1" si="336">DEGREES(Beta)</f>
        <v>68.726380138283801</v>
      </c>
      <c r="P709" s="310">
        <f t="shared" ref="P709:P772" ca="1" si="337">MATCH(t-pas/2-T_ini,CdP_t)</f>
        <v>19</v>
      </c>
      <c r="Q709" s="304">
        <f t="shared" ref="Q709:Q772" ca="1" si="338">(INDEX(CdP,2,i_P+1)-INDEX(CdP,2,i_P+0))/(INDEX(CdP,1,i_P+1)-INDEX(CdP,1,i_P+0))*(t-pas/2-T_ini-INDEX(CdP,1,i_P+0))+INDEX(CdP,2,i_P+0)</f>
        <v>675.30577751782812</v>
      </c>
      <c r="R709" s="306">
        <f t="shared" ref="R709:R772" ca="1" si="339">Poussee/(g*ISP)</f>
        <v>0.40611142899225061</v>
      </c>
      <c r="S709" s="307">
        <f t="shared" ref="S709:S772" ca="1" si="340">S708-Débit*pas</f>
        <v>11.462627281464023</v>
      </c>
      <c r="T709" s="304">
        <f t="shared" ca="1" si="320"/>
        <v>112.44837363116207</v>
      </c>
      <c r="U709" s="311">
        <f t="shared" ca="1" si="321"/>
        <v>0</v>
      </c>
      <c r="V709" s="306">
        <f t="shared" ca="1" si="322"/>
        <v>1.0067179445622789</v>
      </c>
      <c r="W709" s="304">
        <f t="shared" ca="1" si="323"/>
        <v>1384.7981157896063</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f t="shared" ca="1" si="324"/>
        <v>1956.1795967055687</v>
      </c>
      <c r="AG709" s="306">
        <f t="shared" ref="AG709:AG772" ca="1" si="346">IF(AND(L708&lt;L_rampe,Poussee&lt;Poids*SIN(M708)),0,(-W708+Poussee)/m-Poids*SIN(M708)/m)</f>
        <v>-71.444628290406328</v>
      </c>
      <c r="AH709" s="304">
        <f t="shared" ref="AH709:AH772" ca="1" si="347">IF(AND(L708&lt;L_rampe,Poussee&lt;Poids*SIN(M708)), g*SIN(M708), (-W708+Poussee)/m)</f>
        <v>-62.302840673090429</v>
      </c>
    </row>
    <row r="710" spans="1:34" x14ac:dyDescent="0.2">
      <c r="A710" s="347">
        <f t="shared" ca="1" si="325"/>
        <v>0.01</v>
      </c>
      <c r="B710" s="304">
        <f t="shared" ca="1" si="326"/>
        <v>7.0599999999998939</v>
      </c>
      <c r="D710" s="306">
        <f t="shared" ca="1" si="327"/>
        <v>-23.255264419879502</v>
      </c>
      <c r="E710" s="307">
        <f t="shared" ca="1" si="328"/>
        <v>-69.537909755473763</v>
      </c>
      <c r="F710" s="304">
        <f t="shared" ca="1" si="329"/>
        <v>73.323449294198682</v>
      </c>
      <c r="G710" s="306">
        <f t="shared" ca="1" si="330"/>
        <v>178.60958150063522</v>
      </c>
      <c r="H710" s="307">
        <f t="shared" ca="1" si="331"/>
        <v>458.63574936502692</v>
      </c>
      <c r="I710" s="304">
        <f t="shared" ca="1" si="332"/>
        <v>492.18709166276579</v>
      </c>
      <c r="J710" s="306">
        <f t="shared" ca="1" si="333"/>
        <v>717.52445597056578</v>
      </c>
      <c r="K710" s="307">
        <f t="shared" ca="1" si="334"/>
        <v>1960.7694310947068</v>
      </c>
      <c r="L710" s="304">
        <f t="shared" ca="1" si="319"/>
        <v>2087.9315378697925</v>
      </c>
      <c r="M710" s="306">
        <f t="shared" ca="1" si="335"/>
        <v>1.1994293006781185</v>
      </c>
      <c r="N710" s="304">
        <f t="shared" ca="1" si="336"/>
        <v>68.722236753183992</v>
      </c>
      <c r="P710" s="310">
        <f t="shared" ca="1" si="337"/>
        <v>19</v>
      </c>
      <c r="Q710" s="304">
        <f t="shared" ca="1" si="338"/>
        <v>650.3461990634961</v>
      </c>
      <c r="R710" s="306">
        <f t="shared" ca="1" si="339"/>
        <v>0.39110138404581102</v>
      </c>
      <c r="S710" s="307">
        <f t="shared" ca="1" si="340"/>
        <v>11.458716267623565</v>
      </c>
      <c r="T710" s="304">
        <f t="shared" ca="1" si="320"/>
        <v>112.41000658538718</v>
      </c>
      <c r="U710" s="311">
        <f t="shared" ca="1" si="321"/>
        <v>0</v>
      </c>
      <c r="V710" s="306">
        <f t="shared" ca="1" si="322"/>
        <v>1.0062515120995663</v>
      </c>
      <c r="W710" s="304">
        <f t="shared" ca="1" si="323"/>
        <v>1380.0464686547525</v>
      </c>
      <c r="Y710" s="314" t="str">
        <f t="shared" ca="1" si="341"/>
        <v/>
      </c>
      <c r="Z710" s="315" t="str">
        <f t="shared" ca="1" si="342"/>
        <v/>
      </c>
      <c r="AA710" s="316" t="str">
        <f t="shared" ca="1" si="343"/>
        <v/>
      </c>
      <c r="AC710" s="310" t="e">
        <f t="shared" ca="1" si="344"/>
        <v>#N/A</v>
      </c>
      <c r="AD710" s="323" t="e">
        <f t="shared" ca="1" si="345"/>
        <v>#N/A</v>
      </c>
      <c r="AE710" s="324">
        <f t="shared" ca="1" si="324"/>
        <v>1960.7694310947068</v>
      </c>
      <c r="AG710" s="306">
        <f t="shared" ca="1" si="346"/>
        <v>-73.237010449311654</v>
      </c>
      <c r="AH710" s="304">
        <f t="shared" ca="1" si="347"/>
        <v>-64.095479770390455</v>
      </c>
    </row>
    <row r="711" spans="1:34" x14ac:dyDescent="0.2">
      <c r="A711" s="347">
        <f t="shared" ca="1" si="325"/>
        <v>0.01</v>
      </c>
      <c r="B711" s="304">
        <f t="shared" ca="1" si="326"/>
        <v>7.0699999999998937</v>
      </c>
      <c r="D711" s="306">
        <f t="shared" ca="1" si="327"/>
        <v>-23.907401565812243</v>
      </c>
      <c r="E711" s="307">
        <f t="shared" ca="1" si="328"/>
        <v>-71.199702279034369</v>
      </c>
      <c r="F711" s="304">
        <f t="shared" ca="1" si="329"/>
        <v>75.106334315103766</v>
      </c>
      <c r="G711" s="306">
        <f t="shared" ca="1" si="330"/>
        <v>178.37050748497708</v>
      </c>
      <c r="H711" s="307">
        <f t="shared" ca="1" si="331"/>
        <v>457.92375234223658</v>
      </c>
      <c r="I711" s="304">
        <f t="shared" ca="1" si="332"/>
        <v>491.43687376879063</v>
      </c>
      <c r="J711" s="306">
        <f t="shared" ca="1" si="333"/>
        <v>719.30935641549388</v>
      </c>
      <c r="K711" s="307">
        <f t="shared" ca="1" si="334"/>
        <v>1965.352228603243</v>
      </c>
      <c r="L711" s="304">
        <f t="shared" ca="1" si="319"/>
        <v>2092.8486167667756</v>
      </c>
      <c r="M711" s="306">
        <f t="shared" ca="1" si="335"/>
        <v>1.1993568611184833</v>
      </c>
      <c r="N711" s="304">
        <f t="shared" ca="1" si="336"/>
        <v>68.718086272147119</v>
      </c>
      <c r="P711" s="310">
        <f t="shared" ca="1" si="337"/>
        <v>19</v>
      </c>
      <c r="Q711" s="304">
        <f t="shared" ca="1" si="338"/>
        <v>625.38662060916408</v>
      </c>
      <c r="R711" s="306">
        <f t="shared" ca="1" si="339"/>
        <v>0.37609133909937137</v>
      </c>
      <c r="S711" s="307">
        <f t="shared" ca="1" si="340"/>
        <v>11.45495535423257</v>
      </c>
      <c r="T711" s="304">
        <f t="shared" ca="1" si="320"/>
        <v>112.37311202502153</v>
      </c>
      <c r="U711" s="311">
        <f t="shared" ca="1" si="321"/>
        <v>0</v>
      </c>
      <c r="V711" s="306">
        <f t="shared" ca="1" si="322"/>
        <v>1.0057859892268102</v>
      </c>
      <c r="W711" s="304">
        <f t="shared" ca="1" si="323"/>
        <v>1375.2060866165134</v>
      </c>
      <c r="Y711" s="314" t="str">
        <f t="shared" ca="1" si="341"/>
        <v/>
      </c>
      <c r="Z711" s="315" t="str">
        <f t="shared" ca="1" si="342"/>
        <v/>
      </c>
      <c r="AA711" s="316" t="str">
        <f t="shared" ca="1" si="343"/>
        <v/>
      </c>
      <c r="AC711" s="310" t="e">
        <f t="shared" ca="1" si="344"/>
        <v>#N/A</v>
      </c>
      <c r="AD711" s="323" t="e">
        <f t="shared" ca="1" si="345"/>
        <v>#N/A</v>
      </c>
      <c r="AE711" s="324">
        <f t="shared" ca="1" si="324"/>
        <v>1965.352228603243</v>
      </c>
      <c r="AG711" s="306">
        <f t="shared" ca="1" si="346"/>
        <v>-75.021918338014956</v>
      </c>
      <c r="AH711" s="304">
        <f t="shared" ca="1" si="347"/>
        <v>-65.880645075298702</v>
      </c>
    </row>
    <row r="712" spans="1:34" x14ac:dyDescent="0.2">
      <c r="A712" s="347">
        <f t="shared" ca="1" si="325"/>
        <v>0.01</v>
      </c>
      <c r="B712" s="304">
        <f t="shared" ca="1" si="326"/>
        <v>7.0799999999998935</v>
      </c>
      <c r="D712" s="306">
        <f t="shared" ca="1" si="327"/>
        <v>-24.566874244953553</v>
      </c>
      <c r="E712" s="307">
        <f t="shared" ca="1" si="328"/>
        <v>-72.879592592354271</v>
      </c>
      <c r="F712" s="304">
        <f t="shared" ca="1" si="329"/>
        <v>76.908818262894286</v>
      </c>
      <c r="G712" s="306">
        <f t="shared" ca="1" si="330"/>
        <v>178.12483874252754</v>
      </c>
      <c r="H712" s="307">
        <f t="shared" ca="1" si="331"/>
        <v>457.19495641631306</v>
      </c>
      <c r="I712" s="304">
        <f t="shared" ca="1" si="332"/>
        <v>490.66861153895496</v>
      </c>
      <c r="J712" s="306">
        <f t="shared" ca="1" si="333"/>
        <v>721.09183314663142</v>
      </c>
      <c r="K712" s="307">
        <f t="shared" ca="1" si="334"/>
        <v>1969.9278221470358</v>
      </c>
      <c r="L712" s="304">
        <f t="shared" ca="1" si="319"/>
        <v>2097.7581024273827</v>
      </c>
      <c r="M712" s="306">
        <f t="shared" ca="1" si="335"/>
        <v>1.1992842946414521</v>
      </c>
      <c r="N712" s="304">
        <f t="shared" ca="1" si="336"/>
        <v>68.713928519279094</v>
      </c>
      <c r="P712" s="310">
        <f t="shared" ca="1" si="337"/>
        <v>20</v>
      </c>
      <c r="Q712" s="304">
        <f t="shared" ca="1" si="338"/>
        <v>600.11784848514651</v>
      </c>
      <c r="R712" s="306">
        <f t="shared" ca="1" si="339"/>
        <v>0.3608953530767382</v>
      </c>
      <c r="S712" s="307">
        <f t="shared" ca="1" si="340"/>
        <v>11.451346400701803</v>
      </c>
      <c r="T712" s="304">
        <f t="shared" ca="1" si="320"/>
        <v>112.3377081908847</v>
      </c>
      <c r="U712" s="311">
        <f t="shared" ca="1" si="321"/>
        <v>0</v>
      </c>
      <c r="V712" s="306">
        <f t="shared" ca="1" si="322"/>
        <v>1.0053213918893711</v>
      </c>
      <c r="W712" s="304">
        <f t="shared" ca="1" si="323"/>
        <v>1370.2764769307182</v>
      </c>
      <c r="Y712" s="314" t="str">
        <f t="shared" ca="1" si="341"/>
        <v/>
      </c>
      <c r="Z712" s="315" t="str">
        <f t="shared" ca="1" si="342"/>
        <v/>
      </c>
      <c r="AA712" s="316" t="str">
        <f t="shared" ca="1" si="343"/>
        <v/>
      </c>
      <c r="AC712" s="310" t="e">
        <f t="shared" ca="1" si="344"/>
        <v>#N/A</v>
      </c>
      <c r="AD712" s="323" t="e">
        <f t="shared" ca="1" si="345"/>
        <v>#N/A</v>
      </c>
      <c r="AE712" s="324">
        <f t="shared" ca="1" si="324"/>
        <v>1969.9278221470358</v>
      </c>
      <c r="AG712" s="306">
        <f t="shared" ca="1" si="346"/>
        <v>-76.826352174011447</v>
      </c>
      <c r="AH712" s="304">
        <f t="shared" ca="1" si="347"/>
        <v>-67.685336816277356</v>
      </c>
    </row>
    <row r="713" spans="1:34" x14ac:dyDescent="0.2">
      <c r="A713" s="347">
        <f t="shared" ca="1" si="325"/>
        <v>0.01</v>
      </c>
      <c r="B713" s="304">
        <f t="shared" ca="1" si="326"/>
        <v>7.0899999999998933</v>
      </c>
      <c r="D713" s="306">
        <f t="shared" ca="1" si="327"/>
        <v>-25.312054087979284</v>
      </c>
      <c r="E713" s="307">
        <f t="shared" ca="1" si="328"/>
        <v>-74.778723886334049</v>
      </c>
      <c r="F713" s="304">
        <f t="shared" ca="1" si="329"/>
        <v>78.946549185011094</v>
      </c>
      <c r="G713" s="306">
        <f t="shared" ca="1" si="330"/>
        <v>177.87171820164775</v>
      </c>
      <c r="H713" s="307">
        <f t="shared" ca="1" si="331"/>
        <v>456.44716917744972</v>
      </c>
      <c r="I713" s="304">
        <f t="shared" ca="1" si="332"/>
        <v>489.87995099423472</v>
      </c>
      <c r="J713" s="306">
        <f t="shared" ca="1" si="333"/>
        <v>722.87181593135233</v>
      </c>
      <c r="K713" s="307">
        <f t="shared" ca="1" si="334"/>
        <v>1974.4960327750046</v>
      </c>
      <c r="L713" s="304">
        <f t="shared" ca="1" si="319"/>
        <v>2102.6598026576062</v>
      </c>
      <c r="M713" s="306">
        <f t="shared" ca="1" si="335"/>
        <v>1.1992115977987339</v>
      </c>
      <c r="N713" s="304">
        <f t="shared" ca="1" si="336"/>
        <v>68.709763297007413</v>
      </c>
      <c r="P713" s="310">
        <f t="shared" ca="1" si="337"/>
        <v>20</v>
      </c>
      <c r="Q713" s="304">
        <f t="shared" ca="1" si="338"/>
        <v>572.06633333363197</v>
      </c>
      <c r="R713" s="306">
        <f t="shared" ca="1" si="339"/>
        <v>0.34402589736816686</v>
      </c>
      <c r="S713" s="307">
        <f t="shared" ca="1" si="340"/>
        <v>11.447906141728122</v>
      </c>
      <c r="T713" s="304">
        <f t="shared" ca="1" si="320"/>
        <v>112.30395925035289</v>
      </c>
      <c r="U713" s="311">
        <f t="shared" ca="1" si="321"/>
        <v>0</v>
      </c>
      <c r="V713" s="306">
        <f t="shared" ca="1" si="322"/>
        <v>1.0048577372111926</v>
      </c>
      <c r="W713" s="304">
        <f t="shared" ca="1" si="323"/>
        <v>1365.2451344104611</v>
      </c>
      <c r="Y713" s="314" t="str">
        <f t="shared" ca="1" si="341"/>
        <v/>
      </c>
      <c r="Z713" s="315" t="str">
        <f t="shared" ca="1" si="342"/>
        <v/>
      </c>
      <c r="AA713" s="316" t="str">
        <f t="shared" ca="1" si="343"/>
        <v/>
      </c>
      <c r="AC713" s="310" t="e">
        <f t="shared" ca="1" si="344"/>
        <v>#N/A</v>
      </c>
      <c r="AD713" s="323" t="e">
        <f t="shared" ca="1" si="345"/>
        <v>#N/A</v>
      </c>
      <c r="AE713" s="324">
        <f t="shared" ca="1" si="324"/>
        <v>1974.4960327750046</v>
      </c>
      <c r="AG713" s="306">
        <f t="shared" ca="1" si="346"/>
        <v>-78.866183918657327</v>
      </c>
      <c r="AH713" s="304">
        <f t="shared" ca="1" si="347"/>
        <v>-69.725426965860166</v>
      </c>
    </row>
    <row r="714" spans="1:34" x14ac:dyDescent="0.2">
      <c r="A714" s="347">
        <f t="shared" ca="1" si="325"/>
        <v>0.01</v>
      </c>
      <c r="B714" s="304">
        <f t="shared" ca="1" si="326"/>
        <v>7.0999999999998931</v>
      </c>
      <c r="D714" s="306">
        <f t="shared" ca="1" si="327"/>
        <v>-26.054352069130456</v>
      </c>
      <c r="E714" s="307">
        <f t="shared" ca="1" si="328"/>
        <v>-76.669618645079595</v>
      </c>
      <c r="F714" s="304">
        <f t="shared" ca="1" si="329"/>
        <v>80.975673414452928</v>
      </c>
      <c r="G714" s="306">
        <f t="shared" ca="1" si="330"/>
        <v>177.61117468095645</v>
      </c>
      <c r="H714" s="307">
        <f t="shared" ca="1" si="331"/>
        <v>455.68047299099891</v>
      </c>
      <c r="I714" s="304">
        <f t="shared" ca="1" si="332"/>
        <v>489.07097934435825</v>
      </c>
      <c r="J714" s="306">
        <f t="shared" ca="1" si="333"/>
        <v>724.64923039576536</v>
      </c>
      <c r="K714" s="307">
        <f t="shared" ca="1" si="334"/>
        <v>1979.0566709858467</v>
      </c>
      <c r="L714" s="304">
        <f t="shared" ca="1" si="319"/>
        <v>2107.5535139319136</v>
      </c>
      <c r="M714" s="306">
        <f t="shared" ca="1" si="335"/>
        <v>1.1991387671213876</v>
      </c>
      <c r="N714" s="304">
        <f t="shared" ca="1" si="336"/>
        <v>68.705590406576391</v>
      </c>
      <c r="P714" s="310">
        <f t="shared" ca="1" si="337"/>
        <v>20</v>
      </c>
      <c r="Q714" s="304">
        <f t="shared" ca="1" si="338"/>
        <v>544.01481818211744</v>
      </c>
      <c r="R714" s="306">
        <f t="shared" ca="1" si="339"/>
        <v>0.32715644165959551</v>
      </c>
      <c r="S714" s="307">
        <f t="shared" ca="1" si="340"/>
        <v>11.444634577311525</v>
      </c>
      <c r="T714" s="304">
        <f t="shared" ca="1" si="320"/>
        <v>112.27186520342607</v>
      </c>
      <c r="U714" s="311">
        <f t="shared" ca="1" si="321"/>
        <v>0</v>
      </c>
      <c r="V714" s="306">
        <f t="shared" ca="1" si="322"/>
        <v>1.0043950433588904</v>
      </c>
      <c r="W714" s="304">
        <f t="shared" ca="1" si="323"/>
        <v>1360.1132532946915</v>
      </c>
      <c r="Y714" s="314" t="str">
        <f t="shared" ca="1" si="341"/>
        <v/>
      </c>
      <c r="Z714" s="315" t="str">
        <f t="shared" ca="1" si="342"/>
        <v/>
      </c>
      <c r="AA714" s="316" t="str">
        <f t="shared" ca="1" si="343"/>
        <v/>
      </c>
      <c r="AC714" s="310" t="e">
        <f t="shared" ca="1" si="344"/>
        <v>#N/A</v>
      </c>
      <c r="AD714" s="323" t="e">
        <f t="shared" ca="1" si="345"/>
        <v>#N/A</v>
      </c>
      <c r="AE714" s="324">
        <f t="shared" ca="1" si="324"/>
        <v>1979.0566709858467</v>
      </c>
      <c r="AG714" s="306">
        <f t="shared" ca="1" si="346"/>
        <v>-80.897294696786815</v>
      </c>
      <c r="AH714" s="304">
        <f t="shared" ca="1" si="347"/>
        <v>-71.756796661415123</v>
      </c>
    </row>
    <row r="715" spans="1:34" x14ac:dyDescent="0.2">
      <c r="A715" s="347">
        <f t="shared" ca="1" si="325"/>
        <v>0.01</v>
      </c>
      <c r="B715" s="304">
        <f t="shared" ca="1" si="326"/>
        <v>7.1099999999998929</v>
      </c>
      <c r="D715" s="306">
        <f t="shared" ca="1" si="327"/>
        <v>-26.793769941116839</v>
      </c>
      <c r="E715" s="307">
        <f t="shared" ca="1" si="328"/>
        <v>-78.552283709974404</v>
      </c>
      <c r="F715" s="304">
        <f t="shared" ca="1" si="329"/>
        <v>82.996188970999185</v>
      </c>
      <c r="G715" s="306">
        <f t="shared" ca="1" si="330"/>
        <v>177.34323698154529</v>
      </c>
      <c r="H715" s="307">
        <f t="shared" ca="1" si="331"/>
        <v>454.89495015389917</v>
      </c>
      <c r="I715" s="304">
        <f t="shared" ca="1" si="332"/>
        <v>488.24178372872899</v>
      </c>
      <c r="J715" s="306">
        <f t="shared" ca="1" si="333"/>
        <v>726.42400245407782</v>
      </c>
      <c r="K715" s="307">
        <f t="shared" ca="1" si="334"/>
        <v>1983.6095481015711</v>
      </c>
      <c r="L715" s="304">
        <f t="shared" ca="1" si="319"/>
        <v>2112.4390335962648</v>
      </c>
      <c r="M715" s="306">
        <f t="shared" ca="1" si="335"/>
        <v>1.1990657991189029</v>
      </c>
      <c r="N715" s="304">
        <f t="shared" ca="1" si="336"/>
        <v>68.701409647994524</v>
      </c>
      <c r="P715" s="310">
        <f t="shared" ca="1" si="337"/>
        <v>20</v>
      </c>
      <c r="Q715" s="304">
        <f t="shared" ca="1" si="338"/>
        <v>515.9633030306029</v>
      </c>
      <c r="R715" s="306">
        <f t="shared" ca="1" si="339"/>
        <v>0.31028698595102416</v>
      </c>
      <c r="S715" s="307">
        <f t="shared" ca="1" si="340"/>
        <v>11.441531707452015</v>
      </c>
      <c r="T715" s="304">
        <f t="shared" ca="1" si="320"/>
        <v>112.24142605010427</v>
      </c>
      <c r="U715" s="311">
        <f t="shared" ca="1" si="321"/>
        <v>0</v>
      </c>
      <c r="V715" s="306">
        <f t="shared" ca="1" si="322"/>
        <v>1.0039333283865328</v>
      </c>
      <c r="W715" s="304">
        <f t="shared" ca="1" si="323"/>
        <v>1354.8820353442502</v>
      </c>
      <c r="Y715" s="314" t="str">
        <f t="shared" ca="1" si="341"/>
        <v/>
      </c>
      <c r="Z715" s="315" t="str">
        <f t="shared" ca="1" si="342"/>
        <v/>
      </c>
      <c r="AA715" s="316" t="str">
        <f t="shared" ca="1" si="343"/>
        <v/>
      </c>
      <c r="AC715" s="310" t="e">
        <f t="shared" ca="1" si="344"/>
        <v>#N/A</v>
      </c>
      <c r="AD715" s="323" t="e">
        <f t="shared" ca="1" si="345"/>
        <v>#N/A</v>
      </c>
      <c r="AE715" s="324">
        <f t="shared" ca="1" si="324"/>
        <v>1983.6095481015711</v>
      </c>
      <c r="AG715" s="306">
        <f t="shared" ca="1" si="346"/>
        <v>-82.919691540935318</v>
      </c>
      <c r="AH715" s="304">
        <f t="shared" ca="1" si="347"/>
        <v>-73.779452948094615</v>
      </c>
    </row>
    <row r="716" spans="1:34" x14ac:dyDescent="0.2">
      <c r="A716" s="347">
        <f t="shared" ca="1" si="325"/>
        <v>0.01</v>
      </c>
      <c r="B716" s="304">
        <f t="shared" ca="1" si="326"/>
        <v>7.1199999999998926</v>
      </c>
      <c r="D716" s="306">
        <f t="shared" ca="1" si="327"/>
        <v>-27.53031000151751</v>
      </c>
      <c r="E716" s="307">
        <f t="shared" ca="1" si="328"/>
        <v>-80.426727251713103</v>
      </c>
      <c r="F716" s="304">
        <f t="shared" ca="1" si="329"/>
        <v>85.008096233247727</v>
      </c>
      <c r="G716" s="306">
        <f t="shared" ca="1" si="330"/>
        <v>177.06793388153011</v>
      </c>
      <c r="H716" s="307">
        <f t="shared" ca="1" si="331"/>
        <v>454.09068288138207</v>
      </c>
      <c r="I716" s="304">
        <f t="shared" ca="1" si="332"/>
        <v>487.39245120206141</v>
      </c>
      <c r="J716" s="306">
        <f t="shared" ca="1" si="333"/>
        <v>728.19605830839316</v>
      </c>
      <c r="K716" s="307">
        <f t="shared" ca="1" si="334"/>
        <v>1988.1544762667475</v>
      </c>
      <c r="L716" s="304">
        <f t="shared" ca="1" si="319"/>
        <v>2117.3161598673414</v>
      </c>
      <c r="M716" s="306">
        <f t="shared" ca="1" si="335"/>
        <v>1.1989926902782648</v>
      </c>
      <c r="N716" s="304">
        <f t="shared" ca="1" si="336"/>
        <v>68.69722081998087</v>
      </c>
      <c r="P716" s="310">
        <f t="shared" ca="1" si="337"/>
        <v>20</v>
      </c>
      <c r="Q716" s="304">
        <f t="shared" ca="1" si="338"/>
        <v>487.91178787908837</v>
      </c>
      <c r="R716" s="306">
        <f t="shared" ca="1" si="339"/>
        <v>0.29341753024245282</v>
      </c>
      <c r="S716" s="307">
        <f t="shared" ca="1" si="340"/>
        <v>11.43859753214959</v>
      </c>
      <c r="T716" s="304">
        <f t="shared" ca="1" si="320"/>
        <v>112.21264179038748</v>
      </c>
      <c r="U716" s="311">
        <f t="shared" ca="1" si="321"/>
        <v>0</v>
      </c>
      <c r="V716" s="306">
        <f t="shared" ca="1" si="322"/>
        <v>1.0034726102360663</v>
      </c>
      <c r="W716" s="304">
        <f t="shared" ca="1" si="323"/>
        <v>1349.5526895349055</v>
      </c>
      <c r="Y716" s="314" t="str">
        <f t="shared" ca="1" si="341"/>
        <v/>
      </c>
      <c r="Z716" s="315" t="str">
        <f t="shared" ca="1" si="342"/>
        <v/>
      </c>
      <c r="AA716" s="316" t="str">
        <f t="shared" ca="1" si="343"/>
        <v/>
      </c>
      <c r="AC716" s="310" t="e">
        <f t="shared" ca="1" si="344"/>
        <v>#N/A</v>
      </c>
      <c r="AD716" s="323" t="e">
        <f t="shared" ca="1" si="345"/>
        <v>#N/A</v>
      </c>
      <c r="AE716" s="324">
        <f t="shared" ca="1" si="324"/>
        <v>1988.1544762667475</v>
      </c>
      <c r="AG716" s="306">
        <f t="shared" ca="1" si="346"/>
        <v>-84.933382920016058</v>
      </c>
      <c r="AH716" s="304">
        <f t="shared" ca="1" si="347"/>
        <v>-75.793404307515402</v>
      </c>
    </row>
    <row r="717" spans="1:34" x14ac:dyDescent="0.2">
      <c r="A717" s="347">
        <f t="shared" ca="1" si="325"/>
        <v>0.01</v>
      </c>
      <c r="B717" s="304">
        <f t="shared" ca="1" si="326"/>
        <v>7.1299999999998924</v>
      </c>
      <c r="D717" s="306">
        <f t="shared" ca="1" si="327"/>
        <v>-28.263975083764972</v>
      </c>
      <c r="E717" s="307">
        <f t="shared" ca="1" si="328"/>
        <v>-82.292958745744755</v>
      </c>
      <c r="F717" s="304">
        <f t="shared" ca="1" si="329"/>
        <v>87.011397797441091</v>
      </c>
      <c r="G717" s="306">
        <f t="shared" ca="1" si="330"/>
        <v>176.78529413069245</v>
      </c>
      <c r="H717" s="307">
        <f t="shared" ca="1" si="331"/>
        <v>453.26775329392461</v>
      </c>
      <c r="I717" s="304">
        <f t="shared" ca="1" si="332"/>
        <v>486.52306872027924</v>
      </c>
      <c r="J717" s="306">
        <f t="shared" ca="1" si="333"/>
        <v>729.96532444845423</v>
      </c>
      <c r="K717" s="307">
        <f t="shared" ca="1" si="334"/>
        <v>1992.691268447624</v>
      </c>
      <c r="L717" s="304">
        <f t="shared" ca="1" si="319"/>
        <v>2122.1846918316364</v>
      </c>
      <c r="M717" s="306">
        <f t="shared" ca="1" si="335"/>
        <v>1.1989194370630079</v>
      </c>
      <c r="N717" s="304">
        <f t="shared" ca="1" si="336"/>
        <v>68.693023719910883</v>
      </c>
      <c r="P717" s="310">
        <f t="shared" ca="1" si="337"/>
        <v>20</v>
      </c>
      <c r="Q717" s="304">
        <f t="shared" ca="1" si="338"/>
        <v>459.86027272757383</v>
      </c>
      <c r="R717" s="306">
        <f t="shared" ca="1" si="339"/>
        <v>0.27654807453388147</v>
      </c>
      <c r="S717" s="307">
        <f t="shared" ca="1" si="340"/>
        <v>11.435832051404251</v>
      </c>
      <c r="T717" s="304">
        <f t="shared" ca="1" si="320"/>
        <v>112.18551242427571</v>
      </c>
      <c r="U717" s="311">
        <f t="shared" ca="1" si="321"/>
        <v>0</v>
      </c>
      <c r="V717" s="306">
        <f t="shared" ca="1" si="322"/>
        <v>1.0030129067377536</v>
      </c>
      <c r="W717" s="304">
        <f t="shared" ca="1" si="323"/>
        <v>1344.1264317552648</v>
      </c>
      <c r="Y717" s="314" t="str">
        <f t="shared" ca="1" si="341"/>
        <v/>
      </c>
      <c r="Z717" s="315" t="str">
        <f t="shared" ca="1" si="342"/>
        <v/>
      </c>
      <c r="AA717" s="316" t="str">
        <f t="shared" ca="1" si="343"/>
        <v/>
      </c>
      <c r="AC717" s="310" t="e">
        <f t="shared" ca="1" si="344"/>
        <v>#N/A</v>
      </c>
      <c r="AD717" s="323" t="e">
        <f t="shared" ca="1" si="345"/>
        <v>#N/A</v>
      </c>
      <c r="AE717" s="324">
        <f t="shared" ca="1" si="324"/>
        <v>1992.691268447624</v>
      </c>
      <c r="AG717" s="306">
        <f t="shared" ca="1" si="346"/>
        <v>-86.938378713171844</v>
      </c>
      <c r="AH717" s="304">
        <f t="shared" ca="1" si="347"/>
        <v>-77.798660631613842</v>
      </c>
    </row>
    <row r="718" spans="1:34" x14ac:dyDescent="0.2">
      <c r="A718" s="347">
        <f t="shared" ca="1" si="325"/>
        <v>0.01</v>
      </c>
      <c r="B718" s="304">
        <f t="shared" ca="1" si="326"/>
        <v>7.1399999999998922</v>
      </c>
      <c r="D718" s="306">
        <f t="shared" ca="1" si="327"/>
        <v>-28.994768548156951</v>
      </c>
      <c r="E718" s="307">
        <f t="shared" ca="1" si="328"/>
        <v>-84.150988947783418</v>
      </c>
      <c r="F718" s="304">
        <f t="shared" ca="1" si="329"/>
        <v>89.006098353153078</v>
      </c>
      <c r="G718" s="306">
        <f t="shared" ca="1" si="330"/>
        <v>176.49534644521088</v>
      </c>
      <c r="H718" s="307">
        <f t="shared" ca="1" si="331"/>
        <v>452.42624340444678</v>
      </c>
      <c r="I718" s="304">
        <f t="shared" ca="1" si="332"/>
        <v>485.63372312667366</v>
      </c>
      <c r="J718" s="306">
        <f t="shared" ca="1" si="333"/>
        <v>731.7317276513337</v>
      </c>
      <c r="K718" s="307">
        <f t="shared" ca="1" si="334"/>
        <v>1997.219738431116</v>
      </c>
      <c r="L718" s="304">
        <f t="shared" ca="1" si="319"/>
        <v>2127.0444294444019</v>
      </c>
      <c r="M718" s="306">
        <f t="shared" ca="1" si="335"/>
        <v>1.1988460359122544</v>
      </c>
      <c r="N718" s="304">
        <f t="shared" ca="1" si="336"/>
        <v>68.688818143761296</v>
      </c>
      <c r="P718" s="310">
        <f t="shared" ca="1" si="337"/>
        <v>20</v>
      </c>
      <c r="Q718" s="304">
        <f t="shared" ca="1" si="338"/>
        <v>431.80875757605924</v>
      </c>
      <c r="R718" s="306">
        <f t="shared" ca="1" si="339"/>
        <v>0.25967861882531007</v>
      </c>
      <c r="S718" s="307">
        <f t="shared" ca="1" si="340"/>
        <v>11.433235265215998</v>
      </c>
      <c r="T718" s="304">
        <f t="shared" ca="1" si="320"/>
        <v>112.16003795176896</v>
      </c>
      <c r="U718" s="311">
        <f t="shared" ca="1" si="321"/>
        <v>0</v>
      </c>
      <c r="V718" s="306">
        <f t="shared" ca="1" si="322"/>
        <v>1.0025542356106307</v>
      </c>
      <c r="W718" s="304">
        <f t="shared" ca="1" si="323"/>
        <v>1338.6044845095905</v>
      </c>
      <c r="Y718" s="314" t="str">
        <f t="shared" ca="1" si="341"/>
        <v/>
      </c>
      <c r="Z718" s="315" t="str">
        <f t="shared" ca="1" si="342"/>
        <v/>
      </c>
      <c r="AA718" s="316" t="str">
        <f t="shared" ca="1" si="343"/>
        <v/>
      </c>
      <c r="AC718" s="310" t="e">
        <f t="shared" ca="1" si="344"/>
        <v>#N/A</v>
      </c>
      <c r="AD718" s="323" t="e">
        <f t="shared" ca="1" si="345"/>
        <v>#N/A</v>
      </c>
      <c r="AE718" s="324">
        <f t="shared" ca="1" si="324"/>
        <v>1997.219738431116</v>
      </c>
      <c r="AG718" s="306">
        <f t="shared" ca="1" si="346"/>
        <v>-88.934690183699843</v>
      </c>
      <c r="AH718" s="304">
        <f t="shared" ca="1" si="347"/>
        <v>-79.795233196574131</v>
      </c>
    </row>
    <row r="719" spans="1:34" x14ac:dyDescent="0.2">
      <c r="A719" s="347">
        <f t="shared" ca="1" si="325"/>
        <v>0.01</v>
      </c>
      <c r="B719" s="304">
        <f t="shared" ca="1" si="326"/>
        <v>7.149999999999892</v>
      </c>
      <c r="D719" s="306">
        <f t="shared" ca="1" si="327"/>
        <v>-29.722694272900267</v>
      </c>
      <c r="E719" s="307">
        <f t="shared" ca="1" si="328"/>
        <v>-86.000829869395801</v>
      </c>
      <c r="F719" s="304">
        <f t="shared" ca="1" si="329"/>
        <v>90.992204573057023</v>
      </c>
      <c r="G719" s="306">
        <f t="shared" ca="1" si="330"/>
        <v>176.19811950248189</v>
      </c>
      <c r="H719" s="307">
        <f t="shared" ca="1" si="331"/>
        <v>451.56623510575281</v>
      </c>
      <c r="I719" s="304">
        <f t="shared" ca="1" si="332"/>
        <v>484.72450113832178</v>
      </c>
      <c r="J719" s="306">
        <f t="shared" ca="1" si="333"/>
        <v>733.49519498107213</v>
      </c>
      <c r="K719" s="307">
        <f t="shared" ca="1" si="334"/>
        <v>2001.7397008236669</v>
      </c>
      <c r="L719" s="304">
        <f t="shared" ca="1" si="319"/>
        <v>2131.8951735284604</v>
      </c>
      <c r="M719" s="306">
        <f t="shared" ca="1" si="335"/>
        <v>1.1987724832397377</v>
      </c>
      <c r="N719" s="304">
        <f t="shared" ca="1" si="336"/>
        <v>68.684603886054191</v>
      </c>
      <c r="P719" s="310">
        <f t="shared" ca="1" si="337"/>
        <v>20</v>
      </c>
      <c r="Q719" s="304">
        <f t="shared" ca="1" si="338"/>
        <v>403.7572424245447</v>
      </c>
      <c r="R719" s="306">
        <f t="shared" ca="1" si="339"/>
        <v>0.24280916311673875</v>
      </c>
      <c r="S719" s="307">
        <f t="shared" ca="1" si="340"/>
        <v>11.430807173584832</v>
      </c>
      <c r="T719" s="304">
        <f t="shared" ca="1" si="320"/>
        <v>112.13621837286721</v>
      </c>
      <c r="U719" s="311">
        <f t="shared" ca="1" si="321"/>
        <v>0</v>
      </c>
      <c r="V719" s="306">
        <f t="shared" ca="1" si="322"/>
        <v>1.0020966144629744</v>
      </c>
      <c r="W719" s="304">
        <f t="shared" ca="1" si="323"/>
        <v>1332.9880766255396</v>
      </c>
      <c r="Y719" s="314" t="str">
        <f t="shared" ca="1" si="341"/>
        <v/>
      </c>
      <c r="Z719" s="315" t="str">
        <f t="shared" ca="1" si="342"/>
        <v/>
      </c>
      <c r="AA719" s="316" t="str">
        <f t="shared" ca="1" si="343"/>
        <v/>
      </c>
      <c r="AC719" s="310" t="e">
        <f t="shared" ca="1" si="344"/>
        <v>#N/A</v>
      </c>
      <c r="AD719" s="323" t="e">
        <f t="shared" ca="1" si="345"/>
        <v>#N/A</v>
      </c>
      <c r="AE719" s="324">
        <f t="shared" ca="1" si="324"/>
        <v>2001.7397008236669</v>
      </c>
      <c r="AG719" s="306">
        <f t="shared" ca="1" si="346"/>
        <v>-90.922329953059773</v>
      </c>
      <c r="AH719" s="304">
        <f t="shared" ca="1" si="347"/>
        <v>-81.783134636840089</v>
      </c>
    </row>
    <row r="720" spans="1:34" x14ac:dyDescent="0.2">
      <c r="A720" s="347">
        <f t="shared" ca="1" si="325"/>
        <v>0.01</v>
      </c>
      <c r="B720" s="304">
        <f t="shared" ca="1" si="326"/>
        <v>7.1599999999998918</v>
      </c>
      <c r="D720" s="306">
        <f t="shared" ca="1" si="327"/>
        <v>-30.447756645190534</v>
      </c>
      <c r="E720" s="307">
        <f t="shared" ca="1" si="328"/>
        <v>-87.842494753675211</v>
      </c>
      <c r="F720" s="304">
        <f t="shared" ca="1" si="329"/>
        <v>92.969725014513202</v>
      </c>
      <c r="G720" s="306">
        <f t="shared" ca="1" si="330"/>
        <v>175.89364193602998</v>
      </c>
      <c r="H720" s="307">
        <f t="shared" ca="1" si="331"/>
        <v>450.68781015821605</v>
      </c>
      <c r="I720" s="304">
        <f t="shared" ca="1" si="332"/>
        <v>483.79548933276396</v>
      </c>
      <c r="J720" s="306">
        <f t="shared" ca="1" si="333"/>
        <v>735.25565378826468</v>
      </c>
      <c r="K720" s="307">
        <f t="shared" ca="1" si="334"/>
        <v>2006.2509710499867</v>
      </c>
      <c r="L720" s="304">
        <f t="shared" ca="1" si="319"/>
        <v>2136.7367257728838</v>
      </c>
      <c r="M720" s="306">
        <f t="shared" ca="1" si="335"/>
        <v>1.1986987754328124</v>
      </c>
      <c r="N720" s="304">
        <f t="shared" ca="1" si="336"/>
        <v>68.680380739800199</v>
      </c>
      <c r="P720" s="310">
        <f t="shared" ca="1" si="337"/>
        <v>20</v>
      </c>
      <c r="Q720" s="304">
        <f t="shared" ca="1" si="338"/>
        <v>375.70572727303011</v>
      </c>
      <c r="R720" s="306">
        <f t="shared" ca="1" si="339"/>
        <v>0.22593970740816735</v>
      </c>
      <c r="S720" s="307">
        <f t="shared" ca="1" si="340"/>
        <v>11.428547776510749</v>
      </c>
      <c r="T720" s="304">
        <f t="shared" ca="1" si="320"/>
        <v>112.11405368757045</v>
      </c>
      <c r="U720" s="311">
        <f t="shared" ca="1" si="321"/>
        <v>0</v>
      </c>
      <c r="V720" s="306">
        <f t="shared" ca="1" si="322"/>
        <v>1.0016400607927838</v>
      </c>
      <c r="W720" s="304">
        <f t="shared" ca="1" si="323"/>
        <v>1327.278442966847</v>
      </c>
      <c r="Y720" s="314" t="str">
        <f t="shared" ca="1" si="341"/>
        <v/>
      </c>
      <c r="Z720" s="315" t="str">
        <f t="shared" ca="1" si="342"/>
        <v/>
      </c>
      <c r="AA720" s="316" t="str">
        <f t="shared" ca="1" si="343"/>
        <v/>
      </c>
      <c r="AC720" s="310" t="e">
        <f t="shared" ca="1" si="344"/>
        <v>#N/A</v>
      </c>
      <c r="AD720" s="323" t="e">
        <f t="shared" ca="1" si="345"/>
        <v>#N/A</v>
      </c>
      <c r="AE720" s="324">
        <f t="shared" ca="1" si="324"/>
        <v>2006.2509710499867</v>
      </c>
      <c r="AG720" s="306">
        <f t="shared" ca="1" si="346"/>
        <v>-92.901311974975755</v>
      </c>
      <c r="AH720" s="304">
        <f t="shared" ca="1" si="347"/>
        <v>-83.762378919220609</v>
      </c>
    </row>
    <row r="721" spans="1:34" x14ac:dyDescent="0.2">
      <c r="A721" s="347">
        <f t="shared" ca="1" si="325"/>
        <v>0.01</v>
      </c>
      <c r="B721" s="304">
        <f t="shared" ca="1" si="326"/>
        <v>7.1699999999998916</v>
      </c>
      <c r="D721" s="306">
        <f t="shared" ca="1" si="327"/>
        <v>-31.169960552331212</v>
      </c>
      <c r="E721" s="307">
        <f t="shared" ca="1" si="328"/>
        <v>-89.675998051010637</v>
      </c>
      <c r="F721" s="304">
        <f t="shared" ca="1" si="329"/>
        <v>94.938670031124545</v>
      </c>
      <c r="G721" s="306">
        <f t="shared" ca="1" si="330"/>
        <v>175.58194233050668</v>
      </c>
      <c r="H721" s="307">
        <f t="shared" ca="1" si="331"/>
        <v>449.79105017770593</v>
      </c>
      <c r="I721" s="304">
        <f t="shared" ca="1" si="332"/>
        <v>482.84677413493915</v>
      </c>
      <c r="J721" s="306">
        <f t="shared" ca="1" si="333"/>
        <v>737.01303170959739</v>
      </c>
      <c r="K721" s="307">
        <f t="shared" ca="1" si="334"/>
        <v>2010.7533653516664</v>
      </c>
      <c r="L721" s="304">
        <f t="shared" ca="1" si="319"/>
        <v>2141.5688887315355</v>
      </c>
      <c r="M721" s="306">
        <f t="shared" ca="1" si="335"/>
        <v>1.1986249088514453</v>
      </c>
      <c r="N721" s="304">
        <f t="shared" ca="1" si="336"/>
        <v>68.676148496440803</v>
      </c>
      <c r="P721" s="310">
        <f t="shared" ca="1" si="337"/>
        <v>20</v>
      </c>
      <c r="Q721" s="304">
        <f t="shared" ca="1" si="338"/>
        <v>347.65421212151557</v>
      </c>
      <c r="R721" s="306">
        <f t="shared" ca="1" si="339"/>
        <v>0.209070251699596</v>
      </c>
      <c r="S721" s="307">
        <f t="shared" ca="1" si="340"/>
        <v>11.426457073993753</v>
      </c>
      <c r="T721" s="304">
        <f t="shared" ca="1" si="320"/>
        <v>112.09354389587872</v>
      </c>
      <c r="U721" s="311">
        <f t="shared" ca="1" si="321"/>
        <v>0</v>
      </c>
      <c r="V721" s="306">
        <f t="shared" ca="1" si="322"/>
        <v>1.0011845919882774</v>
      </c>
      <c r="W721" s="304">
        <f t="shared" ca="1" si="323"/>
        <v>1321.4768241509785</v>
      </c>
      <c r="Y721" s="314" t="str">
        <f t="shared" ca="1" si="341"/>
        <v/>
      </c>
      <c r="Z721" s="315" t="str">
        <f t="shared" ca="1" si="342"/>
        <v/>
      </c>
      <c r="AA721" s="316" t="str">
        <f t="shared" ca="1" si="343"/>
        <v/>
      </c>
      <c r="AC721" s="310" t="e">
        <f t="shared" ca="1" si="344"/>
        <v>#N/A</v>
      </c>
      <c r="AD721" s="323" t="e">
        <f t="shared" ca="1" si="345"/>
        <v>#N/A</v>
      </c>
      <c r="AE721" s="324">
        <f t="shared" ca="1" si="324"/>
        <v>2010.7533653516664</v>
      </c>
      <c r="AG721" s="306">
        <f t="shared" ca="1" si="346"/>
        <v>-94.871651509641282</v>
      </c>
      <c r="AH721" s="304">
        <f t="shared" ca="1" si="347"/>
        <v>-85.73298131709825</v>
      </c>
    </row>
    <row r="722" spans="1:34" x14ac:dyDescent="0.2">
      <c r="A722" s="347">
        <f t="shared" ca="1" si="325"/>
        <v>0.01</v>
      </c>
      <c r="B722" s="304">
        <f t="shared" ca="1" si="326"/>
        <v>7.1799999999998914</v>
      </c>
      <c r="D722" s="306">
        <f t="shared" ca="1" si="327"/>
        <v>-31.889311372896504</v>
      </c>
      <c r="E722" s="307">
        <f t="shared" ca="1" si="328"/>
        <v>-91.501355394961067</v>
      </c>
      <c r="F722" s="304">
        <f t="shared" ca="1" si="329"/>
        <v>96.899051692741125</v>
      </c>
      <c r="G722" s="306">
        <f t="shared" ca="1" si="330"/>
        <v>175.26304921677772</v>
      </c>
      <c r="H722" s="307">
        <f t="shared" ca="1" si="331"/>
        <v>448.87603662375631</v>
      </c>
      <c r="I722" s="304">
        <f t="shared" ca="1" si="332"/>
        <v>481.87844180437713</v>
      </c>
      <c r="J722" s="306">
        <f t="shared" ca="1" si="333"/>
        <v>738.76725666733375</v>
      </c>
      <c r="K722" s="307">
        <f t="shared" ca="1" si="334"/>
        <v>2015.2467007856737</v>
      </c>
      <c r="L722" s="304">
        <f t="shared" ca="1" si="319"/>
        <v>2146.391465821489</v>
      </c>
      <c r="M722" s="306">
        <f t="shared" ca="1" si="335"/>
        <v>1.1985508798271918</v>
      </c>
      <c r="N722" s="304">
        <f t="shared" ca="1" si="336"/>
        <v>68.671906945789601</v>
      </c>
      <c r="P722" s="310">
        <f t="shared" ca="1" si="337"/>
        <v>20</v>
      </c>
      <c r="Q722" s="304">
        <f t="shared" ca="1" si="338"/>
        <v>319.60269697000103</v>
      </c>
      <c r="R722" s="306">
        <f t="shared" ca="1" si="339"/>
        <v>0.19220079599102466</v>
      </c>
      <c r="S722" s="307">
        <f t="shared" ca="1" si="340"/>
        <v>11.424535066033842</v>
      </c>
      <c r="T722" s="304">
        <f t="shared" ca="1" si="320"/>
        <v>112.07468899779199</v>
      </c>
      <c r="U722" s="311">
        <f t="shared" ca="1" si="321"/>
        <v>0</v>
      </c>
      <c r="V722" s="306">
        <f t="shared" ca="1" si="322"/>
        <v>1.0007302253283996</v>
      </c>
      <c r="W722" s="304">
        <f t="shared" ca="1" si="323"/>
        <v>1315.584466271752</v>
      </c>
      <c r="Y722" s="314" t="str">
        <f t="shared" ca="1" si="341"/>
        <v/>
      </c>
      <c r="Z722" s="315" t="str">
        <f t="shared" ca="1" si="342"/>
        <v/>
      </c>
      <c r="AA722" s="316" t="str">
        <f t="shared" ca="1" si="343"/>
        <v/>
      </c>
      <c r="AC722" s="310" t="e">
        <f t="shared" ca="1" si="344"/>
        <v>#N/A</v>
      </c>
      <c r="AD722" s="323" t="e">
        <f t="shared" ca="1" si="345"/>
        <v>#N/A</v>
      </c>
      <c r="AE722" s="324">
        <f t="shared" ca="1" si="324"/>
        <v>2015.2467007856737</v>
      </c>
      <c r="AG722" s="306">
        <f t="shared" ca="1" si="346"/>
        <v>-96.833365098038129</v>
      </c>
      <c r="AH722" s="304">
        <f t="shared" ca="1" si="347"/>
        <v>-87.69495838475197</v>
      </c>
    </row>
    <row r="723" spans="1:34" x14ac:dyDescent="0.2">
      <c r="A723" s="347">
        <f t="shared" ca="1" si="325"/>
        <v>0.01</v>
      </c>
      <c r="B723" s="304">
        <f t="shared" ca="1" si="326"/>
        <v>7.1899999999998911</v>
      </c>
      <c r="D723" s="306">
        <f t="shared" ca="1" si="327"/>
        <v>-32.605814967940873</v>
      </c>
      <c r="E723" s="307">
        <f t="shared" ca="1" si="328"/>
        <v>-93.318583578242126</v>
      </c>
      <c r="F723" s="304">
        <f t="shared" ca="1" si="329"/>
        <v>98.850883712655587</v>
      </c>
      <c r="G723" s="306">
        <f t="shared" ca="1" si="330"/>
        <v>174.93699106709832</v>
      </c>
      <c r="H723" s="307">
        <f t="shared" ca="1" si="331"/>
        <v>447.9428507879739</v>
      </c>
      <c r="I723" s="304">
        <f t="shared" ca="1" si="332"/>
        <v>480.89057842264606</v>
      </c>
      <c r="J723" s="306">
        <f t="shared" ca="1" si="333"/>
        <v>740.51825686875316</v>
      </c>
      <c r="K723" s="307">
        <f t="shared" ca="1" si="334"/>
        <v>2019.7307952227325</v>
      </c>
      <c r="L723" s="304">
        <f t="shared" ca="1" si="319"/>
        <v>2151.2042613213157</v>
      </c>
      <c r="M723" s="306">
        <f t="shared" ca="1" si="335"/>
        <v>1.198476684662154</v>
      </c>
      <c r="N723" s="304">
        <f t="shared" ca="1" si="336"/>
        <v>68.66765587597267</v>
      </c>
      <c r="P723" s="310">
        <f t="shared" ca="1" si="337"/>
        <v>20</v>
      </c>
      <c r="Q723" s="304">
        <f t="shared" ca="1" si="338"/>
        <v>291.5511818184865</v>
      </c>
      <c r="R723" s="306">
        <f t="shared" ca="1" si="339"/>
        <v>0.17533134028245331</v>
      </c>
      <c r="S723" s="307">
        <f t="shared" ca="1" si="340"/>
        <v>11.422781752631018</v>
      </c>
      <c r="T723" s="304">
        <f t="shared" ca="1" si="320"/>
        <v>112.05748899331029</v>
      </c>
      <c r="U723" s="311">
        <f t="shared" ca="1" si="321"/>
        <v>0</v>
      </c>
      <c r="V723" s="306">
        <f t="shared" ca="1" si="322"/>
        <v>1.0002769779833434</v>
      </c>
      <c r="W723" s="304">
        <f t="shared" ca="1" si="323"/>
        <v>1309.6026206269553</v>
      </c>
      <c r="Y723" s="314" t="str">
        <f t="shared" ca="1" si="341"/>
        <v/>
      </c>
      <c r="Z723" s="315" t="str">
        <f t="shared" ca="1" si="342"/>
        <v/>
      </c>
      <c r="AA723" s="316" t="str">
        <f t="shared" ca="1" si="343"/>
        <v/>
      </c>
      <c r="AC723" s="310" t="e">
        <f t="shared" ca="1" si="344"/>
        <v>#N/A</v>
      </c>
      <c r="AD723" s="323" t="e">
        <f t="shared" ca="1" si="345"/>
        <v>#N/A</v>
      </c>
      <c r="AE723" s="324">
        <f t="shared" ca="1" si="324"/>
        <v>2019.7307952227325</v>
      </c>
      <c r="AG723" s="306">
        <f t="shared" ca="1" si="346"/>
        <v>-98.78647053637718</v>
      </c>
      <c r="AH723" s="304">
        <f t="shared" ca="1" si="347"/>
        <v>-89.648327931801646</v>
      </c>
    </row>
    <row r="724" spans="1:34" x14ac:dyDescent="0.2">
      <c r="A724" s="347">
        <f t="shared" ca="1" si="325"/>
        <v>0.01</v>
      </c>
      <c r="B724" s="304">
        <f t="shared" ca="1" si="326"/>
        <v>7.1999999999998909</v>
      </c>
      <c r="D724" s="306">
        <f t="shared" ca="1" si="327"/>
        <v>-33.319477672259382</v>
      </c>
      <c r="E724" s="307">
        <f t="shared" ca="1" si="328"/>
        <v>-95.127700528834637</v>
      </c>
      <c r="F724" s="304">
        <f t="shared" ca="1" si="329"/>
        <v>100.79418138094995</v>
      </c>
      <c r="G724" s="306">
        <f t="shared" ca="1" si="330"/>
        <v>174.60379629037573</v>
      </c>
      <c r="H724" s="307">
        <f t="shared" ca="1" si="331"/>
        <v>446.99157378268558</v>
      </c>
      <c r="I724" s="304">
        <f t="shared" ca="1" si="332"/>
        <v>479.88326988105462</v>
      </c>
      <c r="J724" s="306">
        <f t="shared" ca="1" si="333"/>
        <v>742.26596080554054</v>
      </c>
      <c r="K724" s="307">
        <f t="shared" ca="1" si="334"/>
        <v>2024.2054673455857</v>
      </c>
      <c r="L724" s="304">
        <f t="shared" ca="1" si="319"/>
        <v>2156.0070803692488</v>
      </c>
      <c r="M724" s="306">
        <f t="shared" ca="1" si="335"/>
        <v>1.1984023196279194</v>
      </c>
      <c r="N724" s="304">
        <f t="shared" ca="1" si="336"/>
        <v>68.663395073367681</v>
      </c>
      <c r="P724" s="310">
        <f t="shared" ca="1" si="337"/>
        <v>20</v>
      </c>
      <c r="Q724" s="304">
        <f t="shared" ca="1" si="338"/>
        <v>263.49966666697196</v>
      </c>
      <c r="R724" s="306">
        <f t="shared" ca="1" si="339"/>
        <v>0.15846188457388197</v>
      </c>
      <c r="S724" s="307">
        <f t="shared" ca="1" si="340"/>
        <v>11.421197133785279</v>
      </c>
      <c r="T724" s="304">
        <f t="shared" ca="1" si="320"/>
        <v>112.0419438824336</v>
      </c>
      <c r="U724" s="311">
        <f t="shared" ca="1" si="321"/>
        <v>0</v>
      </c>
      <c r="V724" s="306">
        <f t="shared" ca="1" si="322"/>
        <v>0.99982486701508266</v>
      </c>
      <c r="W724" s="304">
        <f t="shared" ca="1" si="323"/>
        <v>1303.5325434509562</v>
      </c>
      <c r="Y724" s="314" t="str">
        <f t="shared" ca="1" si="341"/>
        <v/>
      </c>
      <c r="Z724" s="315" t="str">
        <f t="shared" ca="1" si="342"/>
        <v/>
      </c>
      <c r="AA724" s="316" t="str">
        <f t="shared" ca="1" si="343"/>
        <v/>
      </c>
      <c r="AC724" s="310" t="e">
        <f t="shared" ca="1" si="344"/>
        <v>#N/A</v>
      </c>
      <c r="AD724" s="323" t="e">
        <f t="shared" ca="1" si="345"/>
        <v>#N/A</v>
      </c>
      <c r="AE724" s="324">
        <f t="shared" ca="1" si="324"/>
        <v>2024.2054673455857</v>
      </c>
      <c r="AG724" s="306">
        <f t="shared" ca="1" si="346"/>
        <v>-100.73098685067127</v>
      </c>
      <c r="AH724" s="304">
        <f t="shared" ca="1" si="347"/>
        <v>-91.593108997784881</v>
      </c>
    </row>
    <row r="725" spans="1:34" x14ac:dyDescent="0.2">
      <c r="A725" s="347">
        <f t="shared" ca="1" si="325"/>
        <v>0.01</v>
      </c>
      <c r="B725" s="304">
        <f t="shared" ca="1" si="326"/>
        <v>7.2099999999998907</v>
      </c>
      <c r="D725" s="306">
        <f t="shared" ca="1" si="327"/>
        <v>-34.030306285702061</v>
      </c>
      <c r="E725" s="307">
        <f t="shared" ca="1" si="328"/>
        <v>-96.928725286222388</v>
      </c>
      <c r="F725" s="304">
        <f t="shared" ca="1" si="329"/>
        <v>102.72896150312559</v>
      </c>
      <c r="G725" s="306">
        <f t="shared" ca="1" si="330"/>
        <v>174.26349322751869</v>
      </c>
      <c r="H725" s="307">
        <f t="shared" ca="1" si="331"/>
        <v>446.02228652982336</v>
      </c>
      <c r="I725" s="304">
        <f t="shared" ca="1" si="332"/>
        <v>478.85660186860673</v>
      </c>
      <c r="J725" s="306">
        <f t="shared" ca="1" si="333"/>
        <v>744.01029725313003</v>
      </c>
      <c r="K725" s="307">
        <f t="shared" ca="1" si="334"/>
        <v>2028.6705366471483</v>
      </c>
      <c r="L725" s="304">
        <f t="shared" ca="1" si="319"/>
        <v>2160.7997289612285</v>
      </c>
      <c r="M725" s="306">
        <f t="shared" ca="1" si="335"/>
        <v>1.1983277809644837</v>
      </c>
      <c r="N725" s="304">
        <f t="shared" ca="1" si="336"/>
        <v>68.659124322542269</v>
      </c>
      <c r="P725" s="310">
        <f t="shared" ca="1" si="337"/>
        <v>20</v>
      </c>
      <c r="Q725" s="304">
        <f t="shared" ca="1" si="338"/>
        <v>235.44815151545743</v>
      </c>
      <c r="R725" s="306">
        <f t="shared" ca="1" si="339"/>
        <v>0.14159242886531062</v>
      </c>
      <c r="S725" s="307">
        <f t="shared" ca="1" si="340"/>
        <v>11.419781209496627</v>
      </c>
      <c r="T725" s="304">
        <f t="shared" ca="1" si="320"/>
        <v>112.02805366516192</v>
      </c>
      <c r="U725" s="311">
        <f t="shared" ca="1" si="321"/>
        <v>0</v>
      </c>
      <c r="V725" s="306">
        <f t="shared" ca="1" si="322"/>
        <v>0.99937390937791926</v>
      </c>
      <c r="W725" s="304">
        <f t="shared" ca="1" si="323"/>
        <v>1297.3754956523167</v>
      </c>
      <c r="Y725" s="314" t="str">
        <f t="shared" ca="1" si="341"/>
        <v/>
      </c>
      <c r="Z725" s="315" t="str">
        <f t="shared" ca="1" si="342"/>
        <v/>
      </c>
      <c r="AA725" s="316" t="str">
        <f t="shared" ca="1" si="343"/>
        <v/>
      </c>
      <c r="AC725" s="310" t="e">
        <f t="shared" ca="1" si="344"/>
        <v>#N/A</v>
      </c>
      <c r="AD725" s="323" t="e">
        <f t="shared" ca="1" si="345"/>
        <v>#N/A</v>
      </c>
      <c r="AE725" s="324">
        <f t="shared" ca="1" si="324"/>
        <v>2028.6705366471483</v>
      </c>
      <c r="AG725" s="306">
        <f t="shared" ca="1" si="346"/>
        <v>-102.66693427144837</v>
      </c>
      <c r="AH725" s="304">
        <f t="shared" ca="1" si="347"/>
        <v>-93.529321826874039</v>
      </c>
    </row>
    <row r="726" spans="1:34" x14ac:dyDescent="0.2">
      <c r="A726" s="347">
        <f t="shared" ca="1" si="325"/>
        <v>0.01</v>
      </c>
      <c r="B726" s="304">
        <f t="shared" ca="1" si="326"/>
        <v>7.2199999999998905</v>
      </c>
      <c r="D726" s="306">
        <f t="shared" ca="1" si="327"/>
        <v>-34.738308064545492</v>
      </c>
      <c r="E726" s="307">
        <f t="shared" ca="1" si="328"/>
        <v>-98.721677977767342</v>
      </c>
      <c r="F726" s="304">
        <f t="shared" ca="1" si="329"/>
        <v>104.65524234329239</v>
      </c>
      <c r="G726" s="306">
        <f t="shared" ca="1" si="330"/>
        <v>173.91611014687325</v>
      </c>
      <c r="H726" s="307">
        <f t="shared" ca="1" si="331"/>
        <v>445.03506975004569</v>
      </c>
      <c r="I726" s="304">
        <f t="shared" ca="1" si="332"/>
        <v>477.81065986020798</v>
      </c>
      <c r="J726" s="306">
        <f t="shared" ca="1" si="333"/>
        <v>745.75119527000197</v>
      </c>
      <c r="K726" s="307">
        <f t="shared" ca="1" si="334"/>
        <v>2033.1258234285476</v>
      </c>
      <c r="L726" s="304">
        <f t="shared" ca="1" si="319"/>
        <v>2165.5820139488246</v>
      </c>
      <c r="M726" s="306">
        <f t="shared" ca="1" si="335"/>
        <v>1.1982530648791492</v>
      </c>
      <c r="N726" s="304">
        <f t="shared" ca="1" si="336"/>
        <v>68.654843406190864</v>
      </c>
      <c r="P726" s="310">
        <f t="shared" ca="1" si="337"/>
        <v>20</v>
      </c>
      <c r="Q726" s="304">
        <f t="shared" ca="1" si="338"/>
        <v>207.39663636394283</v>
      </c>
      <c r="R726" s="306">
        <f t="shared" ca="1" si="339"/>
        <v>0.12472297315673923</v>
      </c>
      <c r="S726" s="307">
        <f t="shared" ca="1" si="340"/>
        <v>11.418533979765058</v>
      </c>
      <c r="T726" s="304">
        <f t="shared" ca="1" si="320"/>
        <v>112.01581834149523</v>
      </c>
      <c r="U726" s="311">
        <f t="shared" ca="1" si="321"/>
        <v>0</v>
      </c>
      <c r="V726" s="306">
        <f t="shared" ca="1" si="322"/>
        <v>0.99892412191903723</v>
      </c>
      <c r="W726" s="304">
        <f t="shared" ca="1" si="323"/>
        <v>1291.1327425564066</v>
      </c>
      <c r="Y726" s="314" t="str">
        <f t="shared" ca="1" si="341"/>
        <v/>
      </c>
      <c r="Z726" s="315" t="str">
        <f t="shared" ca="1" si="342"/>
        <v/>
      </c>
      <c r="AA726" s="316" t="str">
        <f t="shared" ca="1" si="343"/>
        <v/>
      </c>
      <c r="AC726" s="310" t="e">
        <f t="shared" ca="1" si="344"/>
        <v>#N/A</v>
      </c>
      <c r="AD726" s="323" t="e">
        <f t="shared" ca="1" si="345"/>
        <v>#N/A</v>
      </c>
      <c r="AE726" s="324">
        <f t="shared" ca="1" si="324"/>
        <v>2033.1258234285476</v>
      </c>
      <c r="AG726" s="306">
        <f t="shared" ca="1" si="346"/>
        <v>-104.59433420861362</v>
      </c>
      <c r="AH726" s="304">
        <f t="shared" ca="1" si="347"/>
        <v>-95.456987842742365</v>
      </c>
    </row>
    <row r="727" spans="1:34" x14ac:dyDescent="0.2">
      <c r="A727" s="347">
        <f t="shared" ca="1" si="325"/>
        <v>0.01</v>
      </c>
      <c r="B727" s="304">
        <f t="shared" ca="1" si="326"/>
        <v>7.2299999999998903</v>
      </c>
      <c r="D727" s="306">
        <f t="shared" ca="1" si="327"/>
        <v>-35.443490712925154</v>
      </c>
      <c r="E727" s="307">
        <f t="shared" ca="1" si="328"/>
        <v>-100.5065797952291</v>
      </c>
      <c r="F727" s="304">
        <f t="shared" ca="1" si="329"/>
        <v>106.57304357130825</v>
      </c>
      <c r="G727" s="306">
        <f t="shared" ca="1" si="330"/>
        <v>173.56167523974401</v>
      </c>
      <c r="H727" s="307">
        <f t="shared" ca="1" si="331"/>
        <v>444.03000395209341</v>
      </c>
      <c r="I727" s="304">
        <f t="shared" ca="1" si="332"/>
        <v>476.7455291051217</v>
      </c>
      <c r="J727" s="306">
        <f t="shared" ca="1" si="333"/>
        <v>747.48858419693511</v>
      </c>
      <c r="K727" s="307">
        <f t="shared" ca="1" si="334"/>
        <v>2037.5711487970584</v>
      </c>
      <c r="L727" s="304">
        <f t="shared" ca="1" si="319"/>
        <v>2170.3537430370429</v>
      </c>
      <c r="M727" s="306">
        <f t="shared" ca="1" si="335"/>
        <v>1.1981781675454062</v>
      </c>
      <c r="N727" s="304">
        <f t="shared" ca="1" si="336"/>
        <v>68.650552105070602</v>
      </c>
      <c r="P727" s="310">
        <f t="shared" ca="1" si="337"/>
        <v>20</v>
      </c>
      <c r="Q727" s="304">
        <f t="shared" ca="1" si="338"/>
        <v>179.3451212124283</v>
      </c>
      <c r="R727" s="306">
        <f t="shared" ca="1" si="339"/>
        <v>0.10785351744816789</v>
      </c>
      <c r="S727" s="307">
        <f t="shared" ca="1" si="340"/>
        <v>11.417455444590576</v>
      </c>
      <c r="T727" s="304">
        <f t="shared" ca="1" si="320"/>
        <v>112.00523791143355</v>
      </c>
      <c r="U727" s="311">
        <f t="shared" ca="1" si="321"/>
        <v>0</v>
      </c>
      <c r="V727" s="306">
        <f t="shared" ca="1" si="322"/>
        <v>0.99847552137907514</v>
      </c>
      <c r="W727" s="304">
        <f t="shared" ca="1" si="323"/>
        <v>1284.8055536530312</v>
      </c>
      <c r="Y727" s="314" t="str">
        <f t="shared" ca="1" si="341"/>
        <v/>
      </c>
      <c r="Z727" s="315" t="str">
        <f t="shared" ca="1" si="342"/>
        <v/>
      </c>
      <c r="AA727" s="316" t="str">
        <f t="shared" ca="1" si="343"/>
        <v/>
      </c>
      <c r="AC727" s="310" t="e">
        <f t="shared" ca="1" si="344"/>
        <v>#N/A</v>
      </c>
      <c r="AD727" s="323" t="e">
        <f t="shared" ca="1" si="345"/>
        <v>#N/A</v>
      </c>
      <c r="AE727" s="324">
        <f t="shared" ca="1" si="324"/>
        <v>2037.5711487970584</v>
      </c>
      <c r="AG727" s="306">
        <f t="shared" ca="1" si="346"/>
        <v>-106.51320922646804</v>
      </c>
      <c r="AH727" s="304">
        <f t="shared" ca="1" si="347"/>
        <v>-97.376129623586763</v>
      </c>
    </row>
    <row r="728" spans="1:34" x14ac:dyDescent="0.2">
      <c r="A728" s="347">
        <f t="shared" ca="1" si="325"/>
        <v>0.01</v>
      </c>
      <c r="B728" s="304">
        <f t="shared" ca="1" si="326"/>
        <v>7.2399999999998901</v>
      </c>
      <c r="D728" s="306">
        <f t="shared" ca="1" si="327"/>
        <v>-36.145862374331614</v>
      </c>
      <c r="E728" s="307">
        <f t="shared" ca="1" si="328"/>
        <v>-102.28345297143703</v>
      </c>
      <c r="F728" s="304">
        <f t="shared" ca="1" si="329"/>
        <v>108.48238621335858</v>
      </c>
      <c r="G728" s="306">
        <f t="shared" ca="1" si="330"/>
        <v>173.20021661600069</v>
      </c>
      <c r="H728" s="307">
        <f t="shared" ca="1" si="331"/>
        <v>443.00716942237904</v>
      </c>
      <c r="I728" s="304">
        <f t="shared" ca="1" si="332"/>
        <v>475.66129461567294</v>
      </c>
      <c r="J728" s="306">
        <f t="shared" ca="1" si="333"/>
        <v>749.22239365621385</v>
      </c>
      <c r="K728" s="307">
        <f t="shared" ca="1" si="334"/>
        <v>2042.0063346639308</v>
      </c>
      <c r="L728" s="304">
        <f t="shared" ca="1" si="319"/>
        <v>2175.1147247820213</v>
      </c>
      <c r="M728" s="306">
        <f t="shared" ca="1" si="335"/>
        <v>1.1981030851017909</v>
      </c>
      <c r="N728" s="304">
        <f t="shared" ca="1" si="336"/>
        <v>68.646250197935913</v>
      </c>
      <c r="P728" s="310">
        <f t="shared" ca="1" si="337"/>
        <v>20</v>
      </c>
      <c r="Q728" s="304">
        <f t="shared" ca="1" si="338"/>
        <v>151.29360606091376</v>
      </c>
      <c r="R728" s="306">
        <f t="shared" ca="1" si="339"/>
        <v>9.0984061739596542E-2</v>
      </c>
      <c r="S728" s="307">
        <f t="shared" ca="1" si="340"/>
        <v>11.41654560397318</v>
      </c>
      <c r="T728" s="304">
        <f t="shared" ca="1" si="320"/>
        <v>111.9963123749769</v>
      </c>
      <c r="U728" s="311">
        <f t="shared" ca="1" si="321"/>
        <v>0</v>
      </c>
      <c r="V728" s="306">
        <f t="shared" ca="1" si="322"/>
        <v>0.99802812439270161</v>
      </c>
      <c r="W728" s="304">
        <f t="shared" ca="1" si="323"/>
        <v>1278.3952023490458</v>
      </c>
      <c r="Y728" s="314" t="str">
        <f t="shared" ca="1" si="341"/>
        <v/>
      </c>
      <c r="Z728" s="315" t="str">
        <f t="shared" ca="1" si="342"/>
        <v/>
      </c>
      <c r="AA728" s="316" t="str">
        <f t="shared" ca="1" si="343"/>
        <v/>
      </c>
      <c r="AC728" s="310" t="e">
        <f t="shared" ca="1" si="344"/>
        <v>#N/A</v>
      </c>
      <c r="AD728" s="323" t="e">
        <f t="shared" ca="1" si="345"/>
        <v>#N/A</v>
      </c>
      <c r="AE728" s="324">
        <f t="shared" ca="1" si="324"/>
        <v>2042.0063346639308</v>
      </c>
      <c r="AG728" s="306">
        <f t="shared" ca="1" si="346"/>
        <v>-108.42358301889287</v>
      </c>
      <c r="AH728" s="304">
        <f t="shared" ca="1" si="347"/>
        <v>-99.286770877316272</v>
      </c>
    </row>
    <row r="729" spans="1:34" x14ac:dyDescent="0.2">
      <c r="A729" s="347">
        <f t="shared" ca="1" si="325"/>
        <v>0.01</v>
      </c>
      <c r="B729" s="304">
        <f t="shared" ca="1" si="326"/>
        <v>7.2499999999998899</v>
      </c>
      <c r="D729" s="306">
        <f t="shared" ca="1" si="327"/>
        <v>-38.094936343042541</v>
      </c>
      <c r="E729" s="307">
        <f t="shared" ca="1" si="328"/>
        <v>-107.24827258642073</v>
      </c>
      <c r="F729" s="304">
        <f t="shared" ca="1" si="329"/>
        <v>113.81307546917299</v>
      </c>
      <c r="G729" s="306">
        <f t="shared" ca="1" si="330"/>
        <v>172.81926725257026</v>
      </c>
      <c r="H729" s="307">
        <f t="shared" ca="1" si="331"/>
        <v>441.9346866965148</v>
      </c>
      <c r="I729" s="304">
        <f t="shared" ca="1" si="332"/>
        <v>474.52372589709569</v>
      </c>
      <c r="J729" s="306">
        <f t="shared" ca="1" si="333"/>
        <v>750.95249107555674</v>
      </c>
      <c r="K729" s="307">
        <f t="shared" ca="1" si="334"/>
        <v>2046.4310439445253</v>
      </c>
      <c r="L729" s="304">
        <f t="shared" ca="1" si="319"/>
        <v>2179.8645970501157</v>
      </c>
      <c r="M729" s="306">
        <f t="shared" ca="1" si="335"/>
        <v>1.1980278082074549</v>
      </c>
      <c r="N729" s="304">
        <f t="shared" ca="1" si="336"/>
        <v>68.64193714959562</v>
      </c>
      <c r="P729" s="310">
        <f t="shared" ca="1" si="337"/>
        <v>21</v>
      </c>
      <c r="Q729" s="304">
        <f t="shared" ca="1" si="338"/>
        <v>84.043800001025147</v>
      </c>
      <c r="R729" s="306">
        <f t="shared" ca="1" si="339"/>
        <v>5.0541767674206185E-2</v>
      </c>
      <c r="S729" s="307">
        <f t="shared" ca="1" si="340"/>
        <v>11.416040186296438</v>
      </c>
      <c r="T729" s="304">
        <f t="shared" ca="1" si="320"/>
        <v>111.99135422756807</v>
      </c>
      <c r="U729" s="311">
        <f t="shared" ca="1" si="321"/>
        <v>0</v>
      </c>
      <c r="V729" s="306">
        <f t="shared" ca="1" si="322"/>
        <v>0.99758196359899221</v>
      </c>
      <c r="W729" s="304">
        <f t="shared" ca="1" si="323"/>
        <v>1271.7190504823866</v>
      </c>
      <c r="Y729" s="314" t="str">
        <f t="shared" ca="1" si="341"/>
        <v/>
      </c>
      <c r="Z729" s="315" t="str">
        <f t="shared" ca="1" si="342"/>
        <v/>
      </c>
      <c r="AA729" s="316" t="str">
        <f t="shared" ca="1" si="343"/>
        <v/>
      </c>
      <c r="AC729" s="310" t="e">
        <f t="shared" ca="1" si="344"/>
        <v>#N/A</v>
      </c>
      <c r="AD729" s="323" t="e">
        <f t="shared" ca="1" si="345"/>
        <v>#N/A</v>
      </c>
      <c r="AE729" s="324">
        <f t="shared" ca="1" si="324"/>
        <v>2046.4310439445253</v>
      </c>
      <c r="AG729" s="306">
        <f t="shared" ca="1" si="346"/>
        <v>-113.75700630478583</v>
      </c>
      <c r="AH729" s="304">
        <f t="shared" ca="1" si="347"/>
        <v>-104.62046233699262</v>
      </c>
    </row>
    <row r="730" spans="1:34" x14ac:dyDescent="0.2">
      <c r="A730" s="347">
        <f t="shared" ca="1" si="325"/>
        <v>0.01</v>
      </c>
      <c r="B730" s="304">
        <f t="shared" ca="1" si="326"/>
        <v>7.2599999999998897</v>
      </c>
      <c r="D730" s="306">
        <f t="shared" ca="1" si="327"/>
        <v>-40.570458502419001</v>
      </c>
      <c r="E730" s="307">
        <f t="shared" ca="1" si="328"/>
        <v>-113.55707144890893</v>
      </c>
      <c r="F730" s="304">
        <f t="shared" ca="1" si="329"/>
        <v>120.58677613714163</v>
      </c>
      <c r="G730" s="306">
        <f t="shared" ca="1" si="330"/>
        <v>172.41356266754607</v>
      </c>
      <c r="H730" s="307">
        <f t="shared" ca="1" si="331"/>
        <v>440.79911598202574</v>
      </c>
      <c r="I730" s="304">
        <f t="shared" ca="1" si="332"/>
        <v>473.31838886974509</v>
      </c>
      <c r="J730" s="306">
        <f t="shared" ca="1" si="333"/>
        <v>752.67865522515729</v>
      </c>
      <c r="K730" s="307">
        <f t="shared" ca="1" si="334"/>
        <v>2050.8447129579181</v>
      </c>
      <c r="L730" s="304">
        <f t="shared" ca="1" si="319"/>
        <v>2184.6027544382059</v>
      </c>
      <c r="M730" s="306">
        <f t="shared" ca="1" si="335"/>
        <v>1.1979523250848467</v>
      </c>
      <c r="N730" s="304">
        <f t="shared" ca="1" si="336"/>
        <v>68.637612285245694</v>
      </c>
      <c r="P730" s="310">
        <f t="shared" ca="1" si="337"/>
        <v>22</v>
      </c>
      <c r="Q730" s="304">
        <f t="shared" ca="1" si="338"/>
        <v>0</v>
      </c>
      <c r="R730" s="306">
        <f t="shared" ca="1" si="339"/>
        <v>0</v>
      </c>
      <c r="S730" s="307">
        <f t="shared" ca="1" si="340"/>
        <v>11.416040186296438</v>
      </c>
      <c r="T730" s="304">
        <f t="shared" ca="1" si="320"/>
        <v>111.99135422756807</v>
      </c>
      <c r="U730" s="311">
        <f t="shared" ca="1" si="321"/>
        <v>0</v>
      </c>
      <c r="V730" s="306">
        <f t="shared" ca="1" si="322"/>
        <v>0.99713709442186271</v>
      </c>
      <c r="W730" s="304">
        <f t="shared" ca="1" si="323"/>
        <v>1264.7024298111073</v>
      </c>
      <c r="Y730" s="314" t="str">
        <f t="shared" ca="1" si="341"/>
        <v>Fin de propulsion</v>
      </c>
      <c r="Z730" s="315" t="str">
        <f t="shared" ca="1" si="342"/>
        <v/>
      </c>
      <c r="AA730" s="316" t="str">
        <f t="shared" ca="1" si="343"/>
        <v/>
      </c>
      <c r="AC730" s="310" t="e">
        <f t="shared" ca="1" si="344"/>
        <v>#N/A</v>
      </c>
      <c r="AD730" s="323" t="e">
        <f t="shared" ca="1" si="345"/>
        <v>#N/A</v>
      </c>
      <c r="AE730" s="324">
        <f t="shared" ca="1" si="324"/>
        <v>2050.8447129579181</v>
      </c>
      <c r="AG730" s="306">
        <f t="shared" ca="1" si="346"/>
        <v>-120.53383757641578</v>
      </c>
      <c r="AH730" s="304">
        <f t="shared" ca="1" si="347"/>
        <v>-111.39756252863667</v>
      </c>
    </row>
    <row r="731" spans="1:34" x14ac:dyDescent="0.2">
      <c r="A731" s="347">
        <f t="shared" ca="1" si="325"/>
        <v>0.01</v>
      </c>
      <c r="B731" s="304">
        <f t="shared" ca="1" si="326"/>
        <v>7.2699999999998894</v>
      </c>
      <c r="D731" s="306">
        <f t="shared" ca="1" si="327"/>
        <v>-40.35440167309752</v>
      </c>
      <c r="E731" s="307">
        <f t="shared" ca="1" si="328"/>
        <v>-112.98160847598037</v>
      </c>
      <c r="F731" s="304">
        <f t="shared" ca="1" si="329"/>
        <v>119.97217005711539</v>
      </c>
      <c r="G731" s="306">
        <f t="shared" ca="1" si="330"/>
        <v>172.01001865081511</v>
      </c>
      <c r="H731" s="307">
        <f t="shared" ca="1" si="331"/>
        <v>439.66929989726594</v>
      </c>
      <c r="I731" s="304">
        <f t="shared" ca="1" si="332"/>
        <v>472.11920082581446</v>
      </c>
      <c r="J731" s="306">
        <f t="shared" ca="1" si="333"/>
        <v>754.40077313174913</v>
      </c>
      <c r="K731" s="307">
        <f t="shared" ca="1" si="334"/>
        <v>2055.2470550373146</v>
      </c>
      <c r="L731" s="304">
        <f t="shared" ca="1" si="319"/>
        <v>2189.3288888929719</v>
      </c>
      <c r="M731" s="306">
        <f t="shared" ca="1" si="335"/>
        <v>1.1978766356272661</v>
      </c>
      <c r="N731" s="304">
        <f t="shared" ca="1" si="336"/>
        <v>68.633275598772698</v>
      </c>
      <c r="P731" s="310">
        <f t="shared" ca="1" si="337"/>
        <v>22</v>
      </c>
      <c r="Q731" s="304">
        <f t="shared" ca="1" si="338"/>
        <v>0</v>
      </c>
      <c r="R731" s="306">
        <f t="shared" ca="1" si="339"/>
        <v>0</v>
      </c>
      <c r="S731" s="307">
        <f t="shared" ca="1" si="340"/>
        <v>11.416040186296438</v>
      </c>
      <c r="T731" s="304">
        <f t="shared" ca="1" si="320"/>
        <v>111.99135422756807</v>
      </c>
      <c r="U731" s="311">
        <f t="shared" ca="1" si="321"/>
        <v>0</v>
      </c>
      <c r="V731" s="306">
        <f t="shared" ca="1" si="322"/>
        <v>0.9966935442946504</v>
      </c>
      <c r="W731" s="304">
        <f t="shared" ca="1" si="323"/>
        <v>1257.7423863598799</v>
      </c>
      <c r="Y731" s="314" t="str">
        <f t="shared" ca="1" si="341"/>
        <v/>
      </c>
      <c r="Z731" s="315" t="str">
        <f t="shared" ca="1" si="342"/>
        <v/>
      </c>
      <c r="AA731" s="316" t="str">
        <f t="shared" ca="1" si="343"/>
        <v/>
      </c>
      <c r="AC731" s="310" t="e">
        <f t="shared" ca="1" si="344"/>
        <v>#N/A</v>
      </c>
      <c r="AD731" s="323" t="e">
        <f t="shared" ca="1" si="345"/>
        <v>#N/A</v>
      </c>
      <c r="AE731" s="324">
        <f t="shared" ca="1" si="324"/>
        <v>2055.2470550373146</v>
      </c>
      <c r="AG731" s="306">
        <f t="shared" ca="1" si="346"/>
        <v>-119.91893962910333</v>
      </c>
      <c r="AH731" s="304">
        <f t="shared" ca="1" si="347"/>
        <v>-110.78293429005515</v>
      </c>
    </row>
    <row r="732" spans="1:34" x14ac:dyDescent="0.2">
      <c r="A732" s="347">
        <f t="shared" ca="1" si="325"/>
        <v>0.01</v>
      </c>
      <c r="B732" s="304">
        <f t="shared" ca="1" si="326"/>
        <v>7.2799999999998892</v>
      </c>
      <c r="D732" s="306">
        <f t="shared" ca="1" si="327"/>
        <v>-40.140084997548684</v>
      </c>
      <c r="E732" s="307">
        <f t="shared" ca="1" si="328"/>
        <v>-112.41078573978659</v>
      </c>
      <c r="F732" s="304">
        <f t="shared" ca="1" si="329"/>
        <v>119.36251997275627</v>
      </c>
      <c r="G732" s="306">
        <f t="shared" ca="1" si="330"/>
        <v>171.60861780083962</v>
      </c>
      <c r="H732" s="307">
        <f t="shared" ca="1" si="331"/>
        <v>438.54519203986808</v>
      </c>
      <c r="I732" s="304">
        <f t="shared" ca="1" si="332"/>
        <v>470.92611221379457</v>
      </c>
      <c r="J732" s="306">
        <f t="shared" ca="1" si="333"/>
        <v>756.11886631400739</v>
      </c>
      <c r="K732" s="307">
        <f t="shared" ca="1" si="334"/>
        <v>2059.6381274970004</v>
      </c>
      <c r="L732" s="304">
        <f t="shared" ca="1" si="319"/>
        <v>2194.043061618283</v>
      </c>
      <c r="M732" s="306">
        <f t="shared" ca="1" si="335"/>
        <v>1.1978007397272776</v>
      </c>
      <c r="N732" s="304">
        <f t="shared" ca="1" si="336"/>
        <v>68.628927084021001</v>
      </c>
      <c r="P732" s="310">
        <f t="shared" ca="1" si="337"/>
        <v>22</v>
      </c>
      <c r="Q732" s="304">
        <f t="shared" ca="1" si="338"/>
        <v>0</v>
      </c>
      <c r="R732" s="306">
        <f t="shared" ca="1" si="339"/>
        <v>0</v>
      </c>
      <c r="S732" s="307">
        <f t="shared" ca="1" si="340"/>
        <v>11.416040186296438</v>
      </c>
      <c r="T732" s="304">
        <f t="shared" ca="1" si="320"/>
        <v>111.99135422756807</v>
      </c>
      <c r="U732" s="311">
        <f t="shared" ca="1" si="321"/>
        <v>0</v>
      </c>
      <c r="V732" s="306">
        <f t="shared" ca="1" si="322"/>
        <v>0.99625130597324962</v>
      </c>
      <c r="W732" s="304">
        <f t="shared" ca="1" si="323"/>
        <v>1250.8383072362469</v>
      </c>
      <c r="Y732" s="314" t="str">
        <f t="shared" ca="1" si="341"/>
        <v/>
      </c>
      <c r="Z732" s="315" t="str">
        <f t="shared" ca="1" si="342"/>
        <v/>
      </c>
      <c r="AA732" s="316" t="str">
        <f t="shared" ca="1" si="343"/>
        <v/>
      </c>
      <c r="AC732" s="310" t="e">
        <f t="shared" ca="1" si="344"/>
        <v>#N/A</v>
      </c>
      <c r="AD732" s="323" t="e">
        <f t="shared" ca="1" si="345"/>
        <v>#N/A</v>
      </c>
      <c r="AE732" s="324">
        <f t="shared" ca="1" si="324"/>
        <v>2059.6381274970004</v>
      </c>
      <c r="AG732" s="306">
        <f t="shared" ca="1" si="346"/>
        <v>-119.30899683313046</v>
      </c>
      <c r="AH732" s="304">
        <f t="shared" ca="1" si="347"/>
        <v>-110.17326199233653</v>
      </c>
    </row>
    <row r="733" spans="1:34" x14ac:dyDescent="0.2">
      <c r="A733" s="347">
        <f t="shared" ca="1" si="325"/>
        <v>0.01</v>
      </c>
      <c r="B733" s="304">
        <f t="shared" ca="1" si="326"/>
        <v>7.289999999999889</v>
      </c>
      <c r="D733" s="306">
        <f t="shared" ca="1" si="327"/>
        <v>-39.927489621285503</v>
      </c>
      <c r="E733" s="307">
        <f t="shared" ca="1" si="328"/>
        <v>-111.84455297307815</v>
      </c>
      <c r="F733" s="304">
        <f t="shared" ca="1" si="329"/>
        <v>118.75777219704632</v>
      </c>
      <c r="G733" s="306">
        <f t="shared" ca="1" si="330"/>
        <v>171.20934290462677</v>
      </c>
      <c r="H733" s="307">
        <f t="shared" ca="1" si="331"/>
        <v>437.42674651013732</v>
      </c>
      <c r="I733" s="304">
        <f t="shared" ca="1" si="332"/>
        <v>469.7390740190537</v>
      </c>
      <c r="J733" s="306">
        <f t="shared" ca="1" si="333"/>
        <v>757.83295611753476</v>
      </c>
      <c r="K733" s="307">
        <f t="shared" ca="1" si="334"/>
        <v>2064.0179871897503</v>
      </c>
      <c r="L733" s="304">
        <f t="shared" ca="1" si="319"/>
        <v>2198.7453333255012</v>
      </c>
      <c r="M733" s="306">
        <f t="shared" ca="1" si="335"/>
        <v>1.1977246372767105</v>
      </c>
      <c r="N733" s="304">
        <f t="shared" ca="1" si="336"/>
        <v>68.624566734792907</v>
      </c>
      <c r="P733" s="310">
        <f t="shared" ca="1" si="337"/>
        <v>22</v>
      </c>
      <c r="Q733" s="304">
        <f t="shared" ca="1" si="338"/>
        <v>0</v>
      </c>
      <c r="R733" s="306">
        <f t="shared" ca="1" si="339"/>
        <v>0</v>
      </c>
      <c r="S733" s="307">
        <f t="shared" ca="1" si="340"/>
        <v>11.416040186296438</v>
      </c>
      <c r="T733" s="304">
        <f t="shared" ca="1" si="320"/>
        <v>111.99135422756807</v>
      </c>
      <c r="U733" s="311">
        <f t="shared" ca="1" si="321"/>
        <v>0</v>
      </c>
      <c r="V733" s="306">
        <f t="shared" ca="1" si="322"/>
        <v>0.9958103722744035</v>
      </c>
      <c r="W733" s="304">
        <f t="shared" ca="1" si="323"/>
        <v>1243.989587880279</v>
      </c>
      <c r="Y733" s="314" t="str">
        <f t="shared" ca="1" si="341"/>
        <v/>
      </c>
      <c r="Z733" s="315" t="str">
        <f t="shared" ca="1" si="342"/>
        <v/>
      </c>
      <c r="AA733" s="316" t="str">
        <f t="shared" ca="1" si="343"/>
        <v/>
      </c>
      <c r="AC733" s="310" t="e">
        <f t="shared" ca="1" si="344"/>
        <v>#N/A</v>
      </c>
      <c r="AD733" s="323" t="e">
        <f t="shared" ca="1" si="345"/>
        <v>#N/A</v>
      </c>
      <c r="AE733" s="324">
        <f t="shared" ca="1" si="324"/>
        <v>2064.0179871897503</v>
      </c>
      <c r="AG733" s="306">
        <f t="shared" ca="1" si="346"/>
        <v>-118.70395550072975</v>
      </c>
      <c r="AH733" s="304">
        <f t="shared" ca="1" si="347"/>
        <v>-109.56849194852393</v>
      </c>
    </row>
    <row r="734" spans="1:34" x14ac:dyDescent="0.2">
      <c r="A734" s="347">
        <f t="shared" ca="1" si="325"/>
        <v>0.01</v>
      </c>
      <c r="B734" s="304">
        <f t="shared" ca="1" si="326"/>
        <v>7.2999999999998888</v>
      </c>
      <c r="D734" s="306">
        <f t="shared" ca="1" si="327"/>
        <v>-39.716596946154517</v>
      </c>
      <c r="E734" s="307">
        <f t="shared" ca="1" si="328"/>
        <v>-111.28286059201001</v>
      </c>
      <c r="F734" s="304">
        <f t="shared" ca="1" si="329"/>
        <v>118.15787377286385</v>
      </c>
      <c r="G734" s="306">
        <f t="shared" ca="1" si="330"/>
        <v>170.81217693516521</v>
      </c>
      <c r="H734" s="307">
        <f t="shared" ca="1" si="331"/>
        <v>436.31391790421725</v>
      </c>
      <c r="I734" s="304">
        <f t="shared" ca="1" si="332"/>
        <v>468.55803775653902</v>
      </c>
      <c r="J734" s="306">
        <f t="shared" ca="1" si="333"/>
        <v>759.54306371673374</v>
      </c>
      <c r="K734" s="307">
        <f t="shared" ca="1" si="334"/>
        <v>2068.3866905118221</v>
      </c>
      <c r="L734" s="304">
        <f t="shared" ca="1" si="319"/>
        <v>2203.4357642388059</v>
      </c>
      <c r="M734" s="306">
        <f t="shared" ca="1" si="335"/>
        <v>1.1976483281666599</v>
      </c>
      <c r="N734" s="304">
        <f t="shared" ca="1" si="336"/>
        <v>68.620194544848601</v>
      </c>
      <c r="P734" s="310">
        <f t="shared" ca="1" si="337"/>
        <v>22</v>
      </c>
      <c r="Q734" s="304">
        <f t="shared" ca="1" si="338"/>
        <v>0</v>
      </c>
      <c r="R734" s="306">
        <f t="shared" ca="1" si="339"/>
        <v>0</v>
      </c>
      <c r="S734" s="307">
        <f t="shared" ca="1" si="340"/>
        <v>11.416040186296438</v>
      </c>
      <c r="T734" s="304">
        <f t="shared" ca="1" si="320"/>
        <v>111.99135422756807</v>
      </c>
      <c r="U734" s="311">
        <f t="shared" ca="1" si="321"/>
        <v>0</v>
      </c>
      <c r="V734" s="306">
        <f t="shared" ca="1" si="322"/>
        <v>0.99537073607502413</v>
      </c>
      <c r="W734" s="304">
        <f t="shared" ca="1" si="323"/>
        <v>1237.1956319284157</v>
      </c>
      <c r="Y734" s="314" t="str">
        <f t="shared" ca="1" si="341"/>
        <v/>
      </c>
      <c r="Z734" s="315" t="str">
        <f t="shared" ca="1" si="342"/>
        <v/>
      </c>
      <c r="AA734" s="316" t="str">
        <f t="shared" ca="1" si="343"/>
        <v/>
      </c>
      <c r="AC734" s="310" t="e">
        <f t="shared" ca="1" si="344"/>
        <v>#N/A</v>
      </c>
      <c r="AD734" s="323" t="e">
        <f t="shared" ca="1" si="345"/>
        <v>#N/A</v>
      </c>
      <c r="AE734" s="324">
        <f t="shared" ca="1" si="324"/>
        <v>2068.3866905118221</v>
      </c>
      <c r="AG734" s="306">
        <f t="shared" ca="1" si="346"/>
        <v>-118.10376267402617</v>
      </c>
      <c r="AH734" s="304">
        <f t="shared" ca="1" si="347"/>
        <v>-108.96857120155695</v>
      </c>
    </row>
    <row r="735" spans="1:34" x14ac:dyDescent="0.2">
      <c r="A735" s="347">
        <f t="shared" ca="1" si="325"/>
        <v>0.01</v>
      </c>
      <c r="B735" s="304">
        <f t="shared" ca="1" si="326"/>
        <v>7.3099999999998886</v>
      </c>
      <c r="D735" s="306">
        <f t="shared" ca="1" si="327"/>
        <v>-39.507388626147048</v>
      </c>
      <c r="E735" s="307">
        <f t="shared" ca="1" si="328"/>
        <v>-110.72565968497423</v>
      </c>
      <c r="F735" s="304">
        <f t="shared" ca="1" si="329"/>
        <v>117.56277246105648</v>
      </c>
      <c r="G735" s="306">
        <f t="shared" ca="1" si="330"/>
        <v>170.41710304890375</v>
      </c>
      <c r="H735" s="307">
        <f t="shared" ca="1" si="331"/>
        <v>435.20666130736748</v>
      </c>
      <c r="I735" s="304">
        <f t="shared" ca="1" si="332"/>
        <v>467.3829554635966</v>
      </c>
      <c r="J735" s="306">
        <f t="shared" ca="1" si="333"/>
        <v>761.24921011665413</v>
      </c>
      <c r="K735" s="307">
        <f t="shared" ca="1" si="334"/>
        <v>2072.7442934078799</v>
      </c>
      <c r="L735" s="304">
        <f t="shared" ca="1" si="319"/>
        <v>2208.114414100447</v>
      </c>
      <c r="M735" s="306">
        <f t="shared" ca="1" si="335"/>
        <v>1.1975718122874868</v>
      </c>
      <c r="N735" s="304">
        <f t="shared" ca="1" si="336"/>
        <v>68.615810507906247</v>
      </c>
      <c r="P735" s="310">
        <f t="shared" ca="1" si="337"/>
        <v>22</v>
      </c>
      <c r="Q735" s="304">
        <f t="shared" ca="1" si="338"/>
        <v>0</v>
      </c>
      <c r="R735" s="306">
        <f t="shared" ca="1" si="339"/>
        <v>0</v>
      </c>
      <c r="S735" s="307">
        <f t="shared" ca="1" si="340"/>
        <v>11.416040186296438</v>
      </c>
      <c r="T735" s="304">
        <f t="shared" ca="1" si="320"/>
        <v>111.99135422756807</v>
      </c>
      <c r="U735" s="311">
        <f t="shared" ca="1" si="321"/>
        <v>0</v>
      </c>
      <c r="V735" s="306">
        <f t="shared" ca="1" si="322"/>
        <v>0.99493239031152392</v>
      </c>
      <c r="W735" s="304">
        <f t="shared" ca="1" si="323"/>
        <v>1230.4558510799022</v>
      </c>
      <c r="Y735" s="314" t="str">
        <f t="shared" ca="1" si="341"/>
        <v/>
      </c>
      <c r="Z735" s="315" t="str">
        <f t="shared" ca="1" si="342"/>
        <v/>
      </c>
      <c r="AA735" s="316" t="str">
        <f t="shared" ca="1" si="343"/>
        <v/>
      </c>
      <c r="AC735" s="310" t="e">
        <f t="shared" ca="1" si="344"/>
        <v>#N/A</v>
      </c>
      <c r="AD735" s="323" t="e">
        <f t="shared" ca="1" si="345"/>
        <v>#N/A</v>
      </c>
      <c r="AE735" s="324">
        <f t="shared" ca="1" si="324"/>
        <v>2072.7442934078799</v>
      </c>
      <c r="AG735" s="306">
        <f t="shared" ca="1" si="346"/>
        <v>-117.50836611311023</v>
      </c>
      <c r="AH735" s="304">
        <f t="shared" ca="1" si="347"/>
        <v>-108.37344751234477</v>
      </c>
    </row>
    <row r="736" spans="1:34" x14ac:dyDescent="0.2">
      <c r="A736" s="347">
        <f t="shared" ca="1" si="325"/>
        <v>0.01</v>
      </c>
      <c r="B736" s="304">
        <f t="shared" ca="1" si="326"/>
        <v>7.3199999999998884</v>
      </c>
      <c r="D736" s="306">
        <f t="shared" ca="1" si="327"/>
        <v>-39.299846563290494</v>
      </c>
      <c r="E736" s="307">
        <f t="shared" ca="1" si="328"/>
        <v>-110.17290200164562</v>
      </c>
      <c r="F736" s="304">
        <f t="shared" ca="1" si="329"/>
        <v>116.97241672874159</v>
      </c>
      <c r="G736" s="306">
        <f t="shared" ca="1" si="330"/>
        <v>170.02410458327086</v>
      </c>
      <c r="H736" s="307">
        <f t="shared" ca="1" si="331"/>
        <v>434.10493228735101</v>
      </c>
      <c r="I736" s="304">
        <f t="shared" ca="1" si="332"/>
        <v>466.21377969290938</v>
      </c>
      <c r="J736" s="306">
        <f t="shared" ca="1" si="333"/>
        <v>762.95141615481498</v>
      </c>
      <c r="K736" s="307">
        <f t="shared" ca="1" si="334"/>
        <v>2077.0908513758536</v>
      </c>
      <c r="L736" s="304">
        <f t="shared" ca="1" si="319"/>
        <v>2212.7813421759292</v>
      </c>
      <c r="M736" s="306">
        <f t="shared" ca="1" si="335"/>
        <v>1.1974950895288201</v>
      </c>
      <c r="N736" s="304">
        <f t="shared" ca="1" si="336"/>
        <v>68.611414617642055</v>
      </c>
      <c r="P736" s="310">
        <f t="shared" ca="1" si="337"/>
        <v>22</v>
      </c>
      <c r="Q736" s="304">
        <f t="shared" ca="1" si="338"/>
        <v>0</v>
      </c>
      <c r="R736" s="306">
        <f t="shared" ca="1" si="339"/>
        <v>0</v>
      </c>
      <c r="S736" s="307">
        <f t="shared" ca="1" si="340"/>
        <v>11.416040186296438</v>
      </c>
      <c r="T736" s="304">
        <f t="shared" ca="1" si="320"/>
        <v>111.99135422756807</v>
      </c>
      <c r="U736" s="311">
        <f t="shared" ca="1" si="321"/>
        <v>0</v>
      </c>
      <c r="V736" s="306">
        <f t="shared" ca="1" si="322"/>
        <v>0.99449532797915252</v>
      </c>
      <c r="W736" s="304">
        <f t="shared" ca="1" si="323"/>
        <v>1223.7696649657657</v>
      </c>
      <c r="Y736" s="314" t="str">
        <f t="shared" ca="1" si="341"/>
        <v/>
      </c>
      <c r="Z736" s="315" t="str">
        <f t="shared" ca="1" si="342"/>
        <v/>
      </c>
      <c r="AA736" s="316" t="str">
        <f t="shared" ca="1" si="343"/>
        <v/>
      </c>
      <c r="AC736" s="310" t="e">
        <f t="shared" ca="1" si="344"/>
        <v>#N/A</v>
      </c>
      <c r="AD736" s="323" t="e">
        <f t="shared" ca="1" si="345"/>
        <v>#N/A</v>
      </c>
      <c r="AE736" s="324">
        <f t="shared" ca="1" si="324"/>
        <v>2077.0908513758536</v>
      </c>
      <c r="AG736" s="306">
        <f t="shared" ca="1" si="346"/>
        <v>-116.9177142843382</v>
      </c>
      <c r="AH736" s="304">
        <f t="shared" ca="1" si="347"/>
        <v>-107.78306934806643</v>
      </c>
    </row>
    <row r="737" spans="1:34" x14ac:dyDescent="0.2">
      <c r="A737" s="347">
        <f t="shared" ca="1" si="325"/>
        <v>0.01</v>
      </c>
      <c r="B737" s="304">
        <f t="shared" ca="1" si="326"/>
        <v>7.3299999999998882</v>
      </c>
      <c r="D737" s="306">
        <f t="shared" ca="1" si="327"/>
        <v>-39.093952903617435</v>
      </c>
      <c r="E737" s="307">
        <f t="shared" ca="1" si="328"/>
        <v>-109.62453994223563</v>
      </c>
      <c r="F737" s="304">
        <f t="shared" ca="1" si="329"/>
        <v>116.38675573782901</v>
      </c>
      <c r="G737" s="306">
        <f t="shared" ca="1" si="330"/>
        <v>169.63316505423467</v>
      </c>
      <c r="H737" s="307">
        <f t="shared" ca="1" si="331"/>
        <v>433.00868688792866</v>
      </c>
      <c r="I737" s="304">
        <f t="shared" ca="1" si="332"/>
        <v>465.05046350554846</v>
      </c>
      <c r="J737" s="306">
        <f t="shared" ca="1" si="333"/>
        <v>764.64970250300246</v>
      </c>
      <c r="K737" s="307">
        <f t="shared" ca="1" si="334"/>
        <v>2081.4264194717302</v>
      </c>
      <c r="L737" s="304">
        <f t="shared" ca="1" si="319"/>
        <v>2217.4366072591201</v>
      </c>
      <c r="M737" s="306">
        <f t="shared" ca="1" si="335"/>
        <v>1.1974181597795552</v>
      </c>
      <c r="N737" s="304">
        <f t="shared" ca="1" si="336"/>
        <v>68.607006867690174</v>
      </c>
      <c r="P737" s="310">
        <f t="shared" ca="1" si="337"/>
        <v>22</v>
      </c>
      <c r="Q737" s="304">
        <f t="shared" ca="1" si="338"/>
        <v>0</v>
      </c>
      <c r="R737" s="306">
        <f t="shared" ca="1" si="339"/>
        <v>0</v>
      </c>
      <c r="S737" s="307">
        <f t="shared" ca="1" si="340"/>
        <v>11.416040186296438</v>
      </c>
      <c r="T737" s="304">
        <f t="shared" ca="1" si="320"/>
        <v>111.99135422756807</v>
      </c>
      <c r="U737" s="311">
        <f t="shared" ca="1" si="321"/>
        <v>0</v>
      </c>
      <c r="V737" s="306">
        <f t="shared" ca="1" si="322"/>
        <v>0.99405954213134884</v>
      </c>
      <c r="W737" s="304">
        <f t="shared" ca="1" si="323"/>
        <v>1217.1365010202771</v>
      </c>
      <c r="Y737" s="314" t="str">
        <f t="shared" ca="1" si="341"/>
        <v/>
      </c>
      <c r="Z737" s="315" t="str">
        <f t="shared" ca="1" si="342"/>
        <v/>
      </c>
      <c r="AA737" s="316" t="str">
        <f t="shared" ca="1" si="343"/>
        <v/>
      </c>
      <c r="AC737" s="310" t="e">
        <f t="shared" ca="1" si="344"/>
        <v>#N/A</v>
      </c>
      <c r="AD737" s="323" t="e">
        <f t="shared" ca="1" si="345"/>
        <v>#N/A</v>
      </c>
      <c r="AE737" s="324">
        <f t="shared" ca="1" si="324"/>
        <v>2081.4264194717302</v>
      </c>
      <c r="AG737" s="306">
        <f t="shared" ca="1" si="346"/>
        <v>-116.33175634885505</v>
      </c>
      <c r="AH737" s="304">
        <f t="shared" ca="1" si="347"/>
        <v>-107.19738587069374</v>
      </c>
    </row>
    <row r="738" spans="1:34" x14ac:dyDescent="0.2">
      <c r="A738" s="347">
        <f t="shared" ca="1" si="325"/>
        <v>0.01</v>
      </c>
      <c r="B738" s="304">
        <f t="shared" ca="1" si="326"/>
        <v>7.3399999999998879</v>
      </c>
      <c r="D738" s="306">
        <f t="shared" ca="1" si="327"/>
        <v>-38.8896900332117</v>
      </c>
      <c r="E738" s="307">
        <f t="shared" ca="1" si="328"/>
        <v>-109.08052654695008</v>
      </c>
      <c r="F738" s="304">
        <f t="shared" ca="1" si="329"/>
        <v>115.80573933376172</v>
      </c>
      <c r="G738" s="306">
        <f t="shared" ca="1" si="330"/>
        <v>169.24426815390254</v>
      </c>
      <c r="H738" s="307">
        <f t="shared" ca="1" si="331"/>
        <v>431.91788162245916</v>
      </c>
      <c r="I738" s="304">
        <f t="shared" ca="1" si="332"/>
        <v>463.89296046413847</v>
      </c>
      <c r="J738" s="306">
        <f t="shared" ca="1" si="333"/>
        <v>766.34408966904311</v>
      </c>
      <c r="K738" s="307">
        <f t="shared" ca="1" si="334"/>
        <v>2085.7510523142823</v>
      </c>
      <c r="L738" s="304">
        <f t="shared" ca="1" si="319"/>
        <v>2222.0802676772973</v>
      </c>
      <c r="M738" s="306">
        <f t="shared" ca="1" si="335"/>
        <v>1.197341022927856</v>
      </c>
      <c r="N738" s="304">
        <f t="shared" ca="1" si="336"/>
        <v>68.602587251642888</v>
      </c>
      <c r="P738" s="310">
        <f t="shared" ca="1" si="337"/>
        <v>22</v>
      </c>
      <c r="Q738" s="304">
        <f t="shared" ca="1" si="338"/>
        <v>0</v>
      </c>
      <c r="R738" s="306">
        <f t="shared" ca="1" si="339"/>
        <v>0</v>
      </c>
      <c r="S738" s="307">
        <f t="shared" ca="1" si="340"/>
        <v>11.416040186296438</v>
      </c>
      <c r="T738" s="304">
        <f t="shared" ca="1" si="320"/>
        <v>111.99135422756807</v>
      </c>
      <c r="U738" s="311">
        <f t="shared" ca="1" si="321"/>
        <v>0</v>
      </c>
      <c r="V738" s="306">
        <f t="shared" ca="1" si="322"/>
        <v>0.99362502587909418</v>
      </c>
      <c r="W738" s="304">
        <f t="shared" ca="1" si="323"/>
        <v>1210.5557943548413</v>
      </c>
      <c r="Y738" s="314" t="str">
        <f t="shared" ca="1" si="341"/>
        <v/>
      </c>
      <c r="Z738" s="315" t="str">
        <f t="shared" ca="1" si="342"/>
        <v/>
      </c>
      <c r="AA738" s="316" t="str">
        <f t="shared" ca="1" si="343"/>
        <v/>
      </c>
      <c r="AC738" s="310" t="e">
        <f t="shared" ca="1" si="344"/>
        <v>#N/A</v>
      </c>
      <c r="AD738" s="323" t="e">
        <f t="shared" ca="1" si="345"/>
        <v>#N/A</v>
      </c>
      <c r="AE738" s="324">
        <f t="shared" ca="1" si="324"/>
        <v>2085.7510523142823</v>
      </c>
      <c r="AG738" s="306">
        <f t="shared" ca="1" si="346"/>
        <v>-115.75044215133501</v>
      </c>
      <c r="AH738" s="304">
        <f t="shared" ca="1" si="347"/>
        <v>-106.61634692573182</v>
      </c>
    </row>
    <row r="739" spans="1:34" x14ac:dyDescent="0.2">
      <c r="A739" s="347">
        <f t="shared" ca="1" si="325"/>
        <v>0.01</v>
      </c>
      <c r="B739" s="304">
        <f t="shared" ca="1" si="326"/>
        <v>7.3499999999998877</v>
      </c>
      <c r="D739" s="306">
        <f t="shared" ca="1" si="327"/>
        <v>-38.687040574328648</v>
      </c>
      <c r="E739" s="307">
        <f t="shared" ca="1" si="328"/>
        <v>-108.54081548564606</v>
      </c>
      <c r="F739" s="304">
        <f t="shared" ca="1" si="329"/>
        <v>115.22931803446905</v>
      </c>
      <c r="G739" s="306">
        <f t="shared" ca="1" si="330"/>
        <v>168.85739774815926</v>
      </c>
      <c r="H739" s="307">
        <f t="shared" ca="1" si="331"/>
        <v>430.83247346760271</v>
      </c>
      <c r="I739" s="304">
        <f t="shared" ca="1" si="332"/>
        <v>462.74122462613235</v>
      </c>
      <c r="J739" s="306">
        <f t="shared" ca="1" si="333"/>
        <v>768.03459799855341</v>
      </c>
      <c r="K739" s="307">
        <f t="shared" ca="1" si="334"/>
        <v>2090.0648040897327</v>
      </c>
      <c r="L739" s="304">
        <f t="shared" ca="1" si="319"/>
        <v>2226.7123812961231</v>
      </c>
      <c r="M739" s="306">
        <f t="shared" ca="1" si="335"/>
        <v>1.1972636788611548</v>
      </c>
      <c r="N739" s="304">
        <f t="shared" ca="1" si="336"/>
        <v>68.598155763050528</v>
      </c>
      <c r="P739" s="310">
        <f t="shared" ca="1" si="337"/>
        <v>22</v>
      </c>
      <c r="Q739" s="304">
        <f t="shared" ca="1" si="338"/>
        <v>0</v>
      </c>
      <c r="R739" s="306">
        <f t="shared" ca="1" si="339"/>
        <v>0</v>
      </c>
      <c r="S739" s="307">
        <f t="shared" ca="1" si="340"/>
        <v>11.416040186296438</v>
      </c>
      <c r="T739" s="304">
        <f t="shared" ca="1" si="320"/>
        <v>111.99135422756807</v>
      </c>
      <c r="U739" s="311">
        <f t="shared" ca="1" si="321"/>
        <v>0</v>
      </c>
      <c r="V739" s="306">
        <f t="shared" ca="1" si="322"/>
        <v>0.99319177239028245</v>
      </c>
      <c r="W739" s="304">
        <f t="shared" ca="1" si="323"/>
        <v>1204.0269876342722</v>
      </c>
      <c r="Y739" s="314" t="str">
        <f t="shared" ca="1" si="341"/>
        <v/>
      </c>
      <c r="Z739" s="315" t="str">
        <f t="shared" ca="1" si="342"/>
        <v/>
      </c>
      <c r="AA739" s="316" t="str">
        <f t="shared" ca="1" si="343"/>
        <v/>
      </c>
      <c r="AC739" s="310" t="e">
        <f t="shared" ca="1" si="344"/>
        <v>#N/A</v>
      </c>
      <c r="AD739" s="323" t="e">
        <f t="shared" ca="1" si="345"/>
        <v>#N/A</v>
      </c>
      <c r="AE739" s="324">
        <f t="shared" ca="1" si="324"/>
        <v>2090.0648040897327</v>
      </c>
      <c r="AG739" s="306">
        <f t="shared" ca="1" si="346"/>
        <v>-115.17372220893478</v>
      </c>
      <c r="AH739" s="304">
        <f t="shared" ca="1" si="347"/>
        <v>-106.03990303117237</v>
      </c>
    </row>
    <row r="740" spans="1:34" x14ac:dyDescent="0.2">
      <c r="A740" s="347">
        <f t="shared" ca="1" si="325"/>
        <v>0.01</v>
      </c>
      <c r="B740" s="304">
        <f t="shared" ca="1" si="326"/>
        <v>7.3599999999998875</v>
      </c>
      <c r="D740" s="306">
        <f t="shared" ca="1" si="327"/>
        <v>-38.485987381589098</v>
      </c>
      <c r="E740" s="307">
        <f t="shared" ca="1" si="328"/>
        <v>-108.00536104768454</v>
      </c>
      <c r="F740" s="304">
        <f t="shared" ca="1" si="329"/>
        <v>114.65744301952896</v>
      </c>
      <c r="G740" s="306">
        <f t="shared" ca="1" si="330"/>
        <v>168.47253787434337</v>
      </c>
      <c r="H740" s="307">
        <f t="shared" ca="1" si="331"/>
        <v>429.75241985712586</v>
      </c>
      <c r="I740" s="304">
        <f t="shared" ca="1" si="332"/>
        <v>461.5952105371951</v>
      </c>
      <c r="J740" s="306">
        <f t="shared" ca="1" si="333"/>
        <v>769.72124767666594</v>
      </c>
      <c r="K740" s="307">
        <f t="shared" ca="1" si="334"/>
        <v>2094.3677285563563</v>
      </c>
      <c r="L740" s="304">
        <f t="shared" ca="1" si="319"/>
        <v>2231.3330055245528</v>
      </c>
      <c r="M740" s="306">
        <f t="shared" ca="1" si="335"/>
        <v>1.1971861274661533</v>
      </c>
      <c r="N740" s="304">
        <f t="shared" ca="1" si="336"/>
        <v>68.593712395421591</v>
      </c>
      <c r="P740" s="310">
        <f t="shared" ca="1" si="337"/>
        <v>22</v>
      </c>
      <c r="Q740" s="304">
        <f t="shared" ca="1" si="338"/>
        <v>0</v>
      </c>
      <c r="R740" s="306">
        <f t="shared" ca="1" si="339"/>
        <v>0</v>
      </c>
      <c r="S740" s="307">
        <f t="shared" ca="1" si="340"/>
        <v>11.416040186296438</v>
      </c>
      <c r="T740" s="304">
        <f t="shared" ca="1" si="320"/>
        <v>111.99135422756807</v>
      </c>
      <c r="U740" s="311">
        <f t="shared" ca="1" si="321"/>
        <v>0</v>
      </c>
      <c r="V740" s="306">
        <f t="shared" ca="1" si="322"/>
        <v>0.9927597748890935</v>
      </c>
      <c r="W740" s="304">
        <f t="shared" ca="1" si="323"/>
        <v>1197.5495309553894</v>
      </c>
      <c r="Y740" s="314" t="str">
        <f t="shared" ca="1" si="341"/>
        <v/>
      </c>
      <c r="Z740" s="315" t="str">
        <f t="shared" ca="1" si="342"/>
        <v/>
      </c>
      <c r="AA740" s="316" t="str">
        <f t="shared" ca="1" si="343"/>
        <v/>
      </c>
      <c r="AC740" s="310" t="e">
        <f t="shared" ca="1" si="344"/>
        <v>#N/A</v>
      </c>
      <c r="AD740" s="323" t="e">
        <f t="shared" ca="1" si="345"/>
        <v>#N/A</v>
      </c>
      <c r="AE740" s="324">
        <f t="shared" ca="1" si="324"/>
        <v>2094.3677285563563</v>
      </c>
      <c r="AG740" s="306">
        <f t="shared" ca="1" si="346"/>
        <v>-114.6015477004558</v>
      </c>
      <c r="AH740" s="304">
        <f t="shared" ca="1" si="347"/>
        <v>-105.4680053666559</v>
      </c>
    </row>
    <row r="741" spans="1:34" x14ac:dyDescent="0.2">
      <c r="A741" s="347">
        <f t="shared" ca="1" si="325"/>
        <v>0.01</v>
      </c>
      <c r="B741" s="304">
        <f t="shared" ca="1" si="326"/>
        <v>7.3699999999998873</v>
      </c>
      <c r="D741" s="306">
        <f t="shared" ca="1" si="327"/>
        <v>-38.286513538244542</v>
      </c>
      <c r="E741" s="307">
        <f t="shared" ca="1" si="328"/>
        <v>-107.47411813197319</v>
      </c>
      <c r="F741" s="304">
        <f t="shared" ca="1" si="329"/>
        <v>114.09006611953343</v>
      </c>
      <c r="G741" s="306">
        <f t="shared" ca="1" si="330"/>
        <v>168.08967273896093</v>
      </c>
      <c r="H741" s="307">
        <f t="shared" ca="1" si="331"/>
        <v>428.67767867580613</v>
      </c>
      <c r="I741" s="304">
        <f t="shared" ca="1" si="332"/>
        <v>460.45487322469364</v>
      </c>
      <c r="J741" s="306">
        <f t="shared" ca="1" si="333"/>
        <v>771.40405872973247</v>
      </c>
      <c r="K741" s="307">
        <f t="shared" ca="1" si="334"/>
        <v>2098.6598790490211</v>
      </c>
      <c r="L741" s="304">
        <f t="shared" ca="1" si="319"/>
        <v>2235.9421973196795</v>
      </c>
      <c r="M741" s="306">
        <f t="shared" ca="1" si="335"/>
        <v>1.1971083686288226</v>
      </c>
      <c r="N741" s="304">
        <f t="shared" ca="1" si="336"/>
        <v>68.589257142222692</v>
      </c>
      <c r="P741" s="310">
        <f t="shared" ca="1" si="337"/>
        <v>22</v>
      </c>
      <c r="Q741" s="304">
        <f t="shared" ca="1" si="338"/>
        <v>0</v>
      </c>
      <c r="R741" s="306">
        <f t="shared" ca="1" si="339"/>
        <v>0</v>
      </c>
      <c r="S741" s="307">
        <f t="shared" ca="1" si="340"/>
        <v>11.416040186296438</v>
      </c>
      <c r="T741" s="304">
        <f t="shared" ca="1" si="320"/>
        <v>111.99135422756807</v>
      </c>
      <c r="U741" s="311">
        <f t="shared" ca="1" si="321"/>
        <v>0</v>
      </c>
      <c r="V741" s="306">
        <f t="shared" ca="1" si="322"/>
        <v>0.99232902665537714</v>
      </c>
      <c r="W741" s="304">
        <f t="shared" ca="1" si="323"/>
        <v>1191.1228817278948</v>
      </c>
      <c r="Y741" s="314" t="str">
        <f t="shared" ca="1" si="341"/>
        <v/>
      </c>
      <c r="Z741" s="315" t="str">
        <f t="shared" ca="1" si="342"/>
        <v/>
      </c>
      <c r="AA741" s="316" t="str">
        <f t="shared" ca="1" si="343"/>
        <v/>
      </c>
      <c r="AC741" s="310" t="e">
        <f t="shared" ca="1" si="344"/>
        <v>#N/A</v>
      </c>
      <c r="AD741" s="323" t="e">
        <f t="shared" ca="1" si="345"/>
        <v>#N/A</v>
      </c>
      <c r="AE741" s="324">
        <f t="shared" ca="1" si="324"/>
        <v>2098.6598790490211</v>
      </c>
      <c r="AG741" s="306">
        <f t="shared" ca="1" si="346"/>
        <v>-114.0338704557097</v>
      </c>
      <c r="AH741" s="304">
        <f t="shared" ca="1" si="347"/>
        <v>-104.90060576283722</v>
      </c>
    </row>
    <row r="742" spans="1:34" x14ac:dyDescent="0.2">
      <c r="A742" s="347">
        <f t="shared" ca="1" si="325"/>
        <v>0.01</v>
      </c>
      <c r="B742" s="304">
        <f t="shared" ca="1" si="326"/>
        <v>7.3799999999998871</v>
      </c>
      <c r="D742" s="306">
        <f t="shared" ca="1" si="327"/>
        <v>-38.088602352512609</v>
      </c>
      <c r="E742" s="307">
        <f t="shared" ca="1" si="328"/>
        <v>-106.94704223719633</v>
      </c>
      <c r="F742" s="304">
        <f t="shared" ca="1" si="329"/>
        <v>113.52713980565389</v>
      </c>
      <c r="G742" s="306">
        <f t="shared" ca="1" si="330"/>
        <v>167.70878671543579</v>
      </c>
      <c r="H742" s="307">
        <f t="shared" ca="1" si="331"/>
        <v>427.60820825343416</v>
      </c>
      <c r="I742" s="304">
        <f t="shared" ca="1" si="332"/>
        <v>459.32016819129097</v>
      </c>
      <c r="J742" s="306">
        <f t="shared" ca="1" si="333"/>
        <v>773.08305102700444</v>
      </c>
      <c r="K742" s="307">
        <f t="shared" ca="1" si="334"/>
        <v>2102.9413084836674</v>
      </c>
      <c r="L742" s="304">
        <f t="shared" ca="1" si="319"/>
        <v>2240.5400131915121</v>
      </c>
      <c r="M742" s="306">
        <f t="shared" ca="1" si="335"/>
        <v>1.197030402234404</v>
      </c>
      <c r="N742" s="304">
        <f t="shared" ca="1" si="336"/>
        <v>68.584789996878655</v>
      </c>
      <c r="P742" s="310">
        <f t="shared" ca="1" si="337"/>
        <v>22</v>
      </c>
      <c r="Q742" s="304">
        <f t="shared" ca="1" si="338"/>
        <v>0</v>
      </c>
      <c r="R742" s="306">
        <f t="shared" ca="1" si="339"/>
        <v>0</v>
      </c>
      <c r="S742" s="307">
        <f t="shared" ca="1" si="340"/>
        <v>11.416040186296438</v>
      </c>
      <c r="T742" s="304">
        <f t="shared" ca="1" si="320"/>
        <v>111.99135422756807</v>
      </c>
      <c r="U742" s="311">
        <f t="shared" ca="1" si="321"/>
        <v>0</v>
      </c>
      <c r="V742" s="306">
        <f t="shared" ca="1" si="322"/>
        <v>0.99189952102404411</v>
      </c>
      <c r="W742" s="304">
        <f t="shared" ca="1" si="323"/>
        <v>1184.7465045574754</v>
      </c>
      <c r="Y742" s="314" t="str">
        <f t="shared" ca="1" si="341"/>
        <v/>
      </c>
      <c r="Z742" s="315" t="str">
        <f t="shared" ca="1" si="342"/>
        <v/>
      </c>
      <c r="AA742" s="316" t="str">
        <f t="shared" ca="1" si="343"/>
        <v/>
      </c>
      <c r="AC742" s="310" t="e">
        <f t="shared" ca="1" si="344"/>
        <v>#N/A</v>
      </c>
      <c r="AD742" s="323" t="e">
        <f t="shared" ca="1" si="345"/>
        <v>#N/A</v>
      </c>
      <c r="AE742" s="324">
        <f t="shared" ca="1" si="324"/>
        <v>2102.9413084836674</v>
      </c>
      <c r="AG742" s="306">
        <f t="shared" ca="1" si="346"/>
        <v>-113.47064294508367</v>
      </c>
      <c r="AH742" s="304">
        <f t="shared" ca="1" si="347"/>
        <v>-104.33765669095071</v>
      </c>
    </row>
    <row r="743" spans="1:34" x14ac:dyDescent="0.2">
      <c r="A743" s="347">
        <f t="shared" ca="1" si="325"/>
        <v>0.01</v>
      </c>
      <c r="B743" s="304">
        <f t="shared" ca="1" si="326"/>
        <v>7.3899999999998869</v>
      </c>
      <c r="D743" s="306">
        <f t="shared" ca="1" si="327"/>
        <v>-37.89223735398096</v>
      </c>
      <c r="E743" s="307">
        <f t="shared" ca="1" si="328"/>
        <v>-106.42408945222743</v>
      </c>
      <c r="F743" s="304">
        <f t="shared" ca="1" si="329"/>
        <v>112.96861717940136</v>
      </c>
      <c r="G743" s="306">
        <f t="shared" ca="1" si="330"/>
        <v>167.32986434189598</v>
      </c>
      <c r="H743" s="307">
        <f t="shared" ca="1" si="331"/>
        <v>426.54396735891186</v>
      </c>
      <c r="I743" s="304">
        <f t="shared" ca="1" si="332"/>
        <v>458.19105140864303</v>
      </c>
      <c r="J743" s="306">
        <f t="shared" ca="1" si="333"/>
        <v>774.75824428229112</v>
      </c>
      <c r="K743" s="307">
        <f t="shared" ca="1" si="334"/>
        <v>2107.2120693617289</v>
      </c>
      <c r="L743" s="304">
        <f t="shared" ca="1" si="319"/>
        <v>2245.1265092076924</v>
      </c>
      <c r="M743" s="306">
        <f t="shared" ca="1" si="335"/>
        <v>1.1969522281674096</v>
      </c>
      <c r="N743" s="304">
        <f t="shared" ca="1" si="336"/>
        <v>68.580310952772507</v>
      </c>
      <c r="P743" s="310">
        <f t="shared" ca="1" si="337"/>
        <v>22</v>
      </c>
      <c r="Q743" s="304">
        <f t="shared" ca="1" si="338"/>
        <v>0</v>
      </c>
      <c r="R743" s="306">
        <f t="shared" ca="1" si="339"/>
        <v>0</v>
      </c>
      <c r="S743" s="307">
        <f t="shared" ca="1" si="340"/>
        <v>11.416040186296438</v>
      </c>
      <c r="T743" s="304">
        <f t="shared" ca="1" si="320"/>
        <v>111.99135422756807</v>
      </c>
      <c r="U743" s="311">
        <f t="shared" ca="1" si="321"/>
        <v>0</v>
      </c>
      <c r="V743" s="306">
        <f t="shared" ca="1" si="322"/>
        <v>0.99147125138446779</v>
      </c>
      <c r="W743" s="304">
        <f t="shared" ca="1" si="323"/>
        <v>1178.4198711310914</v>
      </c>
      <c r="Y743" s="314" t="str">
        <f t="shared" ca="1" si="341"/>
        <v/>
      </c>
      <c r="Z743" s="315" t="str">
        <f t="shared" ca="1" si="342"/>
        <v/>
      </c>
      <c r="AA743" s="316" t="str">
        <f t="shared" ca="1" si="343"/>
        <v/>
      </c>
      <c r="AC743" s="310" t="e">
        <f t="shared" ca="1" si="344"/>
        <v>#N/A</v>
      </c>
      <c r="AD743" s="323" t="e">
        <f t="shared" ca="1" si="345"/>
        <v>#N/A</v>
      </c>
      <c r="AE743" s="324">
        <f t="shared" ca="1" si="324"/>
        <v>2107.2120693617289</v>
      </c>
      <c r="AG743" s="306">
        <f t="shared" ca="1" si="346"/>
        <v>-112.91181826930061</v>
      </c>
      <c r="AH743" s="304">
        <f t="shared" ca="1" si="347"/>
        <v>-103.77911125257064</v>
      </c>
    </row>
    <row r="744" spans="1:34" x14ac:dyDescent="0.2">
      <c r="A744" s="347">
        <f t="shared" ca="1" si="325"/>
        <v>0.01</v>
      </c>
      <c r="B744" s="304">
        <f t="shared" ca="1" si="326"/>
        <v>7.3999999999998867</v>
      </c>
      <c r="D744" s="306">
        <f t="shared" ca="1" si="327"/>
        <v>-37.697402290078337</v>
      </c>
      <c r="E744" s="307">
        <f t="shared" ca="1" si="328"/>
        <v>-105.90521644672091</v>
      </c>
      <c r="F744" s="304">
        <f t="shared" ca="1" si="329"/>
        <v>112.41445196257824</v>
      </c>
      <c r="G744" s="306">
        <f t="shared" ca="1" si="330"/>
        <v>166.9528903189952</v>
      </c>
      <c r="H744" s="307">
        <f t="shared" ca="1" si="331"/>
        <v>425.48491519444462</v>
      </c>
      <c r="I744" s="304">
        <f t="shared" ca="1" si="332"/>
        <v>457.06747931119554</v>
      </c>
      <c r="J744" s="306">
        <f t="shared" ca="1" si="333"/>
        <v>776.42965805559561</v>
      </c>
      <c r="K744" s="307">
        <f t="shared" ca="1" si="334"/>
        <v>2111.4722137744957</v>
      </c>
      <c r="L744" s="304">
        <f t="shared" ca="1" si="319"/>
        <v>2249.7017409981481</v>
      </c>
      <c r="M744" s="306">
        <f t="shared" ca="1" si="335"/>
        <v>1.1968738463116226</v>
      </c>
      <c r="N744" s="304">
        <f t="shared" ca="1" si="336"/>
        <v>68.575820003245511</v>
      </c>
      <c r="P744" s="310">
        <f t="shared" ca="1" si="337"/>
        <v>22</v>
      </c>
      <c r="Q744" s="304">
        <f t="shared" ca="1" si="338"/>
        <v>0</v>
      </c>
      <c r="R744" s="306">
        <f t="shared" ca="1" si="339"/>
        <v>0</v>
      </c>
      <c r="S744" s="307">
        <f t="shared" ca="1" si="340"/>
        <v>11.416040186296438</v>
      </c>
      <c r="T744" s="304">
        <f t="shared" ca="1" si="320"/>
        <v>111.99135422756807</v>
      </c>
      <c r="U744" s="311">
        <f t="shared" ca="1" si="321"/>
        <v>0</v>
      </c>
      <c r="V744" s="306">
        <f t="shared" ca="1" si="322"/>
        <v>0.99104421117989172</v>
      </c>
      <c r="W744" s="304">
        <f t="shared" ca="1" si="323"/>
        <v>1172.1424601043936</v>
      </c>
      <c r="Y744" s="314" t="str">
        <f t="shared" ca="1" si="341"/>
        <v/>
      </c>
      <c r="Z744" s="315" t="str">
        <f t="shared" ca="1" si="342"/>
        <v/>
      </c>
      <c r="AA744" s="316" t="str">
        <f t="shared" ca="1" si="343"/>
        <v/>
      </c>
      <c r="AC744" s="310" t="e">
        <f t="shared" ca="1" si="344"/>
        <v>#N/A</v>
      </c>
      <c r="AD744" s="323" t="e">
        <f t="shared" ca="1" si="345"/>
        <v>#N/A</v>
      </c>
      <c r="AE744" s="324">
        <f t="shared" ca="1" si="324"/>
        <v>2111.4722137744957</v>
      </c>
      <c r="AG744" s="306">
        <f t="shared" ca="1" si="346"/>
        <v>-112.3573501493709</v>
      </c>
      <c r="AH744" s="304">
        <f t="shared" ca="1" si="347"/>
        <v>-103.22492316956281</v>
      </c>
    </row>
    <row r="745" spans="1:34" x14ac:dyDescent="0.2">
      <c r="A745" s="347">
        <f t="shared" ca="1" si="325"/>
        <v>0.01</v>
      </c>
      <c r="B745" s="304">
        <f t="shared" ca="1" si="326"/>
        <v>7.4099999999998865</v>
      </c>
      <c r="D745" s="306">
        <f t="shared" ca="1" si="327"/>
        <v>-37.504081122611247</v>
      </c>
      <c r="E745" s="307">
        <f t="shared" ca="1" si="328"/>
        <v>-105.39038046187841</v>
      </c>
      <c r="F745" s="304">
        <f t="shared" ca="1" si="329"/>
        <v>111.86459848741642</v>
      </c>
      <c r="G745" s="306">
        <f t="shared" ca="1" si="330"/>
        <v>166.57784950776909</v>
      </c>
      <c r="H745" s="307">
        <f t="shared" ca="1" si="331"/>
        <v>424.43101138982581</v>
      </c>
      <c r="I745" s="304">
        <f t="shared" ca="1" si="332"/>
        <v>455.94940879007993</v>
      </c>
      <c r="J745" s="306">
        <f t="shared" ca="1" si="333"/>
        <v>778.09731175472939</v>
      </c>
      <c r="K745" s="307">
        <f t="shared" ca="1" si="334"/>
        <v>2115.721793407417</v>
      </c>
      <c r="L745" s="304">
        <f t="shared" ca="1" si="319"/>
        <v>2254.2657637596844</v>
      </c>
      <c r="M745" s="306">
        <f t="shared" ca="1" si="335"/>
        <v>1.1967952565500979</v>
      </c>
      <c r="N745" s="304">
        <f t="shared" ca="1" si="336"/>
        <v>68.571317141597206</v>
      </c>
      <c r="P745" s="310">
        <f t="shared" ca="1" si="337"/>
        <v>22</v>
      </c>
      <c r="Q745" s="304">
        <f t="shared" ca="1" si="338"/>
        <v>0</v>
      </c>
      <c r="R745" s="306">
        <f t="shared" ca="1" si="339"/>
        <v>0</v>
      </c>
      <c r="S745" s="307">
        <f t="shared" ca="1" si="340"/>
        <v>11.416040186296438</v>
      </c>
      <c r="T745" s="304">
        <f t="shared" ca="1" si="320"/>
        <v>111.99135422756807</v>
      </c>
      <c r="U745" s="311">
        <f t="shared" ca="1" si="321"/>
        <v>0</v>
      </c>
      <c r="V745" s="306">
        <f t="shared" ca="1" si="322"/>
        <v>0.99061839390684714</v>
      </c>
      <c r="W745" s="304">
        <f t="shared" ca="1" si="323"/>
        <v>1165.9137569912343</v>
      </c>
      <c r="Y745" s="314" t="str">
        <f t="shared" ca="1" si="341"/>
        <v/>
      </c>
      <c r="Z745" s="315" t="str">
        <f t="shared" ca="1" si="342"/>
        <v/>
      </c>
      <c r="AA745" s="316" t="str">
        <f t="shared" ca="1" si="343"/>
        <v/>
      </c>
      <c r="AC745" s="310" t="e">
        <f t="shared" ca="1" si="344"/>
        <v>#N/A</v>
      </c>
      <c r="AD745" s="323" t="e">
        <f t="shared" ca="1" si="345"/>
        <v>#N/A</v>
      </c>
      <c r="AE745" s="324">
        <f t="shared" ca="1" si="324"/>
        <v>2115.721793407417</v>
      </c>
      <c r="AG745" s="306">
        <f t="shared" ca="1" si="346"/>
        <v>-111.80719291673057</v>
      </c>
      <c r="AH745" s="304">
        <f t="shared" ca="1" si="347"/>
        <v>-102.67504677422276</v>
      </c>
    </row>
    <row r="746" spans="1:34" x14ac:dyDescent="0.2">
      <c r="A746" s="347">
        <f t="shared" ca="1" si="325"/>
        <v>0.01</v>
      </c>
      <c r="B746" s="304">
        <f t="shared" ca="1" si="326"/>
        <v>7.4199999999998862</v>
      </c>
      <c r="D746" s="306">
        <f t="shared" ca="1" si="327"/>
        <v>-37.312258024364958</v>
      </c>
      <c r="E746" s="307">
        <f t="shared" ca="1" si="328"/>
        <v>-104.8795393013869</v>
      </c>
      <c r="F746" s="304">
        <f t="shared" ca="1" si="329"/>
        <v>111.31901168689896</v>
      </c>
      <c r="G746" s="306">
        <f t="shared" ca="1" si="330"/>
        <v>166.20472692752543</v>
      </c>
      <c r="H746" s="307">
        <f t="shared" ca="1" si="331"/>
        <v>423.38221599681196</v>
      </c>
      <c r="I746" s="304">
        <f t="shared" ca="1" si="332"/>
        <v>454.83679718710579</v>
      </c>
      <c r="J746" s="306">
        <f t="shared" ca="1" si="333"/>
        <v>779.76122463690581</v>
      </c>
      <c r="K746" s="307">
        <f t="shared" ca="1" si="334"/>
        <v>2119.9608595443501</v>
      </c>
      <c r="L746" s="304">
        <f t="shared" ca="1" si="319"/>
        <v>2258.8186322605156</v>
      </c>
      <c r="M746" s="306">
        <f t="shared" ca="1" si="335"/>
        <v>1.1967164587651622</v>
      </c>
      <c r="N746" s="304">
        <f t="shared" ca="1" si="336"/>
        <v>68.566802361085408</v>
      </c>
      <c r="P746" s="310">
        <f t="shared" ca="1" si="337"/>
        <v>22</v>
      </c>
      <c r="Q746" s="304">
        <f t="shared" ca="1" si="338"/>
        <v>0</v>
      </c>
      <c r="R746" s="306">
        <f t="shared" ca="1" si="339"/>
        <v>0</v>
      </c>
      <c r="S746" s="307">
        <f t="shared" ca="1" si="340"/>
        <v>11.416040186296438</v>
      </c>
      <c r="T746" s="304">
        <f t="shared" ca="1" si="320"/>
        <v>111.99135422756807</v>
      </c>
      <c r="U746" s="311">
        <f t="shared" ca="1" si="321"/>
        <v>0</v>
      </c>
      <c r="V746" s="306">
        <f t="shared" ca="1" si="322"/>
        <v>0.99019379311457589</v>
      </c>
      <c r="W746" s="304">
        <f t="shared" ca="1" si="323"/>
        <v>1159.7332540552193</v>
      </c>
      <c r="Y746" s="314" t="str">
        <f t="shared" ca="1" si="341"/>
        <v/>
      </c>
      <c r="Z746" s="315" t="str">
        <f t="shared" ca="1" si="342"/>
        <v/>
      </c>
      <c r="AA746" s="316" t="str">
        <f t="shared" ca="1" si="343"/>
        <v/>
      </c>
      <c r="AC746" s="310" t="e">
        <f t="shared" ca="1" si="344"/>
        <v>#N/A</v>
      </c>
      <c r="AD746" s="323" t="e">
        <f t="shared" ca="1" si="345"/>
        <v>#N/A</v>
      </c>
      <c r="AE746" s="324">
        <f t="shared" ca="1" si="324"/>
        <v>2119.9608595443501</v>
      </c>
      <c r="AG746" s="306">
        <f t="shared" ca="1" si="346"/>
        <v>-111.26130150356292</v>
      </c>
      <c r="AH746" s="304">
        <f t="shared" ca="1" si="347"/>
        <v>-102.1294369995974</v>
      </c>
    </row>
    <row r="747" spans="1:34" x14ac:dyDescent="0.2">
      <c r="A747" s="347">
        <f t="shared" ca="1" si="325"/>
        <v>0.01</v>
      </c>
      <c r="B747" s="304">
        <f t="shared" ca="1" si="326"/>
        <v>7.429999999999886</v>
      </c>
      <c r="D747" s="306">
        <f t="shared" ca="1" si="327"/>
        <v>-37.121917375767325</v>
      </c>
      <c r="E747" s="307">
        <f t="shared" ca="1" si="328"/>
        <v>-104.37265132252418</v>
      </c>
      <c r="F747" s="304">
        <f t="shared" ca="1" si="329"/>
        <v>110.77764708526041</v>
      </c>
      <c r="G747" s="306">
        <f t="shared" ca="1" si="330"/>
        <v>165.83350775376775</v>
      </c>
      <c r="H747" s="307">
        <f t="shared" ca="1" si="331"/>
        <v>422.33848948358673</v>
      </c>
      <c r="I747" s="304">
        <f t="shared" ca="1" si="332"/>
        <v>453.72960228884853</v>
      </c>
      <c r="J747" s="306">
        <f t="shared" ca="1" si="333"/>
        <v>781.42141581031228</v>
      </c>
      <c r="K747" s="307">
        <f t="shared" ca="1" si="334"/>
        <v>2124.189463071752</v>
      </c>
      <c r="L747" s="304">
        <f t="shared" ca="1" si="319"/>
        <v>2263.3604008447373</v>
      </c>
      <c r="M747" s="306">
        <f t="shared" ca="1" si="335"/>
        <v>1.1966374528384149</v>
      </c>
      <c r="N747" s="304">
        <f t="shared" ca="1" si="336"/>
        <v>68.562275654926268</v>
      </c>
      <c r="P747" s="310">
        <f t="shared" ca="1" si="337"/>
        <v>22</v>
      </c>
      <c r="Q747" s="304">
        <f t="shared" ca="1" si="338"/>
        <v>0</v>
      </c>
      <c r="R747" s="306">
        <f t="shared" ca="1" si="339"/>
        <v>0</v>
      </c>
      <c r="S747" s="307">
        <f t="shared" ca="1" si="340"/>
        <v>11.416040186296438</v>
      </c>
      <c r="T747" s="304">
        <f t="shared" ca="1" si="320"/>
        <v>111.99135422756807</v>
      </c>
      <c r="U747" s="311">
        <f t="shared" ca="1" si="321"/>
        <v>0</v>
      </c>
      <c r="V747" s="306">
        <f t="shared" ca="1" si="322"/>
        <v>0.9897704024044629</v>
      </c>
      <c r="W747" s="304">
        <f t="shared" ca="1" si="323"/>
        <v>1153.600450203264</v>
      </c>
      <c r="Y747" s="314" t="str">
        <f t="shared" ca="1" si="341"/>
        <v/>
      </c>
      <c r="Z747" s="315" t="str">
        <f t="shared" ca="1" si="342"/>
        <v/>
      </c>
      <c r="AA747" s="316" t="str">
        <f t="shared" ca="1" si="343"/>
        <v/>
      </c>
      <c r="AC747" s="310" t="e">
        <f t="shared" ca="1" si="344"/>
        <v>#N/A</v>
      </c>
      <c r="AD747" s="323" t="e">
        <f t="shared" ca="1" si="345"/>
        <v>#N/A</v>
      </c>
      <c r="AE747" s="324">
        <f t="shared" ca="1" si="324"/>
        <v>2124.189463071752</v>
      </c>
      <c r="AG747" s="306">
        <f t="shared" ca="1" si="346"/>
        <v>-110.71963143329882</v>
      </c>
      <c r="AH747" s="304">
        <f t="shared" ca="1" si="347"/>
        <v>-101.58804936998534</v>
      </c>
    </row>
    <row r="748" spans="1:34" x14ac:dyDescent="0.2">
      <c r="A748" s="347">
        <f t="shared" ca="1" si="325"/>
        <v>0.01</v>
      </c>
      <c r="B748" s="304">
        <f t="shared" ca="1" si="326"/>
        <v>7.4399999999998858</v>
      </c>
      <c r="D748" s="306">
        <f t="shared" ca="1" si="327"/>
        <v>-36.933043761614272</v>
      </c>
      <c r="E748" s="307">
        <f t="shared" ca="1" si="328"/>
        <v>-103.86967542742872</v>
      </c>
      <c r="F748" s="304">
        <f t="shared" ca="1" si="329"/>
        <v>110.24046078866282</v>
      </c>
      <c r="G748" s="306">
        <f t="shared" ca="1" si="330"/>
        <v>165.46417731615159</v>
      </c>
      <c r="H748" s="307">
        <f t="shared" ca="1" si="331"/>
        <v>421.29979272931246</v>
      </c>
      <c r="I748" s="304">
        <f t="shared" ca="1" si="332"/>
        <v>452.62778232082985</v>
      </c>
      <c r="J748" s="306">
        <f t="shared" ca="1" si="333"/>
        <v>783.07790423566189</v>
      </c>
      <c r="K748" s="307">
        <f t="shared" ca="1" si="334"/>
        <v>2128.4076544828167</v>
      </c>
      <c r="L748" s="304">
        <f t="shared" ca="1" si="319"/>
        <v>2267.8911234367406</v>
      </c>
      <c r="M748" s="306">
        <f t="shared" ca="1" si="335"/>
        <v>1.1965582386507287</v>
      </c>
      <c r="N748" s="304">
        <f t="shared" ca="1" si="336"/>
        <v>68.557737016294297</v>
      </c>
      <c r="P748" s="310">
        <f t="shared" ca="1" si="337"/>
        <v>22</v>
      </c>
      <c r="Q748" s="304">
        <f t="shared" ca="1" si="338"/>
        <v>0</v>
      </c>
      <c r="R748" s="306">
        <f t="shared" ca="1" si="339"/>
        <v>0</v>
      </c>
      <c r="S748" s="307">
        <f t="shared" ca="1" si="340"/>
        <v>11.416040186296438</v>
      </c>
      <c r="T748" s="304">
        <f t="shared" ca="1" si="320"/>
        <v>111.99135422756807</v>
      </c>
      <c r="U748" s="311">
        <f t="shared" ca="1" si="321"/>
        <v>0</v>
      </c>
      <c r="V748" s="306">
        <f t="shared" ca="1" si="322"/>
        <v>0.98934821542947693</v>
      </c>
      <c r="W748" s="304">
        <f t="shared" ca="1" si="323"/>
        <v>1147.5148508811073</v>
      </c>
      <c r="Y748" s="314" t="str">
        <f t="shared" ca="1" si="341"/>
        <v/>
      </c>
      <c r="Z748" s="315" t="str">
        <f t="shared" ca="1" si="342"/>
        <v/>
      </c>
      <c r="AA748" s="316" t="str">
        <f t="shared" ca="1" si="343"/>
        <v/>
      </c>
      <c r="AC748" s="310" t="e">
        <f t="shared" ca="1" si="344"/>
        <v>#N/A</v>
      </c>
      <c r="AD748" s="323" t="e">
        <f t="shared" ca="1" si="345"/>
        <v>#N/A</v>
      </c>
      <c r="AE748" s="324">
        <f t="shared" ca="1" si="324"/>
        <v>2128.4076544828167</v>
      </c>
      <c r="AG748" s="306">
        <f t="shared" ca="1" si="346"/>
        <v>-110.18213881129277</v>
      </c>
      <c r="AH748" s="304">
        <f t="shared" ca="1" si="347"/>
        <v>-101.05083999161289</v>
      </c>
    </row>
    <row r="749" spans="1:34" x14ac:dyDescent="0.2">
      <c r="A749" s="347">
        <f t="shared" ca="1" si="325"/>
        <v>0.01</v>
      </c>
      <c r="B749" s="304">
        <f t="shared" ca="1" si="326"/>
        <v>7.4499999999998856</v>
      </c>
      <c r="D749" s="306">
        <f t="shared" ca="1" si="327"/>
        <v>-36.745621967855406</v>
      </c>
      <c r="E749" s="307">
        <f t="shared" ca="1" si="328"/>
        <v>-103.37057105453003</v>
      </c>
      <c r="F749" s="304">
        <f t="shared" ca="1" si="329"/>
        <v>109.70740947604304</v>
      </c>
      <c r="G749" s="306">
        <f t="shared" ca="1" si="330"/>
        <v>165.09672109647303</v>
      </c>
      <c r="H749" s="307">
        <f t="shared" ca="1" si="331"/>
        <v>420.26608701876717</v>
      </c>
      <c r="I749" s="304">
        <f t="shared" ca="1" si="332"/>
        <v>451.53129594179029</v>
      </c>
      <c r="J749" s="306">
        <f t="shared" ca="1" si="333"/>
        <v>784.73070872772496</v>
      </c>
      <c r="K749" s="307">
        <f t="shared" ca="1" si="334"/>
        <v>2132.6154838815573</v>
      </c>
      <c r="L749" s="304">
        <f t="shared" ca="1" si="319"/>
        <v>2272.4108535455657</v>
      </c>
      <c r="M749" s="306">
        <f t="shared" ca="1" si="335"/>
        <v>1.1964788160822488</v>
      </c>
      <c r="N749" s="304">
        <f t="shared" ca="1" si="336"/>
        <v>68.5531864383223</v>
      </c>
      <c r="P749" s="310">
        <f t="shared" ca="1" si="337"/>
        <v>22</v>
      </c>
      <c r="Q749" s="304">
        <f t="shared" ca="1" si="338"/>
        <v>0</v>
      </c>
      <c r="R749" s="306">
        <f t="shared" ca="1" si="339"/>
        <v>0</v>
      </c>
      <c r="S749" s="307">
        <f t="shared" ca="1" si="340"/>
        <v>11.416040186296438</v>
      </c>
      <c r="T749" s="304">
        <f t="shared" ca="1" si="320"/>
        <v>111.99135422756807</v>
      </c>
      <c r="U749" s="311">
        <f t="shared" ca="1" si="321"/>
        <v>0</v>
      </c>
      <c r="V749" s="306">
        <f t="shared" ca="1" si="322"/>
        <v>0.98892722589361681</v>
      </c>
      <c r="W749" s="304">
        <f t="shared" ca="1" si="323"/>
        <v>1141.4759679707447</v>
      </c>
      <c r="Y749" s="314" t="str">
        <f t="shared" ca="1" si="341"/>
        <v/>
      </c>
      <c r="Z749" s="315" t="str">
        <f t="shared" ca="1" si="342"/>
        <v/>
      </c>
      <c r="AA749" s="316" t="str">
        <f t="shared" ca="1" si="343"/>
        <v/>
      </c>
      <c r="AC749" s="310" t="e">
        <f t="shared" ca="1" si="344"/>
        <v>#N/A</v>
      </c>
      <c r="AD749" s="323" t="e">
        <f t="shared" ca="1" si="345"/>
        <v>#N/A</v>
      </c>
      <c r="AE749" s="324">
        <f t="shared" ca="1" si="324"/>
        <v>2132.6154838815573</v>
      </c>
      <c r="AG749" s="306">
        <f t="shared" ca="1" si="346"/>
        <v>-109.64878031567022</v>
      </c>
      <c r="AH749" s="304">
        <f t="shared" ca="1" si="347"/>
        <v>-100.51776554348142</v>
      </c>
    </row>
    <row r="750" spans="1:34" x14ac:dyDescent="0.2">
      <c r="A750" s="347">
        <f t="shared" ca="1" si="325"/>
        <v>0.01</v>
      </c>
      <c r="B750" s="304">
        <f t="shared" ca="1" si="326"/>
        <v>7.4599999999998854</v>
      </c>
      <c r="D750" s="306">
        <f t="shared" ca="1" si="327"/>
        <v>-36.559636978438888</v>
      </c>
      <c r="E750" s="307">
        <f t="shared" ca="1" si="328"/>
        <v>-102.87529817013655</v>
      </c>
      <c r="F750" s="304">
        <f t="shared" ca="1" si="329"/>
        <v>109.17845039012843</v>
      </c>
      <c r="G750" s="306">
        <f t="shared" ca="1" si="330"/>
        <v>164.73112472668865</v>
      </c>
      <c r="H750" s="307">
        <f t="shared" ca="1" si="331"/>
        <v>419.23733403706581</v>
      </c>
      <c r="I750" s="304">
        <f t="shared" ca="1" si="332"/>
        <v>450.44010223805134</v>
      </c>
      <c r="J750" s="306">
        <f t="shared" ca="1" si="333"/>
        <v>786.37984795684076</v>
      </c>
      <c r="K750" s="307">
        <f t="shared" ca="1" si="334"/>
        <v>2136.8130009868364</v>
      </c>
      <c r="L750" s="304">
        <f t="shared" ca="1" si="319"/>
        <v>2276.9196442692028</v>
      </c>
      <c r="M750" s="306">
        <f t="shared" ca="1" si="335"/>
        <v>1.196399185012395</v>
      </c>
      <c r="N750" s="304">
        <f t="shared" ca="1" si="336"/>
        <v>68.548623914101569</v>
      </c>
      <c r="P750" s="310">
        <f t="shared" ca="1" si="337"/>
        <v>22</v>
      </c>
      <c r="Q750" s="304">
        <f t="shared" ca="1" si="338"/>
        <v>0</v>
      </c>
      <c r="R750" s="306">
        <f t="shared" ca="1" si="339"/>
        <v>0</v>
      </c>
      <c r="S750" s="307">
        <f t="shared" ca="1" si="340"/>
        <v>11.416040186296438</v>
      </c>
      <c r="T750" s="304">
        <f t="shared" ca="1" si="320"/>
        <v>111.99135422756807</v>
      </c>
      <c r="U750" s="311">
        <f t="shared" ca="1" si="321"/>
        <v>0</v>
      </c>
      <c r="V750" s="306">
        <f t="shared" ca="1" si="322"/>
        <v>0.98850742755136578</v>
      </c>
      <c r="W750" s="304">
        <f t="shared" ca="1" si="323"/>
        <v>1135.4833196897382</v>
      </c>
      <c r="Y750" s="314" t="str">
        <f t="shared" ca="1" si="341"/>
        <v/>
      </c>
      <c r="Z750" s="315" t="str">
        <f t="shared" ca="1" si="342"/>
        <v/>
      </c>
      <c r="AA750" s="316" t="str">
        <f t="shared" ca="1" si="343"/>
        <v/>
      </c>
      <c r="AC750" s="310" t="e">
        <f t="shared" ca="1" si="344"/>
        <v>#N/A</v>
      </c>
      <c r="AD750" s="323" t="e">
        <f t="shared" ca="1" si="345"/>
        <v>#N/A</v>
      </c>
      <c r="AE750" s="324">
        <f t="shared" ca="1" si="324"/>
        <v>2136.8130009868364</v>
      </c>
      <c r="AG750" s="306">
        <f t="shared" ca="1" si="346"/>
        <v>-109.11951318834315</v>
      </c>
      <c r="AH750" s="304">
        <f t="shared" ca="1" si="347"/>
        <v>-99.988783268382946</v>
      </c>
    </row>
    <row r="751" spans="1:34" x14ac:dyDescent="0.2">
      <c r="A751" s="347">
        <f t="shared" ca="1" si="325"/>
        <v>0.01</v>
      </c>
      <c r="B751" s="304">
        <f t="shared" ca="1" si="326"/>
        <v>7.4699999999998852</v>
      </c>
      <c r="D751" s="306">
        <f t="shared" ca="1" si="327"/>
        <v>-36.375073972213777</v>
      </c>
      <c r="E751" s="307">
        <f t="shared" ca="1" si="328"/>
        <v>-102.38381726017738</v>
      </c>
      <c r="F751" s="304">
        <f t="shared" ca="1" si="329"/>
        <v>108.65354132861671</v>
      </c>
      <c r="G751" s="306">
        <f t="shared" ca="1" si="330"/>
        <v>164.3673739869665</v>
      </c>
      <c r="H751" s="307">
        <f t="shared" ca="1" si="331"/>
        <v>418.21349586446405</v>
      </c>
      <c r="I751" s="304">
        <f t="shared" ca="1" si="332"/>
        <v>449.35416071796578</v>
      </c>
      <c r="J751" s="306">
        <f t="shared" ca="1" si="333"/>
        <v>788.02534045040909</v>
      </c>
      <c r="K751" s="307">
        <f t="shared" ca="1" si="334"/>
        <v>2141.0002551363441</v>
      </c>
      <c r="L751" s="304">
        <f t="shared" ca="1" si="319"/>
        <v>2281.4175482988362</v>
      </c>
      <c r="M751" s="306">
        <f t="shared" ca="1" si="335"/>
        <v>1.1963193453198608</v>
      </c>
      <c r="N751" s="304">
        <f t="shared" ca="1" si="336"/>
        <v>68.544049436681746</v>
      </c>
      <c r="P751" s="310">
        <f t="shared" ca="1" si="337"/>
        <v>22</v>
      </c>
      <c r="Q751" s="304">
        <f t="shared" ca="1" si="338"/>
        <v>0</v>
      </c>
      <c r="R751" s="306">
        <f t="shared" ca="1" si="339"/>
        <v>0</v>
      </c>
      <c r="S751" s="307">
        <f t="shared" ca="1" si="340"/>
        <v>11.416040186296438</v>
      </c>
      <c r="T751" s="304">
        <f t="shared" ca="1" si="320"/>
        <v>111.99135422756807</v>
      </c>
      <c r="U751" s="311">
        <f t="shared" ca="1" si="321"/>
        <v>0</v>
      </c>
      <c r="V751" s="306">
        <f t="shared" ca="1" si="322"/>
        <v>0.98808881420715489</v>
      </c>
      <c r="W751" s="304">
        <f t="shared" ca="1" si="323"/>
        <v>1129.5364304923676</v>
      </c>
      <c r="Y751" s="314" t="str">
        <f t="shared" ca="1" si="341"/>
        <v/>
      </c>
      <c r="Z751" s="315" t="str">
        <f t="shared" ca="1" si="342"/>
        <v/>
      </c>
      <c r="AA751" s="316" t="str">
        <f t="shared" ca="1" si="343"/>
        <v/>
      </c>
      <c r="AC751" s="310" t="e">
        <f t="shared" ca="1" si="344"/>
        <v>#N/A</v>
      </c>
      <c r="AD751" s="323" t="e">
        <f t="shared" ca="1" si="345"/>
        <v>#N/A</v>
      </c>
      <c r="AE751" s="324">
        <f t="shared" ca="1" si="324"/>
        <v>2141.0002551363441</v>
      </c>
      <c r="AG751" s="306">
        <f t="shared" ca="1" si="346"/>
        <v>-108.59429522619001</v>
      </c>
      <c r="AH751" s="304">
        <f t="shared" ca="1" si="347"/>
        <v>-99.463850964080109</v>
      </c>
    </row>
    <row r="752" spans="1:34" x14ac:dyDescent="0.2">
      <c r="A752" s="347">
        <f t="shared" ca="1" si="325"/>
        <v>0.01</v>
      </c>
      <c r="B752" s="304">
        <f t="shared" ca="1" si="326"/>
        <v>7.479999999999885</v>
      </c>
      <c r="D752" s="306">
        <f t="shared" ca="1" si="327"/>
        <v>-36.191918319889176</v>
      </c>
      <c r="E752" s="307">
        <f t="shared" ca="1" si="328"/>
        <v>-101.89608932209501</v>
      </c>
      <c r="F752" s="304">
        <f t="shared" ca="1" si="329"/>
        <v>108.13264063551715</v>
      </c>
      <c r="G752" s="306">
        <f t="shared" ca="1" si="330"/>
        <v>164.00545480376761</v>
      </c>
      <c r="H752" s="307">
        <f t="shared" ca="1" si="331"/>
        <v>417.19453497124312</v>
      </c>
      <c r="I752" s="304">
        <f t="shared" ca="1" si="332"/>
        <v>448.27343130645437</v>
      </c>
      <c r="J752" s="306">
        <f t="shared" ca="1" si="333"/>
        <v>789.66720459436272</v>
      </c>
      <c r="K752" s="307">
        <f t="shared" ca="1" si="334"/>
        <v>2145.1772952905226</v>
      </c>
      <c r="L752" s="304">
        <f t="shared" ca="1" si="319"/>
        <v>2285.9046179230309</v>
      </c>
      <c r="M752" s="306">
        <f t="shared" ca="1" si="335"/>
        <v>1.1962392968826145</v>
      </c>
      <c r="N752" s="304">
        <f t="shared" ca="1" si="336"/>
        <v>68.539462999070906</v>
      </c>
      <c r="P752" s="310">
        <f t="shared" ca="1" si="337"/>
        <v>22</v>
      </c>
      <c r="Q752" s="304">
        <f t="shared" ca="1" si="338"/>
        <v>0</v>
      </c>
      <c r="R752" s="306">
        <f t="shared" ca="1" si="339"/>
        <v>0</v>
      </c>
      <c r="S752" s="307">
        <f t="shared" ca="1" si="340"/>
        <v>11.416040186296438</v>
      </c>
      <c r="T752" s="304">
        <f t="shared" ca="1" si="320"/>
        <v>111.99135422756807</v>
      </c>
      <c r="U752" s="311">
        <f t="shared" ca="1" si="321"/>
        <v>0</v>
      </c>
      <c r="V752" s="306">
        <f t="shared" ca="1" si="322"/>
        <v>0.98767137971482966</v>
      </c>
      <c r="W752" s="304">
        <f t="shared" ca="1" si="323"/>
        <v>1123.6348309725756</v>
      </c>
      <c r="Y752" s="314" t="str">
        <f t="shared" ca="1" si="341"/>
        <v/>
      </c>
      <c r="Z752" s="315" t="str">
        <f t="shared" ca="1" si="342"/>
        <v/>
      </c>
      <c r="AA752" s="316" t="str">
        <f t="shared" ca="1" si="343"/>
        <v/>
      </c>
      <c r="AC752" s="310" t="e">
        <f t="shared" ca="1" si="344"/>
        <v>#N/A</v>
      </c>
      <c r="AD752" s="323" t="e">
        <f t="shared" ca="1" si="345"/>
        <v>#N/A</v>
      </c>
      <c r="AE752" s="324">
        <f t="shared" ca="1" si="324"/>
        <v>2145.1772952905226</v>
      </c>
      <c r="AG752" s="306">
        <f t="shared" ca="1" si="346"/>
        <v>-108.07308477239698</v>
      </c>
      <c r="AH752" s="304">
        <f t="shared" ca="1" si="347"/>
        <v>-98.942926974647307</v>
      </c>
    </row>
    <row r="753" spans="1:34" x14ac:dyDescent="0.2">
      <c r="A753" s="347">
        <f t="shared" ca="1" si="325"/>
        <v>0.01</v>
      </c>
      <c r="B753" s="304">
        <f t="shared" ca="1" si="326"/>
        <v>7.4899999999998847</v>
      </c>
      <c r="D753" s="306">
        <f t="shared" ca="1" si="327"/>
        <v>-36.010155581048615</v>
      </c>
      <c r="E753" s="307">
        <f t="shared" ca="1" si="328"/>
        <v>-101.41207585688529</v>
      </c>
      <c r="F753" s="304">
        <f t="shared" ca="1" si="329"/>
        <v>107.61570719264908</v>
      </c>
      <c r="G753" s="306">
        <f t="shared" ca="1" si="330"/>
        <v>163.64535324795713</v>
      </c>
      <c r="H753" s="307">
        <f t="shared" ca="1" si="331"/>
        <v>416.18041421267424</v>
      </c>
      <c r="I753" s="304">
        <f t="shared" ca="1" si="332"/>
        <v>447.19787433962807</v>
      </c>
      <c r="J753" s="306">
        <f t="shared" ca="1" si="333"/>
        <v>791.30545863462135</v>
      </c>
      <c r="K753" s="307">
        <f t="shared" ca="1" si="334"/>
        <v>2149.3441700364424</v>
      </c>
      <c r="L753" s="304">
        <f t="shared" ca="1" si="319"/>
        <v>2290.3809050318664</v>
      </c>
      <c r="M753" s="306">
        <f t="shared" ca="1" si="335"/>
        <v>1.1961590395778989</v>
      </c>
      <c r="N753" s="304">
        <f t="shared" ca="1" si="336"/>
        <v>68.534864594235614</v>
      </c>
      <c r="P753" s="310">
        <f t="shared" ca="1" si="337"/>
        <v>22</v>
      </c>
      <c r="Q753" s="304">
        <f t="shared" ca="1" si="338"/>
        <v>0</v>
      </c>
      <c r="R753" s="306">
        <f t="shared" ca="1" si="339"/>
        <v>0</v>
      </c>
      <c r="S753" s="307">
        <f t="shared" ca="1" si="340"/>
        <v>11.416040186296438</v>
      </c>
      <c r="T753" s="304">
        <f t="shared" ca="1" si="320"/>
        <v>111.99135422756807</v>
      </c>
      <c r="U753" s="311">
        <f t="shared" ca="1" si="321"/>
        <v>0</v>
      </c>
      <c r="V753" s="306">
        <f t="shared" ca="1" si="322"/>
        <v>0.98725511797712895</v>
      </c>
      <c r="W753" s="304">
        <f t="shared" ca="1" si="323"/>
        <v>1117.7780577686842</v>
      </c>
      <c r="Y753" s="314" t="str">
        <f t="shared" ca="1" si="341"/>
        <v/>
      </c>
      <c r="Z753" s="315" t="str">
        <f t="shared" ca="1" si="342"/>
        <v/>
      </c>
      <c r="AA753" s="316" t="str">
        <f t="shared" ca="1" si="343"/>
        <v/>
      </c>
      <c r="AC753" s="310" t="e">
        <f t="shared" ca="1" si="344"/>
        <v>#N/A</v>
      </c>
      <c r="AD753" s="323" t="e">
        <f t="shared" ca="1" si="345"/>
        <v>#N/A</v>
      </c>
      <c r="AE753" s="324">
        <f t="shared" ca="1" si="324"/>
        <v>2149.3441700364424</v>
      </c>
      <c r="AG753" s="306">
        <f t="shared" ca="1" si="346"/>
        <v>-107.55584070795631</v>
      </c>
      <c r="AH753" s="304">
        <f t="shared" ca="1" si="347"/>
        <v>-98.42597018196922</v>
      </c>
    </row>
    <row r="754" spans="1:34" x14ac:dyDescent="0.2">
      <c r="A754" s="347">
        <f t="shared" ca="1" si="325"/>
        <v>0.01</v>
      </c>
      <c r="B754" s="304">
        <f t="shared" ca="1" si="326"/>
        <v>7.4999999999998845</v>
      </c>
      <c r="D754" s="306">
        <f t="shared" ca="1" si="327"/>
        <v>-35.829771501218751</v>
      </c>
      <c r="E754" s="307">
        <f t="shared" ca="1" si="328"/>
        <v>-100.93173886128257</v>
      </c>
      <c r="F754" s="304">
        <f t="shared" ca="1" si="329"/>
        <v>107.10270041129534</v>
      </c>
      <c r="G754" s="306">
        <f t="shared" ca="1" si="330"/>
        <v>163.28705553294495</v>
      </c>
      <c r="H754" s="307">
        <f t="shared" ca="1" si="331"/>
        <v>415.17109682406141</v>
      </c>
      <c r="I754" s="304">
        <f t="shared" ca="1" si="332"/>
        <v>446.12745055949341</v>
      </c>
      <c r="J754" s="306">
        <f t="shared" ca="1" si="333"/>
        <v>792.94012067852589</v>
      </c>
      <c r="K754" s="307">
        <f t="shared" ca="1" si="334"/>
        <v>2153.5009275916259</v>
      </c>
      <c r="L754" s="304">
        <f t="shared" ca="1" si="319"/>
        <v>2294.8464611210197</v>
      </c>
      <c r="M754" s="306">
        <f t="shared" ca="1" si="335"/>
        <v>1.1960785732822325</v>
      </c>
      <c r="N754" s="304">
        <f t="shared" ca="1" si="336"/>
        <v>68.530254215100868</v>
      </c>
      <c r="P754" s="310">
        <f t="shared" ca="1" si="337"/>
        <v>22</v>
      </c>
      <c r="Q754" s="304">
        <f t="shared" ca="1" si="338"/>
        <v>0</v>
      </c>
      <c r="R754" s="306">
        <f t="shared" ca="1" si="339"/>
        <v>0</v>
      </c>
      <c r="S754" s="307">
        <f t="shared" ca="1" si="340"/>
        <v>11.416040186296438</v>
      </c>
      <c r="T754" s="304">
        <f t="shared" ca="1" si="320"/>
        <v>111.99135422756807</v>
      </c>
      <c r="U754" s="311">
        <f t="shared" ca="1" si="321"/>
        <v>0</v>
      </c>
      <c r="V754" s="306">
        <f t="shared" ca="1" si="322"/>
        <v>0.98684002294516515</v>
      </c>
      <c r="W754" s="304">
        <f t="shared" ca="1" si="323"/>
        <v>1111.9656534698306</v>
      </c>
      <c r="Y754" s="314" t="str">
        <f t="shared" ca="1" si="341"/>
        <v/>
      </c>
      <c r="Z754" s="315" t="str">
        <f t="shared" ca="1" si="342"/>
        <v/>
      </c>
      <c r="AA754" s="316" t="str">
        <f t="shared" ca="1" si="343"/>
        <v/>
      </c>
      <c r="AC754" s="310" t="e">
        <f t="shared" ca="1" si="344"/>
        <v>#N/A</v>
      </c>
      <c r="AD754" s="323" t="e">
        <f t="shared" ca="1" si="345"/>
        <v>#N/A</v>
      </c>
      <c r="AE754" s="324">
        <f t="shared" ca="1" si="324"/>
        <v>2153.5009275916259</v>
      </c>
      <c r="AG754" s="306">
        <f t="shared" ca="1" si="346"/>
        <v>-107.04252244331987</v>
      </c>
      <c r="AH754" s="304">
        <f t="shared" ca="1" si="347"/>
        <v>-97.912939997394218</v>
      </c>
    </row>
    <row r="755" spans="1:34" x14ac:dyDescent="0.2">
      <c r="A755" s="347">
        <f t="shared" ca="1" si="325"/>
        <v>0.01</v>
      </c>
      <c r="B755" s="304">
        <f t="shared" ca="1" si="326"/>
        <v>7.5099999999998843</v>
      </c>
      <c r="D755" s="306">
        <f t="shared" ca="1" si="327"/>
        <v>-35.650752008991041</v>
      </c>
      <c r="E755" s="307">
        <f t="shared" ca="1" si="328"/>
        <v>-100.45504082008586</v>
      </c>
      <c r="F755" s="304">
        <f t="shared" ca="1" si="329"/>
        <v>106.59358022400643</v>
      </c>
      <c r="G755" s="306">
        <f t="shared" ca="1" si="330"/>
        <v>162.93054801285504</v>
      </c>
      <c r="H755" s="307">
        <f t="shared" ca="1" si="331"/>
        <v>414.16654641586052</v>
      </c>
      <c r="I755" s="304">
        <f t="shared" ca="1" si="332"/>
        <v>445.06212110873963</v>
      </c>
      <c r="J755" s="306">
        <f t="shared" ca="1" si="333"/>
        <v>794.57120869625487</v>
      </c>
      <c r="K755" s="307">
        <f t="shared" ca="1" si="334"/>
        <v>2157.6476158078253</v>
      </c>
      <c r="L755" s="304">
        <f t="shared" ca="1" si="319"/>
        <v>2299.3013372957926</v>
      </c>
      <c r="M755" s="306">
        <f t="shared" ca="1" si="335"/>
        <v>1.195997897871409</v>
      </c>
      <c r="N755" s="304">
        <f t="shared" ca="1" si="336"/>
        <v>68.525631854550198</v>
      </c>
      <c r="P755" s="310">
        <f t="shared" ca="1" si="337"/>
        <v>22</v>
      </c>
      <c r="Q755" s="304">
        <f t="shared" ca="1" si="338"/>
        <v>0</v>
      </c>
      <c r="R755" s="306">
        <f t="shared" ca="1" si="339"/>
        <v>0</v>
      </c>
      <c r="S755" s="307">
        <f t="shared" ca="1" si="340"/>
        <v>11.416040186296438</v>
      </c>
      <c r="T755" s="304">
        <f t="shared" ca="1" si="320"/>
        <v>111.99135422756807</v>
      </c>
      <c r="U755" s="311">
        <f t="shared" ca="1" si="321"/>
        <v>0</v>
      </c>
      <c r="V755" s="306">
        <f t="shared" ca="1" si="322"/>
        <v>0.98642608861791647</v>
      </c>
      <c r="W755" s="304">
        <f t="shared" ca="1" si="323"/>
        <v>1106.1971665240962</v>
      </c>
      <c r="Y755" s="314" t="str">
        <f t="shared" ca="1" si="341"/>
        <v/>
      </c>
      <c r="Z755" s="315" t="str">
        <f t="shared" ca="1" si="342"/>
        <v/>
      </c>
      <c r="AA755" s="316" t="str">
        <f t="shared" ca="1" si="343"/>
        <v/>
      </c>
      <c r="AC755" s="310" t="e">
        <f t="shared" ca="1" si="344"/>
        <v>#N/A</v>
      </c>
      <c r="AD755" s="323" t="e">
        <f t="shared" ca="1" si="345"/>
        <v>#N/A</v>
      </c>
      <c r="AE755" s="324">
        <f t="shared" ca="1" si="324"/>
        <v>2157.6476158078253</v>
      </c>
      <c r="AG755" s="306">
        <f t="shared" ca="1" si="346"/>
        <v>-106.53308991020327</v>
      </c>
      <c r="AH755" s="304">
        <f t="shared" ca="1" si="347"/>
        <v>-97.403796353538553</v>
      </c>
    </row>
    <row r="756" spans="1:34" x14ac:dyDescent="0.2">
      <c r="A756" s="347">
        <f t="shared" ca="1" si="325"/>
        <v>0.01</v>
      </c>
      <c r="B756" s="304">
        <f t="shared" ca="1" si="326"/>
        <v>7.5199999999998841</v>
      </c>
      <c r="D756" s="306">
        <f t="shared" ca="1" si="327"/>
        <v>-35.473083213195622</v>
      </c>
      <c r="E756" s="307">
        <f t="shared" ca="1" si="328"/>
        <v>-99.981944698623991</v>
      </c>
      <c r="F756" s="304">
        <f t="shared" ca="1" si="329"/>
        <v>106.08830707655301</v>
      </c>
      <c r="G756" s="306">
        <f t="shared" ca="1" si="330"/>
        <v>162.57581718072308</v>
      </c>
      <c r="H756" s="307">
        <f t="shared" ca="1" si="331"/>
        <v>413.16672696887429</v>
      </c>
      <c r="I756" s="304">
        <f t="shared" ca="1" si="332"/>
        <v>444.00184752560682</v>
      </c>
      <c r="J756" s="306">
        <f t="shared" ca="1" si="333"/>
        <v>796.19874052222281</v>
      </c>
      <c r="K756" s="307">
        <f t="shared" ca="1" si="334"/>
        <v>2161.784282174749</v>
      </c>
      <c r="L756" s="304">
        <f t="shared" ca="1" si="319"/>
        <v>2303.7455842750883</v>
      </c>
      <c r="M756" s="306">
        <f t="shared" ca="1" si="335"/>
        <v>1.1959170132204981</v>
      </c>
      <c r="N756" s="304">
        <f t="shared" ca="1" si="336"/>
        <v>68.520997505425626</v>
      </c>
      <c r="P756" s="310">
        <f t="shared" ca="1" si="337"/>
        <v>22</v>
      </c>
      <c r="Q756" s="304">
        <f t="shared" ca="1" si="338"/>
        <v>0</v>
      </c>
      <c r="R756" s="306">
        <f t="shared" ca="1" si="339"/>
        <v>0</v>
      </c>
      <c r="S756" s="307">
        <f t="shared" ca="1" si="340"/>
        <v>11.416040186296438</v>
      </c>
      <c r="T756" s="304">
        <f t="shared" ca="1" si="320"/>
        <v>111.99135422756807</v>
      </c>
      <c r="U756" s="311">
        <f t="shared" ca="1" si="321"/>
        <v>0</v>
      </c>
      <c r="V756" s="306">
        <f t="shared" ca="1" si="322"/>
        <v>0.98601330904172146</v>
      </c>
      <c r="W756" s="304">
        <f t="shared" ca="1" si="323"/>
        <v>1100.4721511482931</v>
      </c>
      <c r="Y756" s="314" t="str">
        <f t="shared" ca="1" si="341"/>
        <v/>
      </c>
      <c r="Z756" s="315" t="str">
        <f t="shared" ca="1" si="342"/>
        <v/>
      </c>
      <c r="AA756" s="316" t="str">
        <f t="shared" ca="1" si="343"/>
        <v/>
      </c>
      <c r="AC756" s="310" t="e">
        <f t="shared" ca="1" si="344"/>
        <v>#N/A</v>
      </c>
      <c r="AD756" s="323" t="e">
        <f t="shared" ca="1" si="345"/>
        <v>#N/A</v>
      </c>
      <c r="AE756" s="324">
        <f t="shared" ca="1" si="324"/>
        <v>2161.784282174749</v>
      </c>
      <c r="AG756" s="306">
        <f t="shared" ca="1" si="346"/>
        <v>-106.02750355353839</v>
      </c>
      <c r="AH756" s="304">
        <f t="shared" ca="1" si="347"/>
        <v>-96.898499696238872</v>
      </c>
    </row>
    <row r="757" spans="1:34" x14ac:dyDescent="0.2">
      <c r="A757" s="347">
        <f t="shared" ca="1" si="325"/>
        <v>0.01</v>
      </c>
      <c r="B757" s="304">
        <f t="shared" ca="1" si="326"/>
        <v>7.5299999999998839</v>
      </c>
      <c r="D757" s="306">
        <f t="shared" ca="1" si="327"/>
        <v>-35.296751400125963</v>
      </c>
      <c r="E757" s="307">
        <f t="shared" ca="1" si="328"/>
        <v>-99.512413935356562</v>
      </c>
      <c r="F757" s="304">
        <f t="shared" ca="1" si="329"/>
        <v>105.58684192002355</v>
      </c>
      <c r="G757" s="306">
        <f t="shared" ca="1" si="330"/>
        <v>162.22284966672183</v>
      </c>
      <c r="H757" s="307">
        <f t="shared" ca="1" si="331"/>
        <v>412.17160282952074</v>
      </c>
      <c r="I757" s="304">
        <f t="shared" ca="1" si="332"/>
        <v>442.94659173883258</v>
      </c>
      <c r="J757" s="306">
        <f t="shared" ca="1" si="333"/>
        <v>797.82273385645999</v>
      </c>
      <c r="K757" s="307">
        <f t="shared" ca="1" si="334"/>
        <v>2165.9109738237412</v>
      </c>
      <c r="L757" s="304">
        <f t="shared" ca="1" si="319"/>
        <v>2308.1792523953382</v>
      </c>
      <c r="M757" s="306">
        <f t="shared" ca="1" si="335"/>
        <v>1.1958359192038461</v>
      </c>
      <c r="N757" s="304">
        <f t="shared" ca="1" si="336"/>
        <v>68.516351160527691</v>
      </c>
      <c r="P757" s="310">
        <f t="shared" ca="1" si="337"/>
        <v>22</v>
      </c>
      <c r="Q757" s="304">
        <f t="shared" ca="1" si="338"/>
        <v>0</v>
      </c>
      <c r="R757" s="306">
        <f t="shared" ca="1" si="339"/>
        <v>0</v>
      </c>
      <c r="S757" s="307">
        <f t="shared" ca="1" si="340"/>
        <v>11.416040186296438</v>
      </c>
      <c r="T757" s="304">
        <f t="shared" ca="1" si="320"/>
        <v>111.99135422756807</v>
      </c>
      <c r="U757" s="311">
        <f t="shared" ca="1" si="321"/>
        <v>0</v>
      </c>
      <c r="V757" s="306">
        <f t="shared" ca="1" si="322"/>
        <v>0.98560167830978296</v>
      </c>
      <c r="W757" s="304">
        <f t="shared" ca="1" si="323"/>
        <v>1094.7901672393664</v>
      </c>
      <c r="Y757" s="314" t="str">
        <f t="shared" ca="1" si="341"/>
        <v/>
      </c>
      <c r="Z757" s="315" t="str">
        <f t="shared" ca="1" si="342"/>
        <v/>
      </c>
      <c r="AA757" s="316" t="str">
        <f t="shared" ca="1" si="343"/>
        <v/>
      </c>
      <c r="AC757" s="310" t="e">
        <f t="shared" ca="1" si="344"/>
        <v>#N/A</v>
      </c>
      <c r="AD757" s="323" t="e">
        <f t="shared" ca="1" si="345"/>
        <v>#N/A</v>
      </c>
      <c r="AE757" s="324">
        <f t="shared" ca="1" si="324"/>
        <v>2165.9109738237412</v>
      </c>
      <c r="AG757" s="306">
        <f t="shared" ca="1" si="346"/>
        <v>-105.52572432357096</v>
      </c>
      <c r="AH757" s="304">
        <f t="shared" ca="1" si="347"/>
        <v>-96.39701097664981</v>
      </c>
    </row>
    <row r="758" spans="1:34" x14ac:dyDescent="0.2">
      <c r="A758" s="347">
        <f t="shared" ca="1" si="325"/>
        <v>0.01</v>
      </c>
      <c r="B758" s="304">
        <f t="shared" ca="1" si="326"/>
        <v>7.5399999999998837</v>
      </c>
      <c r="D758" s="306">
        <f t="shared" ca="1" si="327"/>
        <v>-35.121743030813384</v>
      </c>
      <c r="E758" s="307">
        <f t="shared" ca="1" si="328"/>
        <v>-99.046412434607419</v>
      </c>
      <c r="F758" s="304">
        <f t="shared" ca="1" si="329"/>
        <v>105.08914620306344</v>
      </c>
      <c r="G758" s="306">
        <f t="shared" ca="1" si="330"/>
        <v>161.87163223641369</v>
      </c>
      <c r="H758" s="307">
        <f t="shared" ca="1" si="331"/>
        <v>411.18113870517465</v>
      </c>
      <c r="I758" s="304">
        <f t="shared" ca="1" si="332"/>
        <v>441.89631606267648</v>
      </c>
      <c r="J758" s="306">
        <f t="shared" ca="1" si="333"/>
        <v>799.44320626597562</v>
      </c>
      <c r="K758" s="307">
        <f t="shared" ca="1" si="334"/>
        <v>2170.0277375314145</v>
      </c>
      <c r="L758" s="304">
        <f t="shared" ca="1" si="319"/>
        <v>2312.6023916143763</v>
      </c>
      <c r="M758" s="306">
        <f t="shared" ca="1" si="335"/>
        <v>1.1957546156950749</v>
      </c>
      <c r="N758" s="304">
        <f t="shared" ca="1" si="336"/>
        <v>68.511692812615493</v>
      </c>
      <c r="P758" s="310">
        <f t="shared" ca="1" si="337"/>
        <v>22</v>
      </c>
      <c r="Q758" s="304">
        <f t="shared" ca="1" si="338"/>
        <v>0</v>
      </c>
      <c r="R758" s="306">
        <f t="shared" ca="1" si="339"/>
        <v>0</v>
      </c>
      <c r="S758" s="307">
        <f t="shared" ca="1" si="340"/>
        <v>11.416040186296438</v>
      </c>
      <c r="T758" s="304">
        <f t="shared" ca="1" si="320"/>
        <v>111.99135422756807</v>
      </c>
      <c r="U758" s="311">
        <f t="shared" ca="1" si="321"/>
        <v>0</v>
      </c>
      <c r="V758" s="306">
        <f t="shared" ca="1" si="322"/>
        <v>0.98519119056167892</v>
      </c>
      <c r="W758" s="304">
        <f t="shared" ca="1" si="323"/>
        <v>1089.1507802873923</v>
      </c>
      <c r="Y758" s="314" t="str">
        <f t="shared" ca="1" si="341"/>
        <v/>
      </c>
      <c r="Z758" s="315" t="str">
        <f t="shared" ca="1" si="342"/>
        <v/>
      </c>
      <c r="AA758" s="316" t="str">
        <f t="shared" ca="1" si="343"/>
        <v/>
      </c>
      <c r="AC758" s="310" t="e">
        <f t="shared" ca="1" si="344"/>
        <v>#N/A</v>
      </c>
      <c r="AD758" s="323" t="e">
        <f t="shared" ca="1" si="345"/>
        <v>#N/A</v>
      </c>
      <c r="AE758" s="324">
        <f t="shared" ca="1" si="324"/>
        <v>2170.0277375314145</v>
      </c>
      <c r="AG758" s="306">
        <f t="shared" ca="1" si="346"/>
        <v>-105.02771366809975</v>
      </c>
      <c r="AH758" s="304">
        <f t="shared" ca="1" si="347"/>
        <v>-95.899291643483195</v>
      </c>
    </row>
    <row r="759" spans="1:34" x14ac:dyDescent="0.2">
      <c r="A759" s="347">
        <f t="shared" ca="1" si="325"/>
        <v>0.01</v>
      </c>
      <c r="B759" s="304">
        <f t="shared" ca="1" si="326"/>
        <v>7.5499999999998835</v>
      </c>
      <c r="D759" s="306">
        <f t="shared" ca="1" si="327"/>
        <v>-34.948044738350653</v>
      </c>
      <c r="E759" s="307">
        <f t="shared" ca="1" si="328"/>
        <v>-98.583904559429186</v>
      </c>
      <c r="F759" s="304">
        <f t="shared" ca="1" si="329"/>
        <v>104.59518186425416</v>
      </c>
      <c r="G759" s="306">
        <f t="shared" ca="1" si="330"/>
        <v>161.52215178903018</v>
      </c>
      <c r="H759" s="307">
        <f t="shared" ca="1" si="331"/>
        <v>410.19529965958037</v>
      </c>
      <c r="I759" s="304">
        <f t="shared" ca="1" si="332"/>
        <v>440.85098319202086</v>
      </c>
      <c r="J759" s="306">
        <f t="shared" ca="1" si="333"/>
        <v>801.06017518610281</v>
      </c>
      <c r="K759" s="307">
        <f t="shared" ca="1" si="334"/>
        <v>2174.1346197232383</v>
      </c>
      <c r="L759" s="304">
        <f t="shared" ca="1" si="319"/>
        <v>2317.0150515152677</v>
      </c>
      <c r="M759" s="306">
        <f t="shared" ca="1" si="335"/>
        <v>1.1956731025670841</v>
      </c>
      <c r="N759" s="304">
        <f t="shared" ca="1" si="336"/>
        <v>68.507022454406723</v>
      </c>
      <c r="P759" s="310">
        <f t="shared" ca="1" si="337"/>
        <v>22</v>
      </c>
      <c r="Q759" s="304">
        <f t="shared" ca="1" si="338"/>
        <v>0</v>
      </c>
      <c r="R759" s="306">
        <f t="shared" ca="1" si="339"/>
        <v>0</v>
      </c>
      <c r="S759" s="307">
        <f t="shared" ca="1" si="340"/>
        <v>11.416040186296438</v>
      </c>
      <c r="T759" s="304">
        <f t="shared" ca="1" si="320"/>
        <v>111.99135422756807</v>
      </c>
      <c r="U759" s="311">
        <f t="shared" ca="1" si="321"/>
        <v>0</v>
      </c>
      <c r="V759" s="306">
        <f t="shared" ca="1" si="322"/>
        <v>0.98478183998287583</v>
      </c>
      <c r="W759" s="304">
        <f t="shared" ca="1" si="323"/>
        <v>1083.5535612901242</v>
      </c>
      <c r="Y759" s="314" t="str">
        <f t="shared" ca="1" si="341"/>
        <v/>
      </c>
      <c r="Z759" s="315" t="str">
        <f t="shared" ca="1" si="342"/>
        <v/>
      </c>
      <c r="AA759" s="316" t="str">
        <f t="shared" ca="1" si="343"/>
        <v/>
      </c>
      <c r="AC759" s="310" t="e">
        <f t="shared" ca="1" si="344"/>
        <v>#N/A</v>
      </c>
      <c r="AD759" s="323" t="e">
        <f t="shared" ca="1" si="345"/>
        <v>#N/A</v>
      </c>
      <c r="AE759" s="324">
        <f t="shared" ca="1" si="324"/>
        <v>2174.1346197232383</v>
      </c>
      <c r="AG759" s="306">
        <f t="shared" ca="1" si="346"/>
        <v>-104.53343352485562</v>
      </c>
      <c r="AH759" s="304">
        <f t="shared" ca="1" si="347"/>
        <v>-95.405303635387057</v>
      </c>
    </row>
    <row r="760" spans="1:34" x14ac:dyDescent="0.2">
      <c r="A760" s="347">
        <f t="shared" ca="1" si="325"/>
        <v>0.01</v>
      </c>
      <c r="B760" s="304">
        <f t="shared" ca="1" si="326"/>
        <v>7.5599999999998833</v>
      </c>
      <c r="D760" s="306">
        <f t="shared" ca="1" si="327"/>
        <v>-34.775643325263061</v>
      </c>
      <c r="E760" s="307">
        <f t="shared" ca="1" si="328"/>
        <v>-98.124855124594504</v>
      </c>
      <c r="F760" s="304">
        <f t="shared" ca="1" si="329"/>
        <v>104.10491132462759</v>
      </c>
      <c r="G760" s="306">
        <f t="shared" ca="1" si="330"/>
        <v>161.17439535577753</v>
      </c>
      <c r="H760" s="307">
        <f t="shared" ca="1" si="331"/>
        <v>409.21405110833444</v>
      </c>
      <c r="I760" s="304">
        <f t="shared" ca="1" si="332"/>
        <v>439.8105561975463</v>
      </c>
      <c r="J760" s="306">
        <f t="shared" ca="1" si="333"/>
        <v>802.67365792182682</v>
      </c>
      <c r="K760" s="307">
        <f t="shared" ca="1" si="334"/>
        <v>2178.2316664770779</v>
      </c>
      <c r="L760" s="304">
        <f t="shared" ca="1" si="319"/>
        <v>2321.4172813100868</v>
      </c>
      <c r="M760" s="306">
        <f t="shared" ca="1" si="335"/>
        <v>1.1955913796920503</v>
      </c>
      <c r="N760" s="304">
        <f t="shared" ca="1" si="336"/>
        <v>68.502340078577603</v>
      </c>
      <c r="P760" s="310">
        <f t="shared" ca="1" si="337"/>
        <v>22</v>
      </c>
      <c r="Q760" s="304">
        <f t="shared" ca="1" si="338"/>
        <v>0</v>
      </c>
      <c r="R760" s="306">
        <f t="shared" ca="1" si="339"/>
        <v>0</v>
      </c>
      <c r="S760" s="307">
        <f t="shared" ca="1" si="340"/>
        <v>11.416040186296438</v>
      </c>
      <c r="T760" s="304">
        <f t="shared" ca="1" si="320"/>
        <v>111.99135422756807</v>
      </c>
      <c r="U760" s="311">
        <f t="shared" ca="1" si="321"/>
        <v>0</v>
      </c>
      <c r="V760" s="306">
        <f t="shared" ca="1" si="322"/>
        <v>0.98437362080425295</v>
      </c>
      <c r="W760" s="304">
        <f t="shared" ca="1" si="323"/>
        <v>1077.9980866690687</v>
      </c>
      <c r="Y760" s="314" t="str">
        <f t="shared" ca="1" si="341"/>
        <v/>
      </c>
      <c r="Z760" s="315" t="str">
        <f t="shared" ca="1" si="342"/>
        <v/>
      </c>
      <c r="AA760" s="316" t="str">
        <f t="shared" ca="1" si="343"/>
        <v/>
      </c>
      <c r="AC760" s="310" t="e">
        <f t="shared" ca="1" si="344"/>
        <v>#N/A</v>
      </c>
      <c r="AD760" s="323" t="e">
        <f t="shared" ca="1" si="345"/>
        <v>#N/A</v>
      </c>
      <c r="AE760" s="324">
        <f t="shared" ca="1" si="324"/>
        <v>2178.2316664770779</v>
      </c>
      <c r="AG760" s="306">
        <f t="shared" ca="1" si="346"/>
        <v>-104.04284631401597</v>
      </c>
      <c r="AH760" s="304">
        <f t="shared" ca="1" si="347"/>
        <v>-94.915009373460151</v>
      </c>
    </row>
    <row r="761" spans="1:34" x14ac:dyDescent="0.2">
      <c r="A761" s="347">
        <f t="shared" ca="1" si="325"/>
        <v>0.01</v>
      </c>
      <c r="B761" s="304">
        <f t="shared" ca="1" si="326"/>
        <v>7.569999999999883</v>
      </c>
      <c r="D761" s="306">
        <f t="shared" ca="1" si="327"/>
        <v>-34.604525760926734</v>
      </c>
      <c r="E761" s="307">
        <f t="shared" ca="1" si="328"/>
        <v>-97.66922938971301</v>
      </c>
      <c r="F761" s="304">
        <f t="shared" ca="1" si="329"/>
        <v>103.61829748031485</v>
      </c>
      <c r="G761" s="306">
        <f t="shared" ca="1" si="330"/>
        <v>160.82835009816827</v>
      </c>
      <c r="H761" s="307">
        <f t="shared" ca="1" si="331"/>
        <v>408.2373588144373</v>
      </c>
      <c r="I761" s="304">
        <f t="shared" ca="1" si="332"/>
        <v>438.77499852098072</v>
      </c>
      <c r="J761" s="306">
        <f t="shared" ca="1" si="333"/>
        <v>804.2836716490965</v>
      </c>
      <c r="K761" s="307">
        <f t="shared" ca="1" si="334"/>
        <v>2182.3189235266918</v>
      </c>
      <c r="L761" s="304">
        <f t="shared" ca="1" si="319"/>
        <v>2325.8091298436448</v>
      </c>
      <c r="M761" s="306">
        <f t="shared" ca="1" si="335"/>
        <v>1.1955094469414265</v>
      </c>
      <c r="N761" s="304">
        <f t="shared" ca="1" si="336"/>
        <v>68.497645677762961</v>
      </c>
      <c r="P761" s="310">
        <f t="shared" ca="1" si="337"/>
        <v>22</v>
      </c>
      <c r="Q761" s="304">
        <f t="shared" ca="1" si="338"/>
        <v>0</v>
      </c>
      <c r="R761" s="306">
        <f t="shared" ca="1" si="339"/>
        <v>0</v>
      </c>
      <c r="S761" s="307">
        <f t="shared" ca="1" si="340"/>
        <v>11.416040186296438</v>
      </c>
      <c r="T761" s="304">
        <f t="shared" ca="1" si="320"/>
        <v>111.99135422756807</v>
      </c>
      <c r="U761" s="311">
        <f t="shared" ca="1" si="321"/>
        <v>0</v>
      </c>
      <c r="V761" s="306">
        <f t="shared" ca="1" si="322"/>
        <v>0.9839665273016307</v>
      </c>
      <c r="W761" s="304">
        <f t="shared" ca="1" si="323"/>
        <v>1072.4839381870524</v>
      </c>
      <c r="Y761" s="314" t="str">
        <f t="shared" ca="1" si="341"/>
        <v/>
      </c>
      <c r="Z761" s="315" t="str">
        <f t="shared" ca="1" si="342"/>
        <v/>
      </c>
      <c r="AA761" s="316" t="str">
        <f t="shared" ca="1" si="343"/>
        <v/>
      </c>
      <c r="AC761" s="310" t="e">
        <f t="shared" ca="1" si="344"/>
        <v>#N/A</v>
      </c>
      <c r="AD761" s="323" t="e">
        <f t="shared" ca="1" si="345"/>
        <v>#N/A</v>
      </c>
      <c r="AE761" s="324">
        <f t="shared" ca="1" si="324"/>
        <v>2182.3189235266918</v>
      </c>
      <c r="AG761" s="306">
        <f t="shared" ca="1" si="346"/>
        <v>-103.55591493085346</v>
      </c>
      <c r="AH761" s="304">
        <f t="shared" ca="1" si="347"/>
        <v>-94.428371753900592</v>
      </c>
    </row>
    <row r="762" spans="1:34" x14ac:dyDescent="0.2">
      <c r="A762" s="347">
        <f t="shared" ca="1" si="325"/>
        <v>0.01</v>
      </c>
      <c r="B762" s="304">
        <f t="shared" ca="1" si="326"/>
        <v>7.5799999999998828</v>
      </c>
      <c r="D762" s="306">
        <f t="shared" ca="1" si="327"/>
        <v>-34.434679179032841</v>
      </c>
      <c r="E762" s="307">
        <f t="shared" ca="1" si="328"/>
        <v>-97.216993052470329</v>
      </c>
      <c r="F762" s="304">
        <f t="shared" ca="1" si="329"/>
        <v>103.13530369532531</v>
      </c>
      <c r="G762" s="306">
        <f t="shared" ca="1" si="330"/>
        <v>160.48400330637796</v>
      </c>
      <c r="H762" s="307">
        <f t="shared" ca="1" si="331"/>
        <v>407.26518888391257</v>
      </c>
      <c r="I762" s="304">
        <f t="shared" ca="1" si="332"/>
        <v>437.74427397042047</v>
      </c>
      <c r="J762" s="306">
        <f t="shared" ca="1" si="333"/>
        <v>805.89023341611926</v>
      </c>
      <c r="K762" s="307">
        <f t="shared" ca="1" si="334"/>
        <v>2186.3964362651836</v>
      </c>
      <c r="L762" s="304">
        <f t="shared" ca="1" si="319"/>
        <v>2330.1906455971757</v>
      </c>
      <c r="M762" s="306">
        <f t="shared" ca="1" si="335"/>
        <v>1.1954273041859442</v>
      </c>
      <c r="N762" s="304">
        <f t="shared" ca="1" si="336"/>
        <v>68.492939244556254</v>
      </c>
      <c r="P762" s="310">
        <f t="shared" ca="1" si="337"/>
        <v>22</v>
      </c>
      <c r="Q762" s="304">
        <f t="shared" ca="1" si="338"/>
        <v>0</v>
      </c>
      <c r="R762" s="306">
        <f t="shared" ca="1" si="339"/>
        <v>0</v>
      </c>
      <c r="S762" s="307">
        <f t="shared" ca="1" si="340"/>
        <v>11.416040186296438</v>
      </c>
      <c r="T762" s="304">
        <f t="shared" ca="1" si="320"/>
        <v>111.99135422756807</v>
      </c>
      <c r="U762" s="311">
        <f t="shared" ca="1" si="321"/>
        <v>0</v>
      </c>
      <c r="V762" s="306">
        <f t="shared" ca="1" si="322"/>
        <v>0.9835605537953046</v>
      </c>
      <c r="W762" s="304">
        <f t="shared" ca="1" si="323"/>
        <v>1067.010702867248</v>
      </c>
      <c r="Y762" s="314" t="str">
        <f t="shared" ca="1" si="341"/>
        <v/>
      </c>
      <c r="Z762" s="315" t="str">
        <f t="shared" ca="1" si="342"/>
        <v/>
      </c>
      <c r="AA762" s="316" t="str">
        <f t="shared" ca="1" si="343"/>
        <v/>
      </c>
      <c r="AC762" s="310" t="e">
        <f t="shared" ca="1" si="344"/>
        <v>#N/A</v>
      </c>
      <c r="AD762" s="323" t="e">
        <f t="shared" ca="1" si="345"/>
        <v>#N/A</v>
      </c>
      <c r="AE762" s="324">
        <f t="shared" ca="1" si="324"/>
        <v>2186.3964362651836</v>
      </c>
      <c r="AG762" s="306">
        <f t="shared" ca="1" si="346"/>
        <v>-103.07260273851509</v>
      </c>
      <c r="AH762" s="304">
        <f t="shared" ca="1" si="347"/>
        <v>-93.945354140785028</v>
      </c>
    </row>
    <row r="763" spans="1:34" x14ac:dyDescent="0.2">
      <c r="A763" s="347">
        <f t="shared" ca="1" si="325"/>
        <v>0.01</v>
      </c>
      <c r="B763" s="304">
        <f t="shared" ca="1" si="326"/>
        <v>7.5899999999998826</v>
      </c>
      <c r="D763" s="306">
        <f t="shared" ca="1" si="327"/>
        <v>-34.266090875096353</v>
      </c>
      <c r="E763" s="307">
        <f t="shared" ca="1" si="328"/>
        <v>-96.768112241987012</v>
      </c>
      <c r="F763" s="304">
        <f t="shared" ca="1" si="329"/>
        <v>102.6558937944537</v>
      </c>
      <c r="G763" s="306">
        <f t="shared" ca="1" si="330"/>
        <v>160.141342397627</v>
      </c>
      <c r="H763" s="307">
        <f t="shared" ca="1" si="331"/>
        <v>406.29750776149268</v>
      </c>
      <c r="I763" s="304">
        <f t="shared" ca="1" si="332"/>
        <v>436.71834671572276</v>
      </c>
      <c r="J763" s="306">
        <f t="shared" ca="1" si="333"/>
        <v>807.49336014463927</v>
      </c>
      <c r="K763" s="307">
        <f t="shared" ca="1" si="334"/>
        <v>2190.4642497484106</v>
      </c>
      <c r="L763" s="304">
        <f t="shared" ca="1" si="319"/>
        <v>2334.5618766919733</v>
      </c>
      <c r="M763" s="306">
        <f t="shared" ca="1" si="335"/>
        <v>1.1953449512956127</v>
      </c>
      <c r="N763" s="304">
        <f t="shared" ca="1" si="336"/>
        <v>68.488220771509546</v>
      </c>
      <c r="P763" s="310">
        <f t="shared" ca="1" si="337"/>
        <v>22</v>
      </c>
      <c r="Q763" s="304">
        <f t="shared" ca="1" si="338"/>
        <v>0</v>
      </c>
      <c r="R763" s="306">
        <f t="shared" ca="1" si="339"/>
        <v>0</v>
      </c>
      <c r="S763" s="307">
        <f t="shared" ca="1" si="340"/>
        <v>11.416040186296438</v>
      </c>
      <c r="T763" s="304">
        <f t="shared" ca="1" si="320"/>
        <v>111.99135422756807</v>
      </c>
      <c r="U763" s="311">
        <f t="shared" ca="1" si="321"/>
        <v>0</v>
      </c>
      <c r="V763" s="306">
        <f t="shared" ca="1" si="322"/>
        <v>0.98315569464958585</v>
      </c>
      <c r="W763" s="304">
        <f t="shared" ca="1" si="323"/>
        <v>1061.5779729136395</v>
      </c>
      <c r="Y763" s="314" t="str">
        <f t="shared" ca="1" si="341"/>
        <v/>
      </c>
      <c r="Z763" s="315" t="str">
        <f t="shared" ca="1" si="342"/>
        <v/>
      </c>
      <c r="AA763" s="316" t="str">
        <f t="shared" ca="1" si="343"/>
        <v/>
      </c>
      <c r="AC763" s="310" t="e">
        <f t="shared" ca="1" si="344"/>
        <v>#N/A</v>
      </c>
      <c r="AD763" s="323" t="e">
        <f t="shared" ca="1" si="345"/>
        <v>#N/A</v>
      </c>
      <c r="AE763" s="324">
        <f t="shared" ca="1" si="324"/>
        <v>2190.4642497484106</v>
      </c>
      <c r="AG763" s="306">
        <f t="shared" ca="1" si="346"/>
        <v>-102.59287356092921</v>
      </c>
      <c r="AH763" s="304">
        <f t="shared" ca="1" si="347"/>
        <v>-93.465920358975609</v>
      </c>
    </row>
    <row r="764" spans="1:34" x14ac:dyDescent="0.2">
      <c r="A764" s="347">
        <f t="shared" ca="1" si="325"/>
        <v>0.01</v>
      </c>
      <c r="B764" s="304">
        <f t="shared" ca="1" si="326"/>
        <v>7.5999999999998824</v>
      </c>
      <c r="D764" s="306">
        <f t="shared" ca="1" si="327"/>
        <v>-34.098748304009526</v>
      </c>
      <c r="E764" s="307">
        <f t="shared" ca="1" si="328"/>
        <v>-96.322553512295215</v>
      </c>
      <c r="F764" s="304">
        <f t="shared" ca="1" si="329"/>
        <v>102.18003205631307</v>
      </c>
      <c r="G764" s="306">
        <f t="shared" ca="1" si="330"/>
        <v>159.8003549145869</v>
      </c>
      <c r="H764" s="307">
        <f t="shared" ca="1" si="331"/>
        <v>405.33428222636974</v>
      </c>
      <c r="I764" s="304">
        <f t="shared" ca="1" si="332"/>
        <v>435.69718128396738</v>
      </c>
      <c r="J764" s="306">
        <f t="shared" ca="1" si="333"/>
        <v>809.09306863120037</v>
      </c>
      <c r="K764" s="307">
        <f t="shared" ca="1" si="334"/>
        <v>2194.5224086983499</v>
      </c>
      <c r="L764" s="304">
        <f t="shared" ca="1" si="319"/>
        <v>2338.92287089298</v>
      </c>
      <c r="M764" s="306">
        <f t="shared" ca="1" si="335"/>
        <v>1.1952623881397189</v>
      </c>
      <c r="N764" s="304">
        <f t="shared" ca="1" si="336"/>
        <v>68.48349025113356</v>
      </c>
      <c r="P764" s="310">
        <f t="shared" ca="1" si="337"/>
        <v>22</v>
      </c>
      <c r="Q764" s="304">
        <f t="shared" ca="1" si="338"/>
        <v>0</v>
      </c>
      <c r="R764" s="306">
        <f t="shared" ca="1" si="339"/>
        <v>0</v>
      </c>
      <c r="S764" s="307">
        <f t="shared" ca="1" si="340"/>
        <v>11.416040186296438</v>
      </c>
      <c r="T764" s="304">
        <f t="shared" ca="1" si="320"/>
        <v>111.99135422756807</v>
      </c>
      <c r="U764" s="311">
        <f t="shared" ca="1" si="321"/>
        <v>0</v>
      </c>
      <c r="V764" s="306">
        <f t="shared" ca="1" si="322"/>
        <v>0.98275194427234891</v>
      </c>
      <c r="W764" s="304">
        <f t="shared" ca="1" si="323"/>
        <v>1056.1853456328861</v>
      </c>
      <c r="Y764" s="314" t="str">
        <f t="shared" ca="1" si="341"/>
        <v/>
      </c>
      <c r="Z764" s="315" t="str">
        <f t="shared" ca="1" si="342"/>
        <v/>
      </c>
      <c r="AA764" s="316" t="str">
        <f t="shared" ca="1" si="343"/>
        <v/>
      </c>
      <c r="AC764" s="310" t="e">
        <f t="shared" ca="1" si="344"/>
        <v>#N/A</v>
      </c>
      <c r="AD764" s="323" t="e">
        <f t="shared" ca="1" si="345"/>
        <v>#N/A</v>
      </c>
      <c r="AE764" s="324">
        <f t="shared" ca="1" si="324"/>
        <v>2194.5224086983499</v>
      </c>
      <c r="AG764" s="306">
        <f t="shared" ca="1" si="346"/>
        <v>-102.11669167583864</v>
      </c>
      <c r="AH764" s="304">
        <f t="shared" ca="1" si="347"/>
        <v>-92.990034687153099</v>
      </c>
    </row>
    <row r="765" spans="1:34" x14ac:dyDescent="0.2">
      <c r="A765" s="347">
        <f t="shared" ca="1" si="325"/>
        <v>0.01</v>
      </c>
      <c r="B765" s="304">
        <f t="shared" ca="1" si="326"/>
        <v>7.6099999999998822</v>
      </c>
      <c r="D765" s="306">
        <f t="shared" ca="1" si="327"/>
        <v>-33.932639077638107</v>
      </c>
      <c r="E765" s="307">
        <f t="shared" ca="1" si="328"/>
        <v>-95.880283835930413</v>
      </c>
      <c r="F765" s="304">
        <f t="shared" ca="1" si="329"/>
        <v>101.70768320649051</v>
      </c>
      <c r="G765" s="306">
        <f t="shared" ca="1" si="330"/>
        <v>159.46102852381051</v>
      </c>
      <c r="H765" s="307">
        <f t="shared" ca="1" si="331"/>
        <v>404.37547938801043</v>
      </c>
      <c r="I765" s="304">
        <f t="shared" ca="1" si="332"/>
        <v>434.68074255498686</v>
      </c>
      <c r="J765" s="306">
        <f t="shared" ca="1" si="333"/>
        <v>810.68937554839238</v>
      </c>
      <c r="K765" s="307">
        <f t="shared" ca="1" si="334"/>
        <v>2198.5709575064216</v>
      </c>
      <c r="L765" s="304">
        <f t="shared" ca="1" si="319"/>
        <v>2343.2736756123354</v>
      </c>
      <c r="M765" s="306">
        <f t="shared" ca="1" si="335"/>
        <v>1.1951796145868279</v>
      </c>
      <c r="N765" s="304">
        <f t="shared" ca="1" si="336"/>
        <v>68.478747675897594</v>
      </c>
      <c r="P765" s="310">
        <f t="shared" ca="1" si="337"/>
        <v>22</v>
      </c>
      <c r="Q765" s="304">
        <f t="shared" ca="1" si="338"/>
        <v>0</v>
      </c>
      <c r="R765" s="306">
        <f t="shared" ca="1" si="339"/>
        <v>0</v>
      </c>
      <c r="S765" s="307">
        <f t="shared" ca="1" si="340"/>
        <v>11.416040186296438</v>
      </c>
      <c r="T765" s="304">
        <f t="shared" ca="1" si="320"/>
        <v>111.99135422756807</v>
      </c>
      <c r="U765" s="311">
        <f t="shared" ca="1" si="321"/>
        <v>0</v>
      </c>
      <c r="V765" s="306">
        <f t="shared" ca="1" si="322"/>
        <v>0.9823492971145833</v>
      </c>
      <c r="W765" s="304">
        <f t="shared" ca="1" si="323"/>
        <v>1050.8324233575634</v>
      </c>
      <c r="Y765" s="314" t="str">
        <f t="shared" ca="1" si="341"/>
        <v/>
      </c>
      <c r="Z765" s="315" t="str">
        <f t="shared" ca="1" si="342"/>
        <v/>
      </c>
      <c r="AA765" s="316" t="str">
        <f t="shared" ca="1" si="343"/>
        <v/>
      </c>
      <c r="AC765" s="310" t="e">
        <f t="shared" ca="1" si="344"/>
        <v>#N/A</v>
      </c>
      <c r="AD765" s="323" t="e">
        <f t="shared" ca="1" si="345"/>
        <v>#N/A</v>
      </c>
      <c r="AE765" s="324">
        <f t="shared" ca="1" si="324"/>
        <v>2198.5709575064216</v>
      </c>
      <c r="AG765" s="306">
        <f t="shared" ca="1" si="346"/>
        <v>-101.64402180795616</v>
      </c>
      <c r="AH765" s="304">
        <f t="shared" ca="1" si="347"/>
        <v>-92.517661850972416</v>
      </c>
    </row>
    <row r="766" spans="1:34" x14ac:dyDescent="0.2">
      <c r="A766" s="347">
        <f t="shared" ca="1" si="325"/>
        <v>0.01</v>
      </c>
      <c r="B766" s="304">
        <f t="shared" ca="1" si="326"/>
        <v>7.619999999999882</v>
      </c>
      <c r="D766" s="306">
        <f t="shared" ca="1" si="327"/>
        <v>-33.767750962460063</v>
      </c>
      <c r="E766" s="307">
        <f t="shared" ca="1" si="328"/>
        <v>-95.441270597635793</v>
      </c>
      <c r="F766" s="304">
        <f t="shared" ca="1" si="329"/>
        <v>101.23881241082326</v>
      </c>
      <c r="G766" s="306">
        <f t="shared" ca="1" si="330"/>
        <v>159.12335101418591</v>
      </c>
      <c r="H766" s="307">
        <f t="shared" ca="1" si="331"/>
        <v>403.42106668203405</v>
      </c>
      <c r="I766" s="304">
        <f t="shared" ca="1" si="332"/>
        <v>433.66899575696436</v>
      </c>
      <c r="J766" s="306">
        <f t="shared" ca="1" si="333"/>
        <v>812.28229744608234</v>
      </c>
      <c r="K766" s="307">
        <f t="shared" ca="1" si="334"/>
        <v>2202.6099402367718</v>
      </c>
      <c r="L766" s="304">
        <f t="shared" ca="1" si="319"/>
        <v>2347.614337912878</v>
      </c>
      <c r="M766" s="306">
        <f t="shared" ca="1" si="335"/>
        <v>1.1950966305047839</v>
      </c>
      <c r="N766" s="304">
        <f t="shared" ca="1" si="336"/>
        <v>68.473993038229708</v>
      </c>
      <c r="P766" s="310">
        <f t="shared" ca="1" si="337"/>
        <v>22</v>
      </c>
      <c r="Q766" s="304">
        <f t="shared" ca="1" si="338"/>
        <v>0</v>
      </c>
      <c r="R766" s="306">
        <f t="shared" ca="1" si="339"/>
        <v>0</v>
      </c>
      <c r="S766" s="307">
        <f t="shared" ca="1" si="340"/>
        <v>11.416040186296438</v>
      </c>
      <c r="T766" s="304">
        <f t="shared" ca="1" si="320"/>
        <v>111.99135422756807</v>
      </c>
      <c r="U766" s="311">
        <f t="shared" ca="1" si="321"/>
        <v>0</v>
      </c>
      <c r="V766" s="306">
        <f t="shared" ca="1" si="322"/>
        <v>0.98194774766995063</v>
      </c>
      <c r="W766" s="304">
        <f t="shared" ca="1" si="323"/>
        <v>1045.5188133707532</v>
      </c>
      <c r="Y766" s="314" t="str">
        <f t="shared" ca="1" si="341"/>
        <v/>
      </c>
      <c r="Z766" s="315" t="str">
        <f t="shared" ca="1" si="342"/>
        <v/>
      </c>
      <c r="AA766" s="316" t="str">
        <f t="shared" ca="1" si="343"/>
        <v/>
      </c>
      <c r="AC766" s="310" t="e">
        <f t="shared" ca="1" si="344"/>
        <v>#N/A</v>
      </c>
      <c r="AD766" s="323" t="e">
        <f t="shared" ca="1" si="345"/>
        <v>#N/A</v>
      </c>
      <c r="AE766" s="324">
        <f t="shared" ca="1" si="324"/>
        <v>2202.6099402367718</v>
      </c>
      <c r="AG766" s="306">
        <f t="shared" ca="1" si="346"/>
        <v>-101.17482912224087</v>
      </c>
      <c r="AH766" s="304">
        <f t="shared" ca="1" si="347"/>
        <v>-92.048767016338928</v>
      </c>
    </row>
    <row r="767" spans="1:34" x14ac:dyDescent="0.2">
      <c r="A767" s="347">
        <f t="shared" ca="1" si="325"/>
        <v>0.01</v>
      </c>
      <c r="B767" s="304">
        <f t="shared" ca="1" si="326"/>
        <v>7.6299999999998818</v>
      </c>
      <c r="D767" s="306">
        <f t="shared" ca="1" si="327"/>
        <v>-33.604071877245616</v>
      </c>
      <c r="E767" s="307">
        <f t="shared" ca="1" si="328"/>
        <v>-95.005481588177432</v>
      </c>
      <c r="F767" s="304">
        <f t="shared" ca="1" si="329"/>
        <v>100.77338526879312</v>
      </c>
      <c r="G767" s="306">
        <f t="shared" ca="1" si="330"/>
        <v>158.78731029541345</v>
      </c>
      <c r="H767" s="307">
        <f t="shared" ca="1" si="331"/>
        <v>402.47101186615225</v>
      </c>
      <c r="I767" s="304">
        <f t="shared" ca="1" si="332"/>
        <v>432.66190646209702</v>
      </c>
      <c r="J767" s="306">
        <f t="shared" ca="1" si="333"/>
        <v>813.87185075263028</v>
      </c>
      <c r="K767" s="307">
        <f t="shared" ca="1" si="334"/>
        <v>2206.6394006295127</v>
      </c>
      <c r="L767" s="304">
        <f t="shared" ca="1" si="319"/>
        <v>2351.9449045116012</v>
      </c>
      <c r="M767" s="306">
        <f t="shared" ca="1" si="335"/>
        <v>1.195013435760709</v>
      </c>
      <c r="N767" s="304">
        <f t="shared" ca="1" si="336"/>
        <v>68.469226330516548</v>
      </c>
      <c r="P767" s="310">
        <f t="shared" ca="1" si="337"/>
        <v>22</v>
      </c>
      <c r="Q767" s="304">
        <f t="shared" ca="1" si="338"/>
        <v>0</v>
      </c>
      <c r="R767" s="306">
        <f t="shared" ca="1" si="339"/>
        <v>0</v>
      </c>
      <c r="S767" s="307">
        <f t="shared" ca="1" si="340"/>
        <v>11.416040186296438</v>
      </c>
      <c r="T767" s="304">
        <f t="shared" ca="1" si="320"/>
        <v>111.99135422756807</v>
      </c>
      <c r="U767" s="311">
        <f t="shared" ca="1" si="321"/>
        <v>0</v>
      </c>
      <c r="V767" s="306">
        <f t="shared" ca="1" si="322"/>
        <v>0.98154729047435041</v>
      </c>
      <c r="W767" s="304">
        <f t="shared" ca="1" si="323"/>
        <v>1040.2441278319541</v>
      </c>
      <c r="Y767" s="314" t="str">
        <f t="shared" ca="1" si="341"/>
        <v/>
      </c>
      <c r="Z767" s="315" t="str">
        <f t="shared" ca="1" si="342"/>
        <v/>
      </c>
      <c r="AA767" s="316" t="str">
        <f t="shared" ca="1" si="343"/>
        <v/>
      </c>
      <c r="AC767" s="310" t="e">
        <f t="shared" ca="1" si="344"/>
        <v>#N/A</v>
      </c>
      <c r="AD767" s="323" t="e">
        <f t="shared" ca="1" si="345"/>
        <v>#N/A</v>
      </c>
      <c r="AE767" s="324">
        <f t="shared" ca="1" si="324"/>
        <v>2206.6394006295127</v>
      </c>
      <c r="AG767" s="306">
        <f t="shared" ca="1" si="346"/>
        <v>-100.70907921729241</v>
      </c>
      <c r="AH767" s="304">
        <f t="shared" ca="1" si="347"/>
        <v>-91.583315782802757</v>
      </c>
    </row>
    <row r="768" spans="1:34" x14ac:dyDescent="0.2">
      <c r="A768" s="347">
        <f t="shared" ca="1" si="325"/>
        <v>0.01</v>
      </c>
      <c r="B768" s="304">
        <f t="shared" ca="1" si="326"/>
        <v>7.6399999999998816</v>
      </c>
      <c r="D768" s="306">
        <f t="shared" ca="1" si="327"/>
        <v>-33.441589890778189</v>
      </c>
      <c r="E768" s="307">
        <f t="shared" ca="1" si="328"/>
        <v>-94.572884998267725</v>
      </c>
      <c r="F768" s="304">
        <f t="shared" ca="1" si="329"/>
        <v>100.31136780703656</v>
      </c>
      <c r="G768" s="306">
        <f t="shared" ca="1" si="330"/>
        <v>158.45289439650566</v>
      </c>
      <c r="H768" s="307">
        <f t="shared" ca="1" si="331"/>
        <v>401.52528301616957</v>
      </c>
      <c r="I768" s="304">
        <f t="shared" ca="1" si="332"/>
        <v>431.65944058232441</v>
      </c>
      <c r="J768" s="306">
        <f t="shared" ca="1" si="333"/>
        <v>815.45805177608986</v>
      </c>
      <c r="K768" s="307">
        <f t="shared" ca="1" si="334"/>
        <v>2210.6593821039241</v>
      </c>
      <c r="L768" s="304">
        <f t="shared" ca="1" si="319"/>
        <v>2356.2654217830723</v>
      </c>
      <c r="M768" s="306">
        <f t="shared" ca="1" si="335"/>
        <v>1.1949300302210049</v>
      </c>
      <c r="N768" s="304">
        <f t="shared" ca="1" si="336"/>
        <v>68.464447545103496</v>
      </c>
      <c r="P768" s="310">
        <f t="shared" ca="1" si="337"/>
        <v>22</v>
      </c>
      <c r="Q768" s="304">
        <f t="shared" ca="1" si="338"/>
        <v>0</v>
      </c>
      <c r="R768" s="306">
        <f t="shared" ca="1" si="339"/>
        <v>0</v>
      </c>
      <c r="S768" s="307">
        <f t="shared" ca="1" si="340"/>
        <v>11.416040186296438</v>
      </c>
      <c r="T768" s="304">
        <f t="shared" ca="1" si="320"/>
        <v>111.99135422756807</v>
      </c>
      <c r="U768" s="311">
        <f t="shared" ca="1" si="321"/>
        <v>0</v>
      </c>
      <c r="V768" s="306">
        <f t="shared" ca="1" si="322"/>
        <v>0.98114792010548746</v>
      </c>
      <c r="W768" s="304">
        <f t="shared" ca="1" si="323"/>
        <v>1035.0079837042831</v>
      </c>
      <c r="Y768" s="314" t="str">
        <f t="shared" ca="1" si="341"/>
        <v/>
      </c>
      <c r="Z768" s="315" t="str">
        <f t="shared" ca="1" si="342"/>
        <v/>
      </c>
      <c r="AA768" s="316" t="str">
        <f t="shared" ca="1" si="343"/>
        <v/>
      </c>
      <c r="AC768" s="310" t="e">
        <f t="shared" ca="1" si="344"/>
        <v>#N/A</v>
      </c>
      <c r="AD768" s="323" t="e">
        <f t="shared" ca="1" si="345"/>
        <v>#N/A</v>
      </c>
      <c r="AE768" s="324">
        <f t="shared" ca="1" si="324"/>
        <v>2210.6593821039241</v>
      </c>
      <c r="AG768" s="306">
        <f t="shared" ca="1" si="346"/>
        <v>-100.24673811886112</v>
      </c>
      <c r="AH768" s="304">
        <f t="shared" ca="1" si="347"/>
        <v>-91.121274177068869</v>
      </c>
    </row>
    <row r="769" spans="1:34" x14ac:dyDescent="0.2">
      <c r="A769" s="347">
        <f t="shared" ca="1" si="325"/>
        <v>0.01</v>
      </c>
      <c r="B769" s="304">
        <f t="shared" ca="1" si="326"/>
        <v>7.6499999999998813</v>
      </c>
      <c r="D769" s="306">
        <f t="shared" ca="1" si="327"/>
        <v>-33.280293219614762</v>
      </c>
      <c r="E769" s="307">
        <f t="shared" ca="1" si="328"/>
        <v>-94.143449412594734</v>
      </c>
      <c r="F769" s="304">
        <f t="shared" ca="1" si="329"/>
        <v>99.852726472967774</v>
      </c>
      <c r="G769" s="306">
        <f t="shared" ca="1" si="330"/>
        <v>158.1200914643095</v>
      </c>
      <c r="H769" s="307">
        <f t="shared" ca="1" si="331"/>
        <v>400.58384852204364</v>
      </c>
      <c r="I769" s="304">
        <f t="shared" ca="1" si="332"/>
        <v>430.66156436512091</v>
      </c>
      <c r="J769" s="306">
        <f t="shared" ca="1" si="333"/>
        <v>817.0409167053939</v>
      </c>
      <c r="K769" s="307">
        <f t="shared" ca="1" si="334"/>
        <v>2214.6699277616153</v>
      </c>
      <c r="L769" s="304">
        <f t="shared" ca="1" si="319"/>
        <v>2360.5759357628021</v>
      </c>
      <c r="M769" s="306">
        <f t="shared" ca="1" si="335"/>
        <v>1.1948464137513515</v>
      </c>
      <c r="N769" s="304">
        <f t="shared" ca="1" si="336"/>
        <v>68.459656674294564</v>
      </c>
      <c r="P769" s="310">
        <f t="shared" ca="1" si="337"/>
        <v>22</v>
      </c>
      <c r="Q769" s="304">
        <f t="shared" ca="1" si="338"/>
        <v>0</v>
      </c>
      <c r="R769" s="306">
        <f t="shared" ca="1" si="339"/>
        <v>0</v>
      </c>
      <c r="S769" s="307">
        <f t="shared" ca="1" si="340"/>
        <v>11.416040186296438</v>
      </c>
      <c r="T769" s="304">
        <f t="shared" ca="1" si="320"/>
        <v>111.99135422756807</v>
      </c>
      <c r="U769" s="311">
        <f t="shared" ca="1" si="321"/>
        <v>0</v>
      </c>
      <c r="V769" s="306">
        <f t="shared" ca="1" si="322"/>
        <v>0.98074963118244818</v>
      </c>
      <c r="W769" s="304">
        <f t="shared" ca="1" si="323"/>
        <v>1029.810002682952</v>
      </c>
      <c r="Y769" s="314" t="str">
        <f t="shared" ca="1" si="341"/>
        <v/>
      </c>
      <c r="Z769" s="315" t="str">
        <f t="shared" ca="1" si="342"/>
        <v/>
      </c>
      <c r="AA769" s="316" t="str">
        <f t="shared" ca="1" si="343"/>
        <v/>
      </c>
      <c r="AC769" s="310" t="e">
        <f t="shared" ca="1" si="344"/>
        <v>#N/A</v>
      </c>
      <c r="AD769" s="323" t="e">
        <f t="shared" ca="1" si="345"/>
        <v>#N/A</v>
      </c>
      <c r="AE769" s="324">
        <f t="shared" ca="1" si="324"/>
        <v>2214.6699277616153</v>
      </c>
      <c r="AG769" s="306">
        <f t="shared" ca="1" si="346"/>
        <v>-99.787772273471077</v>
      </c>
      <c r="AH769" s="304">
        <f t="shared" ca="1" si="347"/>
        <v>-90.6626086466202</v>
      </c>
    </row>
    <row r="770" spans="1:34" x14ac:dyDescent="0.2">
      <c r="A770" s="347">
        <f t="shared" ca="1" si="325"/>
        <v>0.01</v>
      </c>
      <c r="B770" s="304">
        <f t="shared" ca="1" si="326"/>
        <v>7.6599999999998811</v>
      </c>
      <c r="D770" s="306">
        <f t="shared" ca="1" si="327"/>
        <v>-33.120170225885708</v>
      </c>
      <c r="E770" s="307">
        <f t="shared" ca="1" si="328"/>
        <v>-93.717143803956063</v>
      </c>
      <c r="F770" s="304">
        <f t="shared" ca="1" si="329"/>
        <v>99.39742812851361</v>
      </c>
      <c r="G770" s="306">
        <f t="shared" ca="1" si="330"/>
        <v>157.78888976205064</v>
      </c>
      <c r="H770" s="307">
        <f t="shared" ca="1" si="331"/>
        <v>399.64667708400407</v>
      </c>
      <c r="I770" s="304">
        <f t="shared" ca="1" si="332"/>
        <v>429.66824438935066</v>
      </c>
      <c r="J770" s="306">
        <f t="shared" ca="1" si="333"/>
        <v>818.62046161152568</v>
      </c>
      <c r="K770" s="307">
        <f t="shared" ca="1" si="334"/>
        <v>2218.6710803896453</v>
      </c>
      <c r="L770" s="304">
        <f t="shared" ca="1" si="319"/>
        <v>2364.8764921505781</v>
      </c>
      <c r="M770" s="306">
        <f t="shared" ca="1" si="335"/>
        <v>1.1947625862167082</v>
      </c>
      <c r="N770" s="304">
        <f t="shared" ca="1" si="336"/>
        <v>68.454853710352523</v>
      </c>
      <c r="P770" s="310">
        <f t="shared" ca="1" si="337"/>
        <v>22</v>
      </c>
      <c r="Q770" s="304">
        <f t="shared" ca="1" si="338"/>
        <v>0</v>
      </c>
      <c r="R770" s="306">
        <f t="shared" ca="1" si="339"/>
        <v>0</v>
      </c>
      <c r="S770" s="307">
        <f t="shared" ca="1" si="340"/>
        <v>11.416040186296438</v>
      </c>
      <c r="T770" s="304">
        <f t="shared" ca="1" si="320"/>
        <v>111.99135422756807</v>
      </c>
      <c r="U770" s="311">
        <f t="shared" ca="1" si="321"/>
        <v>0</v>
      </c>
      <c r="V770" s="306">
        <f t="shared" ca="1" si="322"/>
        <v>0.98035241836527942</v>
      </c>
      <c r="W770" s="304">
        <f t="shared" ca="1" si="323"/>
        <v>1024.6498111249823</v>
      </c>
      <c r="Y770" s="314" t="str">
        <f t="shared" ca="1" si="341"/>
        <v/>
      </c>
      <c r="Z770" s="315" t="str">
        <f t="shared" ca="1" si="342"/>
        <v/>
      </c>
      <c r="AA770" s="316" t="str">
        <f t="shared" ca="1" si="343"/>
        <v/>
      </c>
      <c r="AC770" s="310" t="e">
        <f t="shared" ca="1" si="344"/>
        <v>#N/A</v>
      </c>
      <c r="AD770" s="323" t="e">
        <f t="shared" ca="1" si="345"/>
        <v>#N/A</v>
      </c>
      <c r="AE770" s="324">
        <f t="shared" ca="1" si="324"/>
        <v>2218.6710803896453</v>
      </c>
      <c r="AG770" s="306">
        <f t="shared" ca="1" si="346"/>
        <v>-99.332148542155053</v>
      </c>
      <c r="AH770" s="304">
        <f t="shared" ca="1" si="347"/>
        <v>-90.207286053452506</v>
      </c>
    </row>
    <row r="771" spans="1:34" x14ac:dyDescent="0.2">
      <c r="A771" s="347">
        <f t="shared" ca="1" si="325"/>
        <v>0.01</v>
      </c>
      <c r="B771" s="304">
        <f t="shared" ca="1" si="326"/>
        <v>7.6699999999998809</v>
      </c>
      <c r="D771" s="306">
        <f t="shared" ca="1" si="327"/>
        <v>-32.961209415132558</v>
      </c>
      <c r="E771" s="307">
        <f t="shared" ca="1" si="328"/>
        <v>-93.293937527494265</v>
      </c>
      <c r="F771" s="304">
        <f t="shared" ca="1" si="329"/>
        <v>98.94544004395668</v>
      </c>
      <c r="G771" s="306">
        <f t="shared" ca="1" si="330"/>
        <v>157.45927766789933</v>
      </c>
      <c r="H771" s="307">
        <f t="shared" ca="1" si="331"/>
        <v>398.71373770872913</v>
      </c>
      <c r="I771" s="304">
        <f t="shared" ca="1" si="332"/>
        <v>428.67944756118396</v>
      </c>
      <c r="J771" s="306">
        <f t="shared" ca="1" si="333"/>
        <v>820.19670244867541</v>
      </c>
      <c r="K771" s="307">
        <f t="shared" ca="1" si="334"/>
        <v>2222.6628824636091</v>
      </c>
      <c r="L771" s="304">
        <f t="shared" ca="1" si="319"/>
        <v>2369.1671363137552</v>
      </c>
      <c r="M771" s="306">
        <f t="shared" ca="1" si="335"/>
        <v>1.194678547481314</v>
      </c>
      <c r="N771" s="304">
        <f t="shared" ca="1" si="336"/>
        <v>68.450038645498822</v>
      </c>
      <c r="P771" s="310">
        <f t="shared" ca="1" si="337"/>
        <v>22</v>
      </c>
      <c r="Q771" s="304">
        <f t="shared" ca="1" si="338"/>
        <v>0</v>
      </c>
      <c r="R771" s="306">
        <f t="shared" ca="1" si="339"/>
        <v>0</v>
      </c>
      <c r="S771" s="307">
        <f t="shared" ca="1" si="340"/>
        <v>11.416040186296438</v>
      </c>
      <c r="T771" s="304">
        <f t="shared" ca="1" si="320"/>
        <v>111.99135422756807</v>
      </c>
      <c r="U771" s="311">
        <f t="shared" ca="1" si="321"/>
        <v>0</v>
      </c>
      <c r="V771" s="306">
        <f t="shared" ca="1" si="322"/>
        <v>0.97995627635457572</v>
      </c>
      <c r="W771" s="304">
        <f t="shared" ca="1" si="323"/>
        <v>1019.5270399801395</v>
      </c>
      <c r="Y771" s="314" t="str">
        <f t="shared" ca="1" si="341"/>
        <v/>
      </c>
      <c r="Z771" s="315" t="str">
        <f t="shared" ca="1" si="342"/>
        <v/>
      </c>
      <c r="AA771" s="316" t="str">
        <f t="shared" ca="1" si="343"/>
        <v/>
      </c>
      <c r="AC771" s="310" t="e">
        <f t="shared" ca="1" si="344"/>
        <v>#N/A</v>
      </c>
      <c r="AD771" s="323" t="e">
        <f t="shared" ca="1" si="345"/>
        <v>#N/A</v>
      </c>
      <c r="AE771" s="324">
        <f t="shared" ca="1" si="324"/>
        <v>2222.6628824636091</v>
      </c>
      <c r="AG771" s="306">
        <f t="shared" ca="1" si="346"/>
        <v>-98.879834194297672</v>
      </c>
      <c r="AH771" s="304">
        <f t="shared" ca="1" si="347"/>
        <v>-89.755273667917635</v>
      </c>
    </row>
    <row r="772" spans="1:34" x14ac:dyDescent="0.2">
      <c r="A772" s="347">
        <f t="shared" ca="1" si="325"/>
        <v>0.01</v>
      </c>
      <c r="B772" s="304">
        <f t="shared" ca="1" si="326"/>
        <v>7.6799999999998807</v>
      </c>
      <c r="D772" s="306">
        <f t="shared" ca="1" si="327"/>
        <v>-32.803399434183319</v>
      </c>
      <c r="E772" s="307">
        <f t="shared" ca="1" si="328"/>
        <v>-92.873800315032483</v>
      </c>
      <c r="F772" s="304">
        <f t="shared" ca="1" si="329"/>
        <v>98.496729891885778</v>
      </c>
      <c r="G772" s="306">
        <f t="shared" ca="1" si="330"/>
        <v>157.13124367355749</v>
      </c>
      <c r="H772" s="307">
        <f t="shared" ca="1" si="331"/>
        <v>397.7849997055788</v>
      </c>
      <c r="I772" s="304">
        <f t="shared" ca="1" si="332"/>
        <v>427.69514111007413</v>
      </c>
      <c r="J772" s="306">
        <f t="shared" ca="1" si="333"/>
        <v>821.76965505538271</v>
      </c>
      <c r="K772" s="307">
        <f t="shared" ca="1" si="334"/>
        <v>2226.6453761506805</v>
      </c>
      <c r="L772" s="304">
        <f t="shared" ref="L772:L835" ca="1" si="348">SQRT(pos_x^2+pos_z^2)</f>
        <v>2373.4479132905039</v>
      </c>
      <c r="M772" s="306">
        <f t="shared" ca="1" si="335"/>
        <v>1.1945942974086867</v>
      </c>
      <c r="N772" s="304">
        <f t="shared" ca="1" si="336"/>
        <v>68.445211471913609</v>
      </c>
      <c r="P772" s="310">
        <f t="shared" ca="1" si="337"/>
        <v>22</v>
      </c>
      <c r="Q772" s="304">
        <f t="shared" ca="1" si="338"/>
        <v>0</v>
      </c>
      <c r="R772" s="306">
        <f t="shared" ca="1" si="339"/>
        <v>0</v>
      </c>
      <c r="S772" s="307">
        <f t="shared" ca="1" si="340"/>
        <v>11.416040186296438</v>
      </c>
      <c r="T772" s="304">
        <f t="shared" ref="T772:T835" ca="1" si="349">m*g</f>
        <v>111.99135422756807</v>
      </c>
      <c r="U772" s="311">
        <f t="shared" ref="U772:U835" ca="1" si="350">IF(pos_xz&lt;L_rampe,Poids*COS(Beta),0)</f>
        <v>0</v>
      </c>
      <c r="V772" s="306">
        <f t="shared" ref="V772:V835" ca="1" si="351">Rho_moyen*(20000-Alt_rampe-pos_z)/(20000+Alt_rampe+pos_z)</f>
        <v>0.97956119989106794</v>
      </c>
      <c r="W772" s="304">
        <f t="shared" ref="W772:W835" ca="1" si="352">1/2*Rho*Sref*Cx*vit_xz^2</f>
        <v>1014.441324723063</v>
      </c>
      <c r="Y772" s="314" t="str">
        <f t="shared" ca="1" si="341"/>
        <v/>
      </c>
      <c r="Z772" s="315" t="str">
        <f t="shared" ca="1" si="342"/>
        <v/>
      </c>
      <c r="AA772" s="316" t="str">
        <f t="shared" ca="1" si="343"/>
        <v/>
      </c>
      <c r="AC772" s="310" t="e">
        <f t="shared" ca="1" si="344"/>
        <v>#N/A</v>
      </c>
      <c r="AD772" s="323" t="e">
        <f t="shared" ca="1" si="345"/>
        <v>#N/A</v>
      </c>
      <c r="AE772" s="324">
        <f t="shared" ref="AE772:AE835" ca="1" si="353">IF(t&lt;T_para, pos_z, NA())</f>
        <v>2226.6453761506805</v>
      </c>
      <c r="AG772" s="306">
        <f t="shared" ca="1" si="346"/>
        <v>-98.430796901585637</v>
      </c>
      <c r="AH772" s="304">
        <f t="shared" ca="1" si="347"/>
        <v>-89.306539162673687</v>
      </c>
    </row>
    <row r="773" spans="1:34" x14ac:dyDescent="0.2">
      <c r="A773" s="347">
        <f t="shared" ref="A773:A836" ca="1" si="354">IF(B772+0.01&lt;=T_ini+ROUNDUP(Temps_fin_propu,0), 0.01, IF(K772&gt;0, 0.1, 0.0001))</f>
        <v>0.01</v>
      </c>
      <c r="B773" s="304">
        <f t="shared" ref="B773:B836" ca="1" si="355">B772+pas</f>
        <v>7.6899999999998805</v>
      </c>
      <c r="D773" s="306">
        <f t="shared" ref="D773:D836" ca="1" si="356">IF(AND(L772&lt;L_rampe,Poussee&lt;Poids*SIN(M772)),0,(-W772+Poussee)/m*COS(M772)-U772/m*SIN(M772))</f>
        <v>-32.646729069064627</v>
      </c>
      <c r="E773" s="307">
        <f t="shared" ref="E773:E836" ca="1" si="357">IF(AND(L772&lt;L_rampe,Poussee&lt;Poids*SIN(M772)),0,(-W772+Poussee)/m*SIN(M772)+U772/m*COS(M772)-Poids/m)</f>
        <v>-92.456702269507772</v>
      </c>
      <c r="F773" s="304">
        <f t="shared" ref="F773:F836" ca="1" si="358">SQRT(acc_x^2+acc_z^2)</f>
        <v>98.051265741250447</v>
      </c>
      <c r="G773" s="306">
        <f t="shared" ref="G773:G836" ca="1" si="359">G772+acc_x*pas</f>
        <v>156.80477638286683</v>
      </c>
      <c r="H773" s="307">
        <f t="shared" ref="H773:H836" ca="1" si="360">H772+acc_z*pas</f>
        <v>396.8604326828837</v>
      </c>
      <c r="I773" s="304">
        <f t="shared" ref="I773:I836" ca="1" si="361">SQRT(vit_x^2+vit_z^2)</f>
        <v>426.71529258479421</v>
      </c>
      <c r="J773" s="306">
        <f t="shared" ref="J773:J836" ca="1" si="362">J772+0.5*(vit_x+G772)*pas*(K772&gt;=0)</f>
        <v>823.3393351556648</v>
      </c>
      <c r="K773" s="307">
        <f t="shared" ref="K773:K836" ca="1" si="363">K772+0.5*(vit_z+H772)*pas</f>
        <v>2230.6186033126228</v>
      </c>
      <c r="L773" s="304">
        <f t="shared" ca="1" si="348"/>
        <v>2377.7188677930212</v>
      </c>
      <c r="M773" s="306">
        <f t="shared" ref="M773:M836" ca="1" si="364">IF(AND(L772&gt;L_rampe,G773&gt;0),ATAN2(G773,H773),$M$4)</f>
        <v>1.1945098358616242</v>
      </c>
      <c r="N773" s="304">
        <f t="shared" ref="N773:N836" ca="1" si="365">DEGREES(Beta)</f>
        <v>68.440372181735782</v>
      </c>
      <c r="P773" s="310">
        <f t="shared" ref="P773:P836" ca="1" si="366">MATCH(t-pas/2-T_ini,CdP_t)</f>
        <v>22</v>
      </c>
      <c r="Q773" s="304">
        <f t="shared" ref="Q773:Q836" ca="1" si="367">(INDEX(CdP,2,i_P+1)-INDEX(CdP,2,i_P+0))/(INDEX(CdP,1,i_P+1)-INDEX(CdP,1,i_P+0))*(t-pas/2-T_ini-INDEX(CdP,1,i_P+0))+INDEX(CdP,2,i_P+0)</f>
        <v>0</v>
      </c>
      <c r="R773" s="306">
        <f t="shared" ref="R773:R836" ca="1" si="368">Poussee/(g*ISP)</f>
        <v>0</v>
      </c>
      <c r="S773" s="307">
        <f t="shared" ref="S773:S836" ca="1" si="369">S772-Débit*pas</f>
        <v>11.416040186296438</v>
      </c>
      <c r="T773" s="304">
        <f t="shared" ca="1" si="349"/>
        <v>111.99135422756807</v>
      </c>
      <c r="U773" s="311">
        <f t="shared" ca="1" si="350"/>
        <v>0</v>
      </c>
      <c r="V773" s="306">
        <f t="shared" ca="1" si="351"/>
        <v>0.97916718375522083</v>
      </c>
      <c r="W773" s="304">
        <f t="shared" ca="1" si="352"/>
        <v>1009.3923052865662</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f t="shared" ca="1" si="353"/>
        <v>2230.6186033126228</v>
      </c>
      <c r="AG773" s="306">
        <f t="shared" ref="AG773:AG836" ca="1" si="375">IF(AND(L772&lt;L_rampe,Poussee&lt;Poids*SIN(M772)),0,(-W772+Poussee)/m-Poids*SIN(M772)/m)</f>
        <v>-97.985004732062478</v>
      </c>
      <c r="AH773" s="304">
        <f t="shared" ref="AH773:AH836" ca="1" si="376">IF(AND(L772&lt;L_rampe,Poussee&lt;Poids*SIN(M772)), g*SIN(M772), (-W772+Poussee)/m)</f>
        <v>-88.861050606739795</v>
      </c>
    </row>
    <row r="774" spans="1:34" x14ac:dyDescent="0.2">
      <c r="A774" s="347">
        <f t="shared" ca="1" si="354"/>
        <v>0.01</v>
      </c>
      <c r="B774" s="304">
        <f t="shared" ca="1" si="355"/>
        <v>7.6999999999998803</v>
      </c>
      <c r="D774" s="306">
        <f t="shared" ca="1" si="356"/>
        <v>-32.491187242949813</v>
      </c>
      <c r="E774" s="307">
        <f t="shared" ca="1" si="357"/>
        <v>-92.042613859500761</v>
      </c>
      <c r="F774" s="304">
        <f t="shared" ca="1" si="358"/>
        <v>97.609016051518452</v>
      </c>
      <c r="G774" s="306">
        <f t="shared" ca="1" si="359"/>
        <v>156.47986451043732</v>
      </c>
      <c r="H774" s="307">
        <f t="shared" ca="1" si="360"/>
        <v>395.94000654428868</v>
      </c>
      <c r="I774" s="304">
        <f t="shared" ca="1" si="361"/>
        <v>425.73986984953166</v>
      </c>
      <c r="J774" s="306">
        <f t="shared" ca="1" si="362"/>
        <v>824.90575836013136</v>
      </c>
      <c r="K774" s="307">
        <f t="shared" ca="1" si="363"/>
        <v>2234.5826055087587</v>
      </c>
      <c r="L774" s="304">
        <f t="shared" ca="1" si="348"/>
        <v>2381.9800442107016</v>
      </c>
      <c r="M774" s="306">
        <f t="shared" ca="1" si="364"/>
        <v>1.1944251627022038</v>
      </c>
      <c r="N774" s="304">
        <f t="shared" ca="1" si="365"/>
        <v>68.435520767062954</v>
      </c>
      <c r="P774" s="310">
        <f t="shared" ca="1" si="366"/>
        <v>22</v>
      </c>
      <c r="Q774" s="304">
        <f t="shared" ca="1" si="367"/>
        <v>0</v>
      </c>
      <c r="R774" s="306">
        <f t="shared" ca="1" si="368"/>
        <v>0</v>
      </c>
      <c r="S774" s="307">
        <f t="shared" ca="1" si="369"/>
        <v>11.416040186296438</v>
      </c>
      <c r="T774" s="304">
        <f t="shared" ca="1" si="349"/>
        <v>111.99135422756807</v>
      </c>
      <c r="U774" s="311">
        <f t="shared" ca="1" si="350"/>
        <v>0</v>
      </c>
      <c r="V774" s="306">
        <f t="shared" ca="1" si="351"/>
        <v>0.97877422276683257</v>
      </c>
      <c r="W774" s="304">
        <f t="shared" ca="1" si="352"/>
        <v>1004.3796259960853</v>
      </c>
      <c r="Y774" s="314" t="str">
        <f t="shared" ca="1" si="370"/>
        <v/>
      </c>
      <c r="Z774" s="315" t="str">
        <f t="shared" ca="1" si="371"/>
        <v/>
      </c>
      <c r="AA774" s="316" t="str">
        <f t="shared" ca="1" si="372"/>
        <v/>
      </c>
      <c r="AC774" s="310" t="e">
        <f t="shared" ca="1" si="373"/>
        <v>#N/A</v>
      </c>
      <c r="AD774" s="323" t="e">
        <f t="shared" ca="1" si="374"/>
        <v>#N/A</v>
      </c>
      <c r="AE774" s="324">
        <f t="shared" ca="1" si="353"/>
        <v>2234.5826055087587</v>
      </c>
      <c r="AG774" s="306">
        <f t="shared" ca="1" si="375"/>
        <v>-97.542426144285955</v>
      </c>
      <c r="AH774" s="304">
        <f t="shared" ca="1" si="376"/>
        <v>-88.418776459653529</v>
      </c>
    </row>
    <row r="775" spans="1:34" x14ac:dyDescent="0.2">
      <c r="A775" s="347">
        <f t="shared" ca="1" si="354"/>
        <v>0.01</v>
      </c>
      <c r="B775" s="304">
        <f t="shared" ca="1" si="355"/>
        <v>7.7099999999998801</v>
      </c>
      <c r="D775" s="306">
        <f t="shared" ca="1" si="356"/>
        <v>-32.336763014142392</v>
      </c>
      <c r="E775" s="307">
        <f t="shared" ca="1" si="357"/>
        <v>-91.6315059138593</v>
      </c>
      <c r="F775" s="304">
        <f t="shared" ca="1" si="358"/>
        <v>97.169949666933746</v>
      </c>
      <c r="G775" s="306">
        <f t="shared" ca="1" si="359"/>
        <v>156.15649688029589</v>
      </c>
      <c r="H775" s="307">
        <f t="shared" ca="1" si="360"/>
        <v>395.0236914851501</v>
      </c>
      <c r="I775" s="304">
        <f t="shared" ca="1" si="361"/>
        <v>424.76884108004072</v>
      </c>
      <c r="J775" s="306">
        <f t="shared" ca="1" si="362"/>
        <v>826.46894016708507</v>
      </c>
      <c r="K775" s="307">
        <f t="shared" ca="1" si="363"/>
        <v>2238.537423998906</v>
      </c>
      <c r="L775" s="304">
        <f t="shared" ca="1" si="348"/>
        <v>2386.231486613267</v>
      </c>
      <c r="M775" s="306">
        <f t="shared" ca="1" si="364"/>
        <v>1.1943402777917826</v>
      </c>
      <c r="N775" s="304">
        <f t="shared" ca="1" si="365"/>
        <v>68.43065721995147</v>
      </c>
      <c r="P775" s="310">
        <f t="shared" ca="1" si="366"/>
        <v>22</v>
      </c>
      <c r="Q775" s="304">
        <f t="shared" ca="1" si="367"/>
        <v>0</v>
      </c>
      <c r="R775" s="306">
        <f t="shared" ca="1" si="368"/>
        <v>0</v>
      </c>
      <c r="S775" s="307">
        <f t="shared" ca="1" si="369"/>
        <v>11.416040186296438</v>
      </c>
      <c r="T775" s="304">
        <f t="shared" ca="1" si="349"/>
        <v>111.99135422756807</v>
      </c>
      <c r="U775" s="311">
        <f t="shared" ca="1" si="350"/>
        <v>0</v>
      </c>
      <c r="V775" s="306">
        <f t="shared" ca="1" si="351"/>
        <v>0.97838231178464252</v>
      </c>
      <c r="W775" s="304">
        <f t="shared" ca="1" si="352"/>
        <v>999.40293550525189</v>
      </c>
      <c r="Y775" s="314" t="str">
        <f t="shared" ca="1" si="370"/>
        <v/>
      </c>
      <c r="Z775" s="315" t="str">
        <f t="shared" ca="1" si="371"/>
        <v/>
      </c>
      <c r="AA775" s="316" t="str">
        <f t="shared" ca="1" si="372"/>
        <v/>
      </c>
      <c r="AC775" s="310" t="e">
        <f t="shared" ca="1" si="373"/>
        <v>#N/A</v>
      </c>
      <c r="AD775" s="323" t="e">
        <f t="shared" ca="1" si="374"/>
        <v>#N/A</v>
      </c>
      <c r="AE775" s="324">
        <f t="shared" ca="1" si="353"/>
        <v>2238.537423998906</v>
      </c>
      <c r="AG775" s="306">
        <f t="shared" ca="1" si="375"/>
        <v>-97.103029981586005</v>
      </c>
      <c r="AH775" s="304">
        <f t="shared" ca="1" si="376"/>
        <v>-87.979685565728857</v>
      </c>
    </row>
    <row r="776" spans="1:34" x14ac:dyDescent="0.2">
      <c r="A776" s="347">
        <f t="shared" ca="1" si="354"/>
        <v>0.01</v>
      </c>
      <c r="B776" s="304">
        <f t="shared" ca="1" si="355"/>
        <v>7.7199999999998798</v>
      </c>
      <c r="D776" s="306">
        <f t="shared" ca="1" si="356"/>
        <v>-32.183445574094044</v>
      </c>
      <c r="E776" s="307">
        <f t="shared" ca="1" si="357"/>
        <v>-91.223349616414367</v>
      </c>
      <c r="F776" s="304">
        <f t="shared" ca="1" si="358"/>
        <v>96.734035810872896</v>
      </c>
      <c r="G776" s="306">
        <f t="shared" ca="1" si="359"/>
        <v>155.83466242455495</v>
      </c>
      <c r="H776" s="307">
        <f t="shared" ca="1" si="360"/>
        <v>394.11145798898593</v>
      </c>
      <c r="I776" s="304">
        <f t="shared" ca="1" si="361"/>
        <v>423.80217475985091</v>
      </c>
      <c r="J776" s="306">
        <f t="shared" ca="1" si="362"/>
        <v>828.02889596360933</v>
      </c>
      <c r="K776" s="307">
        <f t="shared" ca="1" si="363"/>
        <v>2242.4830997462768</v>
      </c>
      <c r="L776" s="304">
        <f t="shared" ca="1" si="348"/>
        <v>2390.4732387538634</v>
      </c>
      <c r="M776" s="306">
        <f t="shared" ca="1" si="364"/>
        <v>1.1942551809909974</v>
      </c>
      <c r="N776" s="304">
        <f t="shared" ca="1" si="365"/>
        <v>68.425781532416408</v>
      </c>
      <c r="P776" s="310">
        <f t="shared" ca="1" si="366"/>
        <v>22</v>
      </c>
      <c r="Q776" s="304">
        <f t="shared" ca="1" si="367"/>
        <v>0</v>
      </c>
      <c r="R776" s="306">
        <f t="shared" ca="1" si="368"/>
        <v>0</v>
      </c>
      <c r="S776" s="307">
        <f t="shared" ca="1" si="369"/>
        <v>11.416040186296438</v>
      </c>
      <c r="T776" s="304">
        <f t="shared" ca="1" si="349"/>
        <v>111.99135422756807</v>
      </c>
      <c r="U776" s="311">
        <f t="shared" ca="1" si="350"/>
        <v>0</v>
      </c>
      <c r="V776" s="306">
        <f t="shared" ca="1" si="351"/>
        <v>0.97799144570594054</v>
      </c>
      <c r="W776" s="304">
        <f t="shared" ca="1" si="352"/>
        <v>994.46188673256893</v>
      </c>
      <c r="Y776" s="314" t="str">
        <f t="shared" ca="1" si="370"/>
        <v/>
      </c>
      <c r="Z776" s="315" t="str">
        <f t="shared" ca="1" si="371"/>
        <v/>
      </c>
      <c r="AA776" s="316" t="str">
        <f t="shared" ca="1" si="372"/>
        <v/>
      </c>
      <c r="AC776" s="310" t="e">
        <f t="shared" ca="1" si="373"/>
        <v>#N/A</v>
      </c>
      <c r="AD776" s="323" t="e">
        <f t="shared" ca="1" si="374"/>
        <v>#N/A</v>
      </c>
      <c r="AE776" s="324">
        <f t="shared" ca="1" si="353"/>
        <v>2242.4830997462768</v>
      </c>
      <c r="AG776" s="306">
        <f t="shared" ca="1" si="375"/>
        <v>-96.66678546642116</v>
      </c>
      <c r="AH776" s="304">
        <f t="shared" ca="1" si="376"/>
        <v>-87.54374714841255</v>
      </c>
    </row>
    <row r="777" spans="1:34" x14ac:dyDescent="0.2">
      <c r="A777" s="347">
        <f t="shared" ca="1" si="354"/>
        <v>0.01</v>
      </c>
      <c r="B777" s="304">
        <f t="shared" ca="1" si="355"/>
        <v>7.7299999999998796</v>
      </c>
      <c r="D777" s="306">
        <f t="shared" ca="1" si="356"/>
        <v>-32.031224245456649</v>
      </c>
      <c r="E777" s="307">
        <f t="shared" ca="1" si="357"/>
        <v>-90.818116500786473</v>
      </c>
      <c r="F777" s="304">
        <f t="shared" ca="1" si="358"/>
        <v>96.301244080298119</v>
      </c>
      <c r="G777" s="306">
        <f t="shared" ca="1" si="359"/>
        <v>155.51435018210037</v>
      </c>
      <c r="H777" s="307">
        <f t="shared" ca="1" si="360"/>
        <v>393.20327682397806</v>
      </c>
      <c r="I777" s="304">
        <f t="shared" ca="1" si="361"/>
        <v>422.83983967653148</v>
      </c>
      <c r="J777" s="306">
        <f t="shared" ca="1" si="362"/>
        <v>829.58564102664263</v>
      </c>
      <c r="K777" s="307">
        <f t="shared" ca="1" si="363"/>
        <v>2246.4196734203415</v>
      </c>
      <c r="L777" s="304">
        <f t="shared" ca="1" si="348"/>
        <v>2394.7053440721133</v>
      </c>
      <c r="M777" s="306">
        <f t="shared" ca="1" si="364"/>
        <v>1.1941698721597649</v>
      </c>
      <c r="N777" s="304">
        <f t="shared" ca="1" si="365"/>
        <v>68.420893696431591</v>
      </c>
      <c r="P777" s="310">
        <f t="shared" ca="1" si="366"/>
        <v>22</v>
      </c>
      <c r="Q777" s="304">
        <f t="shared" ca="1" si="367"/>
        <v>0</v>
      </c>
      <c r="R777" s="306">
        <f t="shared" ca="1" si="368"/>
        <v>0</v>
      </c>
      <c r="S777" s="307">
        <f t="shared" ca="1" si="369"/>
        <v>11.416040186296438</v>
      </c>
      <c r="T777" s="304">
        <f t="shared" ca="1" si="349"/>
        <v>111.99135422756807</v>
      </c>
      <c r="U777" s="311">
        <f t="shared" ca="1" si="350"/>
        <v>0</v>
      </c>
      <c r="V777" s="306">
        <f t="shared" ca="1" si="351"/>
        <v>0.97760161946618307</v>
      </c>
      <c r="W777" s="304">
        <f t="shared" ca="1" si="352"/>
        <v>989.55613679916962</v>
      </c>
      <c r="Y777" s="314" t="str">
        <f t="shared" ca="1" si="370"/>
        <v/>
      </c>
      <c r="Z777" s="315" t="str">
        <f t="shared" ca="1" si="371"/>
        <v/>
      </c>
      <c r="AA777" s="316" t="str">
        <f t="shared" ca="1" si="372"/>
        <v/>
      </c>
      <c r="AC777" s="310" t="e">
        <f t="shared" ca="1" si="373"/>
        <v>#N/A</v>
      </c>
      <c r="AD777" s="323" t="e">
        <f t="shared" ca="1" si="374"/>
        <v>#N/A</v>
      </c>
      <c r="AE777" s="324">
        <f t="shared" ca="1" si="353"/>
        <v>2246.4196734203415</v>
      </c>
      <c r="AG777" s="306">
        <f t="shared" ca="1" si="375"/>
        <v>-96.233662194831638</v>
      </c>
      <c r="AH777" s="304">
        <f t="shared" ca="1" si="376"/>
        <v>-87.110930804737265</v>
      </c>
    </row>
    <row r="778" spans="1:34" x14ac:dyDescent="0.2">
      <c r="A778" s="347">
        <f t="shared" ca="1" si="354"/>
        <v>0.01</v>
      </c>
      <c r="B778" s="304">
        <f t="shared" ca="1" si="355"/>
        <v>7.7399999999998794</v>
      </c>
      <c r="D778" s="306">
        <f t="shared" ca="1" si="356"/>
        <v>-31.880088480167476</v>
      </c>
      <c r="E778" s="307">
        <f t="shared" ca="1" si="357"/>
        <v>-90.41577844528085</v>
      </c>
      <c r="F778" s="304">
        <f t="shared" ca="1" si="358"/>
        <v>95.871544440305229</v>
      </c>
      <c r="G778" s="306">
        <f t="shared" ca="1" si="359"/>
        <v>155.1955492972987</v>
      </c>
      <c r="H778" s="307">
        <f t="shared" ca="1" si="360"/>
        <v>392.29911903952524</v>
      </c>
      <c r="I778" s="304">
        <f t="shared" ca="1" si="361"/>
        <v>421.88180491801</v>
      </c>
      <c r="J778" s="306">
        <f t="shared" ca="1" si="362"/>
        <v>831.13919052403958</v>
      </c>
      <c r="K778" s="307">
        <f t="shared" ca="1" si="363"/>
        <v>2250.3471853996589</v>
      </c>
      <c r="L778" s="304">
        <f t="shared" ca="1" si="348"/>
        <v>2398.9278456971401</v>
      </c>
      <c r="M778" s="306">
        <f t="shared" ca="1" si="364"/>
        <v>1.1940843511572823</v>
      </c>
      <c r="N778" s="304">
        <f t="shared" ca="1" si="365"/>
        <v>68.415993703929615</v>
      </c>
      <c r="P778" s="310">
        <f t="shared" ca="1" si="366"/>
        <v>22</v>
      </c>
      <c r="Q778" s="304">
        <f t="shared" ca="1" si="367"/>
        <v>0</v>
      </c>
      <c r="R778" s="306">
        <f t="shared" ca="1" si="368"/>
        <v>0</v>
      </c>
      <c r="S778" s="307">
        <f t="shared" ca="1" si="369"/>
        <v>11.416040186296438</v>
      </c>
      <c r="T778" s="304">
        <f t="shared" ca="1" si="349"/>
        <v>111.99135422756807</v>
      </c>
      <c r="U778" s="311">
        <f t="shared" ca="1" si="350"/>
        <v>0</v>
      </c>
      <c r="V778" s="306">
        <f t="shared" ca="1" si="351"/>
        <v>0.97721282803861409</v>
      </c>
      <c r="W778" s="304">
        <f t="shared" ca="1" si="352"/>
        <v>984.68534696763538</v>
      </c>
      <c r="Y778" s="314" t="str">
        <f t="shared" ca="1" si="370"/>
        <v/>
      </c>
      <c r="Z778" s="315" t="str">
        <f t="shared" ca="1" si="371"/>
        <v/>
      </c>
      <c r="AA778" s="316" t="str">
        <f t="shared" ca="1" si="372"/>
        <v/>
      </c>
      <c r="AC778" s="310" t="e">
        <f t="shared" ca="1" si="373"/>
        <v>#N/A</v>
      </c>
      <c r="AD778" s="323" t="e">
        <f t="shared" ca="1" si="374"/>
        <v>#N/A</v>
      </c>
      <c r="AE778" s="324">
        <f t="shared" ca="1" si="353"/>
        <v>2250.3471853996589</v>
      </c>
      <c r="AG778" s="306">
        <f t="shared" ca="1" si="375"/>
        <v>-95.803630130987187</v>
      </c>
      <c r="AH778" s="304">
        <f t="shared" ca="1" si="376"/>
        <v>-86.681206499869447</v>
      </c>
    </row>
    <row r="779" spans="1:34" x14ac:dyDescent="0.2">
      <c r="A779" s="347">
        <f t="shared" ca="1" si="354"/>
        <v>0.01</v>
      </c>
      <c r="B779" s="304">
        <f t="shared" ca="1" si="355"/>
        <v>7.7499999999998792</v>
      </c>
      <c r="D779" s="306">
        <f t="shared" ca="1" si="356"/>
        <v>-31.730027857567055</v>
      </c>
      <c r="E779" s="307">
        <f t="shared" ca="1" si="357"/>
        <v>-90.016307667869498</v>
      </c>
      <c r="F779" s="304">
        <f t="shared" ca="1" si="358"/>
        <v>95.444907218764286</v>
      </c>
      <c r="G779" s="306">
        <f t="shared" ca="1" si="359"/>
        <v>154.87824901872304</v>
      </c>
      <c r="H779" s="307">
        <f t="shared" ca="1" si="360"/>
        <v>391.39895596284651</v>
      </c>
      <c r="I779" s="304">
        <f t="shared" ca="1" si="361"/>
        <v>420.92803986894467</v>
      </c>
      <c r="J779" s="306">
        <f t="shared" ca="1" si="362"/>
        <v>832.68955951561964</v>
      </c>
      <c r="K779" s="307">
        <f t="shared" ca="1" si="363"/>
        <v>2254.2656757746709</v>
      </c>
      <c r="L779" s="304">
        <f t="shared" ca="1" si="348"/>
        <v>2403.1407864505463</v>
      </c>
      <c r="M779" s="306">
        <f t="shared" ca="1" si="364"/>
        <v>1.1939986178420263</v>
      </c>
      <c r="N779" s="304">
        <f t="shared" ca="1" si="365"/>
        <v>68.411081546801782</v>
      </c>
      <c r="P779" s="310">
        <f t="shared" ca="1" si="366"/>
        <v>22</v>
      </c>
      <c r="Q779" s="304">
        <f t="shared" ca="1" si="367"/>
        <v>0</v>
      </c>
      <c r="R779" s="306">
        <f t="shared" ca="1" si="368"/>
        <v>0</v>
      </c>
      <c r="S779" s="307">
        <f t="shared" ca="1" si="369"/>
        <v>11.416040186296438</v>
      </c>
      <c r="T779" s="304">
        <f t="shared" ca="1" si="349"/>
        <v>111.99135422756807</v>
      </c>
      <c r="U779" s="311">
        <f t="shared" ca="1" si="350"/>
        <v>0</v>
      </c>
      <c r="V779" s="306">
        <f t="shared" ca="1" si="351"/>
        <v>0.97682506643389011</v>
      </c>
      <c r="W779" s="304">
        <f t="shared" ca="1" si="352"/>
        <v>979.84918258185405</v>
      </c>
      <c r="Y779" s="314" t="str">
        <f t="shared" ca="1" si="370"/>
        <v/>
      </c>
      <c r="Z779" s="315" t="str">
        <f t="shared" ca="1" si="371"/>
        <v/>
      </c>
      <c r="AA779" s="316" t="str">
        <f t="shared" ca="1" si="372"/>
        <v/>
      </c>
      <c r="AC779" s="310" t="e">
        <f t="shared" ca="1" si="373"/>
        <v>#N/A</v>
      </c>
      <c r="AD779" s="323" t="e">
        <f t="shared" ca="1" si="374"/>
        <v>#N/A</v>
      </c>
      <c r="AE779" s="324">
        <f t="shared" ca="1" si="353"/>
        <v>2254.2656757746709</v>
      </c>
      <c r="AG779" s="306">
        <f t="shared" ca="1" si="375"/>
        <v>-95.376659601827825</v>
      </c>
      <c r="AH779" s="304">
        <f t="shared" ca="1" si="376"/>
        <v>-86.254544561750038</v>
      </c>
    </row>
    <row r="780" spans="1:34" x14ac:dyDescent="0.2">
      <c r="A780" s="347">
        <f t="shared" ca="1" si="354"/>
        <v>0.01</v>
      </c>
      <c r="B780" s="304">
        <f t="shared" ca="1" si="355"/>
        <v>7.759999999999879</v>
      </c>
      <c r="D780" s="306">
        <f t="shared" ca="1" si="356"/>
        <v>-31.581032082549093</v>
      </c>
      <c r="E780" s="307">
        <f t="shared" ca="1" si="357"/>
        <v>-89.619676721258628</v>
      </c>
      <c r="F780" s="304">
        <f t="shared" ca="1" si="358"/>
        <v>95.021303101051515</v>
      </c>
      <c r="G780" s="306">
        <f t="shared" ca="1" si="359"/>
        <v>154.56243869789756</v>
      </c>
      <c r="H780" s="307">
        <f t="shared" ca="1" si="360"/>
        <v>390.50275919563393</v>
      </c>
      <c r="I780" s="304">
        <f t="shared" ca="1" si="361"/>
        <v>419.97851420714915</v>
      </c>
      <c r="J780" s="306">
        <f t="shared" ca="1" si="362"/>
        <v>834.23676295420273</v>
      </c>
      <c r="K780" s="307">
        <f t="shared" ca="1" si="363"/>
        <v>2258.175184350463</v>
      </c>
      <c r="L780" s="304">
        <f t="shared" ca="1" si="348"/>
        <v>2407.3442088493607</v>
      </c>
      <c r="M780" s="306">
        <f t="shared" ca="1" si="364"/>
        <v>1.1939126720717539</v>
      </c>
      <c r="N780" s="304">
        <f t="shared" ca="1" si="365"/>
        <v>68.406157216898166</v>
      </c>
      <c r="P780" s="310">
        <f t="shared" ca="1" si="366"/>
        <v>22</v>
      </c>
      <c r="Q780" s="304">
        <f t="shared" ca="1" si="367"/>
        <v>0</v>
      </c>
      <c r="R780" s="306">
        <f t="shared" ca="1" si="368"/>
        <v>0</v>
      </c>
      <c r="S780" s="307">
        <f t="shared" ca="1" si="369"/>
        <v>11.416040186296438</v>
      </c>
      <c r="T780" s="304">
        <f t="shared" ca="1" si="349"/>
        <v>111.99135422756807</v>
      </c>
      <c r="U780" s="311">
        <f t="shared" ca="1" si="350"/>
        <v>0</v>
      </c>
      <c r="V780" s="306">
        <f t="shared" ca="1" si="351"/>
        <v>0.97643832969970923</v>
      </c>
      <c r="W780" s="304">
        <f t="shared" ca="1" si="352"/>
        <v>975.04731300789626</v>
      </c>
      <c r="Y780" s="314" t="str">
        <f t="shared" ca="1" si="370"/>
        <v/>
      </c>
      <c r="Z780" s="315" t="str">
        <f t="shared" ca="1" si="371"/>
        <v/>
      </c>
      <c r="AA780" s="316" t="str">
        <f t="shared" ca="1" si="372"/>
        <v/>
      </c>
      <c r="AC780" s="310" t="e">
        <f t="shared" ca="1" si="373"/>
        <v>#N/A</v>
      </c>
      <c r="AD780" s="323" t="e">
        <f t="shared" ca="1" si="374"/>
        <v>#N/A</v>
      </c>
      <c r="AE780" s="324">
        <f t="shared" ca="1" si="353"/>
        <v>2258.175184350463</v>
      </c>
      <c r="AG780" s="306">
        <f t="shared" ca="1" si="375"/>
        <v>-94.952721291795683</v>
      </c>
      <c r="AH780" s="304">
        <f t="shared" ca="1" si="376"/>
        <v>-85.830915675826304</v>
      </c>
    </row>
    <row r="781" spans="1:34" x14ac:dyDescent="0.2">
      <c r="A781" s="347">
        <f t="shared" ca="1" si="354"/>
        <v>0.01</v>
      </c>
      <c r="B781" s="304">
        <f t="shared" ca="1" si="355"/>
        <v>7.7699999999998788</v>
      </c>
      <c r="D781" s="306">
        <f t="shared" ca="1" si="356"/>
        <v>-31.433090983741614</v>
      </c>
      <c r="E781" s="307">
        <f t="shared" ca="1" si="357"/>
        <v>-89.225858488039449</v>
      </c>
      <c r="F781" s="304">
        <f t="shared" ca="1" si="358"/>
        <v>94.600703124870165</v>
      </c>
      <c r="G781" s="306">
        <f t="shared" ca="1" si="359"/>
        <v>154.24810778806014</v>
      </c>
      <c r="H781" s="307">
        <f t="shared" ca="1" si="360"/>
        <v>389.61050061075355</v>
      </c>
      <c r="I781" s="304">
        <f t="shared" ca="1" si="361"/>
        <v>419.03319790006975</v>
      </c>
      <c r="J781" s="306">
        <f t="shared" ca="1" si="362"/>
        <v>835.78081568663254</v>
      </c>
      <c r="K781" s="307">
        <f t="shared" ca="1" si="363"/>
        <v>2262.0757506494951</v>
      </c>
      <c r="L781" s="304">
        <f t="shared" ca="1" si="348"/>
        <v>2411.5381551089522</v>
      </c>
      <c r="M781" s="306">
        <f t="shared" ca="1" si="364"/>
        <v>1.193826513703502</v>
      </c>
      <c r="N781" s="304">
        <f t="shared" ca="1" si="365"/>
        <v>68.401220706027601</v>
      </c>
      <c r="P781" s="310">
        <f t="shared" ca="1" si="366"/>
        <v>22</v>
      </c>
      <c r="Q781" s="304">
        <f t="shared" ca="1" si="367"/>
        <v>0</v>
      </c>
      <c r="R781" s="306">
        <f t="shared" ca="1" si="368"/>
        <v>0</v>
      </c>
      <c r="S781" s="307">
        <f t="shared" ca="1" si="369"/>
        <v>11.416040186296438</v>
      </c>
      <c r="T781" s="304">
        <f t="shared" ca="1" si="349"/>
        <v>111.99135422756807</v>
      </c>
      <c r="U781" s="311">
        <f t="shared" ca="1" si="350"/>
        <v>0</v>
      </c>
      <c r="V781" s="306">
        <f t="shared" ca="1" si="351"/>
        <v>0.97605261292044732</v>
      </c>
      <c r="W781" s="304">
        <f t="shared" ca="1" si="352"/>
        <v>970.2794115758976</v>
      </c>
      <c r="Y781" s="314" t="str">
        <f t="shared" ca="1" si="370"/>
        <v/>
      </c>
      <c r="Z781" s="315" t="str">
        <f t="shared" ca="1" si="371"/>
        <v/>
      </c>
      <c r="AA781" s="316" t="str">
        <f t="shared" ca="1" si="372"/>
        <v/>
      </c>
      <c r="AC781" s="310" t="e">
        <f t="shared" ca="1" si="373"/>
        <v>#N/A</v>
      </c>
      <c r="AD781" s="323" t="e">
        <f t="shared" ca="1" si="374"/>
        <v>#N/A</v>
      </c>
      <c r="AE781" s="324">
        <f t="shared" ca="1" si="353"/>
        <v>2262.0757506494951</v>
      </c>
      <c r="AG781" s="306">
        <f t="shared" ca="1" si="375"/>
        <v>-94.53178623765595</v>
      </c>
      <c r="AH781" s="304">
        <f t="shared" ca="1" si="376"/>
        <v>-85.410290879872818</v>
      </c>
    </row>
    <row r="782" spans="1:34" x14ac:dyDescent="0.2">
      <c r="A782" s="347">
        <f t="shared" ca="1" si="354"/>
        <v>0.01</v>
      </c>
      <c r="B782" s="304">
        <f t="shared" ca="1" si="355"/>
        <v>7.7799999999998786</v>
      </c>
      <c r="D782" s="306">
        <f t="shared" ca="1" si="356"/>
        <v>-31.286194511719071</v>
      </c>
      <c r="E782" s="307">
        <f t="shared" ca="1" si="357"/>
        <v>-88.834826175921648</v>
      </c>
      <c r="F782" s="304">
        <f t="shared" ca="1" si="358"/>
        <v>94.183078675159763</v>
      </c>
      <c r="G782" s="306">
        <f t="shared" ca="1" si="359"/>
        <v>153.93524584294295</v>
      </c>
      <c r="H782" s="307">
        <f t="shared" ca="1" si="360"/>
        <v>388.72215234899431</v>
      </c>
      <c r="I782" s="304">
        <f t="shared" ca="1" si="361"/>
        <v>418.0920612013125</v>
      </c>
      <c r="J782" s="306">
        <f t="shared" ca="1" si="362"/>
        <v>837.32173245478759</v>
      </c>
      <c r="K782" s="307">
        <f t="shared" ca="1" si="363"/>
        <v>2265.967413914294</v>
      </c>
      <c r="L782" s="304">
        <f t="shared" ca="1" si="348"/>
        <v>2415.7226671459039</v>
      </c>
      <c r="M782" s="306">
        <f t="shared" ca="1" si="364"/>
        <v>1.1937401425935881</v>
      </c>
      <c r="N782" s="304">
        <f t="shared" ca="1" si="365"/>
        <v>68.39627200595767</v>
      </c>
      <c r="P782" s="310">
        <f t="shared" ca="1" si="366"/>
        <v>22</v>
      </c>
      <c r="Q782" s="304">
        <f t="shared" ca="1" si="367"/>
        <v>0</v>
      </c>
      <c r="R782" s="306">
        <f t="shared" ca="1" si="368"/>
        <v>0</v>
      </c>
      <c r="S782" s="307">
        <f t="shared" ca="1" si="369"/>
        <v>11.416040186296438</v>
      </c>
      <c r="T782" s="304">
        <f t="shared" ca="1" si="349"/>
        <v>111.99135422756807</v>
      </c>
      <c r="U782" s="311">
        <f t="shared" ca="1" si="350"/>
        <v>0</v>
      </c>
      <c r="V782" s="306">
        <f t="shared" ca="1" si="351"/>
        <v>0.9756679112167953</v>
      </c>
      <c r="W782" s="304">
        <f t="shared" ca="1" si="352"/>
        <v>965.54515552291127</v>
      </c>
      <c r="Y782" s="314" t="str">
        <f t="shared" ca="1" si="370"/>
        <v/>
      </c>
      <c r="Z782" s="315" t="str">
        <f t="shared" ca="1" si="371"/>
        <v/>
      </c>
      <c r="AA782" s="316" t="str">
        <f t="shared" ca="1" si="372"/>
        <v/>
      </c>
      <c r="AC782" s="310" t="e">
        <f t="shared" ca="1" si="373"/>
        <v>#N/A</v>
      </c>
      <c r="AD782" s="323" t="e">
        <f t="shared" ca="1" si="374"/>
        <v>#N/A</v>
      </c>
      <c r="AE782" s="324">
        <f t="shared" ca="1" si="353"/>
        <v>2265.967413914294</v>
      </c>
      <c r="AG782" s="306">
        <f t="shared" ca="1" si="375"/>
        <v>-94.113825823405961</v>
      </c>
      <c r="AH782" s="304">
        <f t="shared" ca="1" si="376"/>
        <v>-84.992641558900559</v>
      </c>
    </row>
    <row r="783" spans="1:34" x14ac:dyDescent="0.2">
      <c r="A783" s="347">
        <f t="shared" ca="1" si="354"/>
        <v>0.01</v>
      </c>
      <c r="B783" s="304">
        <f t="shared" ca="1" si="355"/>
        <v>7.7899999999998784</v>
      </c>
      <c r="D783" s="306">
        <f t="shared" ca="1" si="356"/>
        <v>-31.140332737244339</v>
      </c>
      <c r="E783" s="307">
        <f t="shared" ca="1" si="357"/>
        <v>-88.446553313046309</v>
      </c>
      <c r="F783" s="304">
        <f t="shared" ca="1" si="358"/>
        <v>93.76840147909013</v>
      </c>
      <c r="G783" s="306">
        <f t="shared" ca="1" si="359"/>
        <v>153.62384251557052</v>
      </c>
      <c r="H783" s="307">
        <f t="shared" ca="1" si="360"/>
        <v>387.83768681586383</v>
      </c>
      <c r="I783" s="304">
        <f t="shared" ca="1" si="361"/>
        <v>417.15507464722145</v>
      </c>
      <c r="J783" s="306">
        <f t="shared" ca="1" si="362"/>
        <v>838.85952789658018</v>
      </c>
      <c r="K783" s="307">
        <f t="shared" ca="1" si="363"/>
        <v>2269.8502131101181</v>
      </c>
      <c r="L783" s="304">
        <f t="shared" ca="1" si="348"/>
        <v>2419.8977865808552</v>
      </c>
      <c r="M783" s="306">
        <f t="shared" ca="1" si="364"/>
        <v>1.1936535585976091</v>
      </c>
      <c r="N783" s="304">
        <f t="shared" ca="1" si="365"/>
        <v>68.391311108414698</v>
      </c>
      <c r="P783" s="310">
        <f t="shared" ca="1" si="366"/>
        <v>22</v>
      </c>
      <c r="Q783" s="304">
        <f t="shared" ca="1" si="367"/>
        <v>0</v>
      </c>
      <c r="R783" s="306">
        <f t="shared" ca="1" si="368"/>
        <v>0</v>
      </c>
      <c r="S783" s="307">
        <f t="shared" ca="1" si="369"/>
        <v>11.416040186296438</v>
      </c>
      <c r="T783" s="304">
        <f t="shared" ca="1" si="349"/>
        <v>111.99135422756807</v>
      </c>
      <c r="U783" s="311">
        <f t="shared" ca="1" si="350"/>
        <v>0</v>
      </c>
      <c r="V783" s="306">
        <f t="shared" ca="1" si="351"/>
        <v>0.97528421974540314</v>
      </c>
      <c r="W783" s="304">
        <f t="shared" ca="1" si="352"/>
        <v>960.84422593673185</v>
      </c>
      <c r="Y783" s="314" t="str">
        <f t="shared" ca="1" si="370"/>
        <v/>
      </c>
      <c r="Z783" s="315" t="str">
        <f t="shared" ca="1" si="371"/>
        <v/>
      </c>
      <c r="AA783" s="316" t="str">
        <f t="shared" ca="1" si="372"/>
        <v/>
      </c>
      <c r="AC783" s="310" t="e">
        <f t="shared" ca="1" si="373"/>
        <v>#N/A</v>
      </c>
      <c r="AD783" s="323" t="e">
        <f t="shared" ca="1" si="374"/>
        <v>#N/A</v>
      </c>
      <c r="AE783" s="324">
        <f t="shared" ca="1" si="353"/>
        <v>2269.8502131101181</v>
      </c>
      <c r="AG783" s="306">
        <f t="shared" ca="1" si="375"/>
        <v>-93.698811775269377</v>
      </c>
      <c r="AH783" s="304">
        <f t="shared" ca="1" si="376"/>
        <v>-84.577939440151084</v>
      </c>
    </row>
    <row r="784" spans="1:34" x14ac:dyDescent="0.2">
      <c r="A784" s="347">
        <f t="shared" ca="1" si="354"/>
        <v>0.01</v>
      </c>
      <c r="B784" s="304">
        <f t="shared" ca="1" si="355"/>
        <v>7.7999999999998781</v>
      </c>
      <c r="D784" s="306">
        <f t="shared" ca="1" si="356"/>
        <v>-30.995495849540578</v>
      </c>
      <c r="E784" s="307">
        <f t="shared" ca="1" si="357"/>
        <v>-88.061013743378524</v>
      </c>
      <c r="F784" s="304">
        <f t="shared" ca="1" si="358"/>
        <v>93.356643601140618</v>
      </c>
      <c r="G784" s="306">
        <f t="shared" ca="1" si="359"/>
        <v>153.31388755707511</v>
      </c>
      <c r="H784" s="307">
        <f t="shared" ca="1" si="360"/>
        <v>386.95707667843004</v>
      </c>
      <c r="I784" s="304">
        <f t="shared" ca="1" si="361"/>
        <v>416.22220905350531</v>
      </c>
      <c r="J784" s="306">
        <f t="shared" ca="1" si="362"/>
        <v>840.39421654694343</v>
      </c>
      <c r="K784" s="307">
        <f t="shared" ca="1" si="363"/>
        <v>2273.7241869275895</v>
      </c>
      <c r="L784" s="304">
        <f t="shared" ca="1" si="348"/>
        <v>2424.0635547413103</v>
      </c>
      <c r="M784" s="306">
        <f t="shared" ca="1" si="364"/>
        <v>1.1935667615704428</v>
      </c>
      <c r="N784" s="304">
        <f t="shared" ca="1" si="365"/>
        <v>68.386338005083786</v>
      </c>
      <c r="P784" s="310">
        <f t="shared" ca="1" si="366"/>
        <v>22</v>
      </c>
      <c r="Q784" s="304">
        <f t="shared" ca="1" si="367"/>
        <v>0</v>
      </c>
      <c r="R784" s="306">
        <f t="shared" ca="1" si="368"/>
        <v>0</v>
      </c>
      <c r="S784" s="307">
        <f t="shared" ca="1" si="369"/>
        <v>11.416040186296438</v>
      </c>
      <c r="T784" s="304">
        <f t="shared" ca="1" si="349"/>
        <v>111.99135422756807</v>
      </c>
      <c r="U784" s="311">
        <f t="shared" ca="1" si="350"/>
        <v>0</v>
      </c>
      <c r="V784" s="306">
        <f t="shared" ca="1" si="351"/>
        <v>0.97490153369852806</v>
      </c>
      <c r="W784" s="304">
        <f t="shared" ca="1" si="352"/>
        <v>956.17630770065728</v>
      </c>
      <c r="Y784" s="314" t="str">
        <f t="shared" ca="1" si="370"/>
        <v/>
      </c>
      <c r="Z784" s="315" t="str">
        <f t="shared" ca="1" si="371"/>
        <v/>
      </c>
      <c r="AA784" s="316" t="str">
        <f t="shared" ca="1" si="372"/>
        <v/>
      </c>
      <c r="AC784" s="310" t="e">
        <f t="shared" ca="1" si="373"/>
        <v>#N/A</v>
      </c>
      <c r="AD784" s="323" t="e">
        <f t="shared" ca="1" si="374"/>
        <v>#N/A</v>
      </c>
      <c r="AE784" s="324">
        <f t="shared" ca="1" si="353"/>
        <v>2273.7241869275895</v>
      </c>
      <c r="AG784" s="306">
        <f t="shared" ca="1" si="375"/>
        <v>-93.286716156775313</v>
      </c>
      <c r="AH784" s="304">
        <f t="shared" ca="1" si="376"/>
        <v>-84.166156588175639</v>
      </c>
    </row>
    <row r="785" spans="1:34" x14ac:dyDescent="0.2">
      <c r="A785" s="347">
        <f t="shared" ca="1" si="354"/>
        <v>0.01</v>
      </c>
      <c r="B785" s="304">
        <f t="shared" ca="1" si="355"/>
        <v>7.8099999999998779</v>
      </c>
      <c r="D785" s="306">
        <f t="shared" ca="1" si="356"/>
        <v>-30.851674154591901</v>
      </c>
      <c r="E785" s="307">
        <f t="shared" ca="1" si="357"/>
        <v>-87.67818162217705</v>
      </c>
      <c r="F785" s="304">
        <f t="shared" ca="1" si="358"/>
        <v>92.947777438261426</v>
      </c>
      <c r="G785" s="306">
        <f t="shared" ca="1" si="359"/>
        <v>153.00537081552918</v>
      </c>
      <c r="H785" s="307">
        <f t="shared" ca="1" si="360"/>
        <v>386.08029486220829</v>
      </c>
      <c r="I785" s="304">
        <f t="shared" ca="1" si="361"/>
        <v>415.29343551191283</v>
      </c>
      <c r="J785" s="306">
        <f t="shared" ca="1" si="362"/>
        <v>841.92581283880645</v>
      </c>
      <c r="K785" s="307">
        <f t="shared" ca="1" si="363"/>
        <v>2277.5893737852925</v>
      </c>
      <c r="L785" s="304">
        <f t="shared" ca="1" si="348"/>
        <v>2428.2200126644138</v>
      </c>
      <c r="M785" s="306">
        <f t="shared" ca="1" si="364"/>
        <v>1.1934797513662472</v>
      </c>
      <c r="N785" s="304">
        <f t="shared" ca="1" si="365"/>
        <v>68.38135268760881</v>
      </c>
      <c r="P785" s="310">
        <f t="shared" ca="1" si="366"/>
        <v>22</v>
      </c>
      <c r="Q785" s="304">
        <f t="shared" ca="1" si="367"/>
        <v>0</v>
      </c>
      <c r="R785" s="306">
        <f t="shared" ca="1" si="368"/>
        <v>0</v>
      </c>
      <c r="S785" s="307">
        <f t="shared" ca="1" si="369"/>
        <v>11.416040186296438</v>
      </c>
      <c r="T785" s="304">
        <f t="shared" ca="1" si="349"/>
        <v>111.99135422756807</v>
      </c>
      <c r="U785" s="311">
        <f t="shared" ca="1" si="350"/>
        <v>0</v>
      </c>
      <c r="V785" s="306">
        <f t="shared" ca="1" si="351"/>
        <v>0.97451984830368454</v>
      </c>
      <c r="W785" s="304">
        <f t="shared" ca="1" si="352"/>
        <v>951.5410894391747</v>
      </c>
      <c r="Y785" s="314" t="str">
        <f t="shared" ca="1" si="370"/>
        <v/>
      </c>
      <c r="Z785" s="315" t="str">
        <f t="shared" ca="1" si="371"/>
        <v/>
      </c>
      <c r="AA785" s="316" t="str">
        <f t="shared" ca="1" si="372"/>
        <v/>
      </c>
      <c r="AC785" s="310" t="e">
        <f t="shared" ca="1" si="373"/>
        <v>#N/A</v>
      </c>
      <c r="AD785" s="323" t="e">
        <f t="shared" ca="1" si="374"/>
        <v>#N/A</v>
      </c>
      <c r="AE785" s="324">
        <f t="shared" ca="1" si="353"/>
        <v>2277.5893737852925</v>
      </c>
      <c r="AG785" s="306">
        <f t="shared" ca="1" si="375"/>
        <v>-92.877511363919709</v>
      </c>
      <c r="AH785" s="304">
        <f t="shared" ca="1" si="376"/>
        <v>-83.757265399996584</v>
      </c>
    </row>
    <row r="786" spans="1:34" x14ac:dyDescent="0.2">
      <c r="A786" s="347">
        <f t="shared" ca="1" si="354"/>
        <v>0.01</v>
      </c>
      <c r="B786" s="304">
        <f t="shared" ca="1" si="355"/>
        <v>7.8199999999998777</v>
      </c>
      <c r="D786" s="306">
        <f t="shared" ca="1" si="356"/>
        <v>-30.70885807347253</v>
      </c>
      <c r="E786" s="307">
        <f t="shared" ca="1" si="357"/>
        <v>-87.298031411539554</v>
      </c>
      <c r="F786" s="304">
        <f t="shared" ca="1" si="358"/>
        <v>92.541775715115961</v>
      </c>
      <c r="G786" s="306">
        <f t="shared" ca="1" si="359"/>
        <v>152.69828223479445</v>
      </c>
      <c r="H786" s="307">
        <f t="shared" ca="1" si="360"/>
        <v>385.20731454809288</v>
      </c>
      <c r="I786" s="304">
        <f t="shared" ca="1" si="361"/>
        <v>414.3687253869557</v>
      </c>
      <c r="J786" s="306">
        <f t="shared" ca="1" si="362"/>
        <v>843.45433110405804</v>
      </c>
      <c r="K786" s="307">
        <f t="shared" ca="1" si="363"/>
        <v>2281.4458118323441</v>
      </c>
      <c r="L786" s="304">
        <f t="shared" ca="1" si="348"/>
        <v>2432.3672010996897</v>
      </c>
      <c r="M786" s="306">
        <f t="shared" ca="1" si="364"/>
        <v>1.1933925278384594</v>
      </c>
      <c r="N786" s="304">
        <f t="shared" ca="1" si="365"/>
        <v>68.376355147592321</v>
      </c>
      <c r="P786" s="310">
        <f t="shared" ca="1" si="366"/>
        <v>22</v>
      </c>
      <c r="Q786" s="304">
        <f t="shared" ca="1" si="367"/>
        <v>0</v>
      </c>
      <c r="R786" s="306">
        <f t="shared" ca="1" si="368"/>
        <v>0</v>
      </c>
      <c r="S786" s="307">
        <f t="shared" ca="1" si="369"/>
        <v>11.416040186296438</v>
      </c>
      <c r="T786" s="304">
        <f t="shared" ca="1" si="349"/>
        <v>111.99135422756807</v>
      </c>
      <c r="U786" s="311">
        <f t="shared" ca="1" si="350"/>
        <v>0</v>
      </c>
      <c r="V786" s="306">
        <f t="shared" ca="1" si="351"/>
        <v>0.97413915882330349</v>
      </c>
      <c r="W786" s="304">
        <f t="shared" ca="1" si="352"/>
        <v>946.93826346455955</v>
      </c>
      <c r="Y786" s="314" t="str">
        <f t="shared" ca="1" si="370"/>
        <v/>
      </c>
      <c r="Z786" s="315" t="str">
        <f t="shared" ca="1" si="371"/>
        <v/>
      </c>
      <c r="AA786" s="316" t="str">
        <f t="shared" ca="1" si="372"/>
        <v/>
      </c>
      <c r="AC786" s="310" t="e">
        <f t="shared" ca="1" si="373"/>
        <v>#N/A</v>
      </c>
      <c r="AD786" s="323" t="e">
        <f t="shared" ca="1" si="374"/>
        <v>#N/A</v>
      </c>
      <c r="AE786" s="324">
        <f t="shared" ca="1" si="353"/>
        <v>2281.4458118323441</v>
      </c>
      <c r="AG786" s="306">
        <f t="shared" ca="1" si="375"/>
        <v>-92.471170120407649</v>
      </c>
      <c r="AH786" s="304">
        <f t="shared" ca="1" si="376"/>
        <v>-83.35123860034966</v>
      </c>
    </row>
    <row r="787" spans="1:34" x14ac:dyDescent="0.2">
      <c r="A787" s="347">
        <f t="shared" ca="1" si="354"/>
        <v>0.01</v>
      </c>
      <c r="B787" s="304">
        <f t="shared" ca="1" si="355"/>
        <v>7.8299999999998775</v>
      </c>
      <c r="D787" s="306">
        <f t="shared" ca="1" si="356"/>
        <v>-30.567038140704089</v>
      </c>
      <c r="E787" s="307">
        <f t="shared" ca="1" si="357"/>
        <v>-86.920537876022919</v>
      </c>
      <c r="F787" s="304">
        <f t="shared" ca="1" si="358"/>
        <v>92.13861147940311</v>
      </c>
      <c r="G787" s="306">
        <f t="shared" ca="1" si="359"/>
        <v>152.39261185338739</v>
      </c>
      <c r="H787" s="307">
        <f t="shared" ca="1" si="360"/>
        <v>384.33810916933265</v>
      </c>
      <c r="I787" s="304">
        <f t="shared" ca="1" si="361"/>
        <v>413.44805031267839</v>
      </c>
      <c r="J787" s="306">
        <f t="shared" ca="1" si="362"/>
        <v>844.97978557449892</v>
      </c>
      <c r="K787" s="307">
        <f t="shared" ca="1" si="363"/>
        <v>2285.2935389509312</v>
      </c>
      <c r="L787" s="304">
        <f t="shared" ca="1" si="348"/>
        <v>2436.5051605117519</v>
      </c>
      <c r="M787" s="306">
        <f t="shared" ca="1" si="364"/>
        <v>1.1933050908397977</v>
      </c>
      <c r="N787" s="304">
        <f t="shared" ca="1" si="365"/>
        <v>68.371345376595727</v>
      </c>
      <c r="P787" s="310">
        <f t="shared" ca="1" si="366"/>
        <v>22</v>
      </c>
      <c r="Q787" s="304">
        <f t="shared" ca="1" si="367"/>
        <v>0</v>
      </c>
      <c r="R787" s="306">
        <f t="shared" ca="1" si="368"/>
        <v>0</v>
      </c>
      <c r="S787" s="307">
        <f t="shared" ca="1" si="369"/>
        <v>11.416040186296438</v>
      </c>
      <c r="T787" s="304">
        <f t="shared" ca="1" si="349"/>
        <v>111.99135422756807</v>
      </c>
      <c r="U787" s="311">
        <f t="shared" ca="1" si="350"/>
        <v>0</v>
      </c>
      <c r="V787" s="306">
        <f t="shared" ca="1" si="351"/>
        <v>0.97375946055439111</v>
      </c>
      <c r="W787" s="304">
        <f t="shared" ca="1" si="352"/>
        <v>942.36752572435898</v>
      </c>
      <c r="Y787" s="314" t="str">
        <f t="shared" ca="1" si="370"/>
        <v/>
      </c>
      <c r="Z787" s="315" t="str">
        <f t="shared" ca="1" si="371"/>
        <v/>
      </c>
      <c r="AA787" s="316" t="str">
        <f t="shared" ca="1" si="372"/>
        <v/>
      </c>
      <c r="AC787" s="310" t="e">
        <f t="shared" ca="1" si="373"/>
        <v>#N/A</v>
      </c>
      <c r="AD787" s="323" t="e">
        <f t="shared" ca="1" si="374"/>
        <v>#N/A</v>
      </c>
      <c r="AE787" s="324">
        <f t="shared" ca="1" si="353"/>
        <v>2285.2935389509312</v>
      </c>
      <c r="AG787" s="306">
        <f t="shared" ca="1" si="375"/>
        <v>-92.067665472975619</v>
      </c>
      <c r="AH787" s="304">
        <f t="shared" ca="1" si="376"/>
        <v>-82.948049237006302</v>
      </c>
    </row>
    <row r="788" spans="1:34" x14ac:dyDescent="0.2">
      <c r="A788" s="347">
        <f t="shared" ca="1" si="354"/>
        <v>0.01</v>
      </c>
      <c r="B788" s="304">
        <f t="shared" ca="1" si="355"/>
        <v>7.8399999999998773</v>
      </c>
      <c r="D788" s="306">
        <f t="shared" ca="1" si="356"/>
        <v>-30.426205002639897</v>
      </c>
      <c r="E788" s="307">
        <f t="shared" ca="1" si="357"/>
        <v>-86.545676078335944</v>
      </c>
      <c r="F788" s="304">
        <f t="shared" ca="1" si="358"/>
        <v>91.738258097256889</v>
      </c>
      <c r="G788" s="306">
        <f t="shared" ca="1" si="359"/>
        <v>152.08834980336098</v>
      </c>
      <c r="H788" s="307">
        <f t="shared" ca="1" si="360"/>
        <v>383.47265240854932</v>
      </c>
      <c r="I788" s="304">
        <f t="shared" ca="1" si="361"/>
        <v>412.53138218947367</v>
      </c>
      <c r="J788" s="306">
        <f t="shared" ca="1" si="362"/>
        <v>846.50219038278271</v>
      </c>
      <c r="K788" s="307">
        <f t="shared" ca="1" si="363"/>
        <v>2289.1325927588205</v>
      </c>
      <c r="L788" s="304">
        <f t="shared" ca="1" si="348"/>
        <v>2440.6339310829817</v>
      </c>
      <c r="M788" s="306">
        <f t="shared" ca="1" si="364"/>
        <v>1.1932174402222597</v>
      </c>
      <c r="N788" s="304">
        <f t="shared" ca="1" si="365"/>
        <v>68.366323366139085</v>
      </c>
      <c r="P788" s="310">
        <f t="shared" ca="1" si="366"/>
        <v>22</v>
      </c>
      <c r="Q788" s="304">
        <f t="shared" ca="1" si="367"/>
        <v>0</v>
      </c>
      <c r="R788" s="306">
        <f t="shared" ca="1" si="368"/>
        <v>0</v>
      </c>
      <c r="S788" s="307">
        <f t="shared" ca="1" si="369"/>
        <v>11.416040186296438</v>
      </c>
      <c r="T788" s="304">
        <f t="shared" ca="1" si="349"/>
        <v>111.99135422756807</v>
      </c>
      <c r="U788" s="311">
        <f t="shared" ca="1" si="350"/>
        <v>0</v>
      </c>
      <c r="V788" s="306">
        <f t="shared" ca="1" si="351"/>
        <v>0.97338074882819237</v>
      </c>
      <c r="W788" s="304">
        <f t="shared" ca="1" si="352"/>
        <v>937.8285757497498</v>
      </c>
      <c r="Y788" s="314" t="str">
        <f t="shared" ca="1" si="370"/>
        <v/>
      </c>
      <c r="Z788" s="315" t="str">
        <f t="shared" ca="1" si="371"/>
        <v/>
      </c>
      <c r="AA788" s="316" t="str">
        <f t="shared" ca="1" si="372"/>
        <v/>
      </c>
      <c r="AC788" s="310" t="e">
        <f t="shared" ca="1" si="373"/>
        <v>#N/A</v>
      </c>
      <c r="AD788" s="323" t="e">
        <f t="shared" ca="1" si="374"/>
        <v>#N/A</v>
      </c>
      <c r="AE788" s="324">
        <f t="shared" ca="1" si="353"/>
        <v>2289.1325927588205</v>
      </c>
      <c r="AG788" s="306">
        <f t="shared" ca="1" si="375"/>
        <v>-91.666970786791211</v>
      </c>
      <c r="AH788" s="304">
        <f t="shared" ca="1" si="376"/>
        <v>-82.54767067617334</v>
      </c>
    </row>
    <row r="789" spans="1:34" x14ac:dyDescent="0.2">
      <c r="A789" s="347">
        <f t="shared" ca="1" si="354"/>
        <v>0.01</v>
      </c>
      <c r="B789" s="304">
        <f t="shared" ca="1" si="355"/>
        <v>7.8499999999998771</v>
      </c>
      <c r="D789" s="306">
        <f t="shared" ca="1" si="356"/>
        <v>-30.286349415876469</v>
      </c>
      <c r="E789" s="307">
        <f t="shared" ca="1" si="357"/>
        <v>-86.17342137510397</v>
      </c>
      <c r="F789" s="304">
        <f t="shared" ca="1" si="358"/>
        <v>91.340689248723024</v>
      </c>
      <c r="G789" s="306">
        <f t="shared" ca="1" si="359"/>
        <v>151.78548630920221</v>
      </c>
      <c r="H789" s="307">
        <f t="shared" ca="1" si="360"/>
        <v>382.61091819479827</v>
      </c>
      <c r="I789" s="304">
        <f t="shared" ca="1" si="361"/>
        <v>411.61869318094341</v>
      </c>
      <c r="J789" s="306">
        <f t="shared" ca="1" si="362"/>
        <v>848.02155956334548</v>
      </c>
      <c r="K789" s="307">
        <f t="shared" ca="1" si="363"/>
        <v>2292.963010611837</v>
      </c>
      <c r="L789" s="304">
        <f t="shared" ca="1" si="348"/>
        <v>2444.7535527161726</v>
      </c>
      <c r="M789" s="306">
        <f t="shared" ca="1" si="364"/>
        <v>1.1931295758371236</v>
      </c>
      <c r="N789" s="304">
        <f t="shared" ca="1" si="365"/>
        <v>68.361289107701268</v>
      </c>
      <c r="P789" s="310">
        <f t="shared" ca="1" si="366"/>
        <v>22</v>
      </c>
      <c r="Q789" s="304">
        <f t="shared" ca="1" si="367"/>
        <v>0</v>
      </c>
      <c r="R789" s="306">
        <f t="shared" ca="1" si="368"/>
        <v>0</v>
      </c>
      <c r="S789" s="307">
        <f t="shared" ca="1" si="369"/>
        <v>11.416040186296438</v>
      </c>
      <c r="T789" s="304">
        <f t="shared" ca="1" si="349"/>
        <v>111.99135422756807</v>
      </c>
      <c r="U789" s="311">
        <f t="shared" ca="1" si="350"/>
        <v>0</v>
      </c>
      <c r="V789" s="306">
        <f t="shared" ca="1" si="351"/>
        <v>0.97300301900986197</v>
      </c>
      <c r="W789" s="304">
        <f t="shared" ca="1" si="352"/>
        <v>933.32111660475437</v>
      </c>
      <c r="Y789" s="314" t="str">
        <f t="shared" ca="1" si="370"/>
        <v/>
      </c>
      <c r="Z789" s="315" t="str">
        <f t="shared" ca="1" si="371"/>
        <v/>
      </c>
      <c r="AA789" s="316" t="str">
        <f t="shared" ca="1" si="372"/>
        <v/>
      </c>
      <c r="AC789" s="310" t="e">
        <f t="shared" ca="1" si="373"/>
        <v>#N/A</v>
      </c>
      <c r="AD789" s="323" t="e">
        <f t="shared" ca="1" si="374"/>
        <v>#N/A</v>
      </c>
      <c r="AE789" s="324">
        <f t="shared" ca="1" si="353"/>
        <v>2292.963010611837</v>
      </c>
      <c r="AG789" s="306">
        <f t="shared" ca="1" si="375"/>
        <v>-91.269059740929606</v>
      </c>
      <c r="AH789" s="304">
        <f t="shared" ca="1" si="376"/>
        <v>-82.150076597969445</v>
      </c>
    </row>
    <row r="790" spans="1:34" x14ac:dyDescent="0.2">
      <c r="A790" s="347">
        <f t="shared" ca="1" si="354"/>
        <v>0.01</v>
      </c>
      <c r="B790" s="304">
        <f t="shared" ca="1" si="355"/>
        <v>7.8599999999998769</v>
      </c>
      <c r="D790" s="306">
        <f t="shared" ca="1" si="356"/>
        <v>-30.14746224569107</v>
      </c>
      <c r="E790" s="307">
        <f t="shared" ca="1" si="357"/>
        <v>-85.803749412703652</v>
      </c>
      <c r="F790" s="304">
        <f t="shared" ca="1" si="358"/>
        <v>90.945878923310261</v>
      </c>
      <c r="G790" s="306">
        <f t="shared" ca="1" si="359"/>
        <v>151.4840116867453</v>
      </c>
      <c r="H790" s="307">
        <f t="shared" ca="1" si="360"/>
        <v>381.75288070067126</v>
      </c>
      <c r="I790" s="304">
        <f t="shared" ca="1" si="361"/>
        <v>410.70995571080442</v>
      </c>
      <c r="J790" s="306">
        <f t="shared" ca="1" si="362"/>
        <v>849.53790705332517</v>
      </c>
      <c r="K790" s="307">
        <f t="shared" ca="1" si="363"/>
        <v>2296.7848296063144</v>
      </c>
      <c r="L790" s="304">
        <f t="shared" ca="1" si="348"/>
        <v>2448.8640650371453</v>
      </c>
      <c r="M790" s="306">
        <f t="shared" ca="1" si="364"/>
        <v>1.1930414975349473</v>
      </c>
      <c r="N790" s="304">
        <f t="shared" ca="1" si="365"/>
        <v>68.35624259271988</v>
      </c>
      <c r="P790" s="310">
        <f t="shared" ca="1" si="366"/>
        <v>22</v>
      </c>
      <c r="Q790" s="304">
        <f t="shared" ca="1" si="367"/>
        <v>0</v>
      </c>
      <c r="R790" s="306">
        <f t="shared" ca="1" si="368"/>
        <v>0</v>
      </c>
      <c r="S790" s="307">
        <f t="shared" ca="1" si="369"/>
        <v>11.416040186296438</v>
      </c>
      <c r="T790" s="304">
        <f t="shared" ca="1" si="349"/>
        <v>111.99135422756807</v>
      </c>
      <c r="U790" s="311">
        <f t="shared" ca="1" si="350"/>
        <v>0</v>
      </c>
      <c r="V790" s="306">
        <f t="shared" ca="1" si="351"/>
        <v>0.97262626649813622</v>
      </c>
      <c r="W790" s="304">
        <f t="shared" ca="1" si="352"/>
        <v>928.8448548362968</v>
      </c>
      <c r="Y790" s="314" t="str">
        <f t="shared" ca="1" si="370"/>
        <v/>
      </c>
      <c r="Z790" s="315" t="str">
        <f t="shared" ca="1" si="371"/>
        <v/>
      </c>
      <c r="AA790" s="316" t="str">
        <f t="shared" ca="1" si="372"/>
        <v/>
      </c>
      <c r="AC790" s="310" t="e">
        <f t="shared" ca="1" si="373"/>
        <v>#N/A</v>
      </c>
      <c r="AD790" s="323" t="e">
        <f t="shared" ca="1" si="374"/>
        <v>#N/A</v>
      </c>
      <c r="AE790" s="324">
        <f t="shared" ca="1" si="353"/>
        <v>2296.7848296063144</v>
      </c>
      <c r="AG790" s="306">
        <f t="shared" ca="1" si="375"/>
        <v>-90.873906323924956</v>
      </c>
      <c r="AH790" s="304">
        <f t="shared" ca="1" si="376"/>
        <v>-81.755240991976564</v>
      </c>
    </row>
    <row r="791" spans="1:34" x14ac:dyDescent="0.2">
      <c r="A791" s="347">
        <f t="shared" ca="1" si="354"/>
        <v>0.01</v>
      </c>
      <c r="B791" s="304">
        <f t="shared" ca="1" si="355"/>
        <v>7.8699999999998766</v>
      </c>
      <c r="D791" s="306">
        <f t="shared" ca="1" si="356"/>
        <v>-30.009534464505446</v>
      </c>
      <c r="E791" s="307">
        <f t="shared" ca="1" si="357"/>
        <v>-85.436636123166764</v>
      </c>
      <c r="F791" s="304">
        <f t="shared" ca="1" si="358"/>
        <v>90.553801415615595</v>
      </c>
      <c r="G791" s="306">
        <f t="shared" ca="1" si="359"/>
        <v>151.18391634210025</v>
      </c>
      <c r="H791" s="307">
        <f t="shared" ca="1" si="360"/>
        <v>380.8985143394396</v>
      </c>
      <c r="I791" s="304">
        <f t="shared" ca="1" si="361"/>
        <v>409.80514245983721</v>
      </c>
      <c r="J791" s="306">
        <f t="shared" ca="1" si="362"/>
        <v>851.05124669346935</v>
      </c>
      <c r="K791" s="307">
        <f t="shared" ca="1" si="363"/>
        <v>2300.598086581515</v>
      </c>
      <c r="L791" s="304">
        <f t="shared" ca="1" si="348"/>
        <v>2452.965507397329</v>
      </c>
      <c r="M791" s="306">
        <f t="shared" ca="1" si="364"/>
        <v>1.1929532051655682</v>
      </c>
      <c r="N791" s="304">
        <f t="shared" ca="1" si="365"/>
        <v>68.351183812591259</v>
      </c>
      <c r="P791" s="310">
        <f t="shared" ca="1" si="366"/>
        <v>22</v>
      </c>
      <c r="Q791" s="304">
        <f t="shared" ca="1" si="367"/>
        <v>0</v>
      </c>
      <c r="R791" s="306">
        <f t="shared" ca="1" si="368"/>
        <v>0</v>
      </c>
      <c r="S791" s="307">
        <f t="shared" ca="1" si="369"/>
        <v>11.416040186296438</v>
      </c>
      <c r="T791" s="304">
        <f t="shared" ca="1" si="349"/>
        <v>111.99135422756807</v>
      </c>
      <c r="U791" s="311">
        <f t="shared" ca="1" si="350"/>
        <v>0</v>
      </c>
      <c r="V791" s="306">
        <f t="shared" ca="1" si="351"/>
        <v>0.97225048672500736</v>
      </c>
      <c r="W791" s="304">
        <f t="shared" ca="1" si="352"/>
        <v>924.39950042507951</v>
      </c>
      <c r="Y791" s="314" t="str">
        <f t="shared" ca="1" si="370"/>
        <v/>
      </c>
      <c r="Z791" s="315" t="str">
        <f t="shared" ca="1" si="371"/>
        <v/>
      </c>
      <c r="AA791" s="316" t="str">
        <f t="shared" ca="1" si="372"/>
        <v/>
      </c>
      <c r="AC791" s="310" t="e">
        <f t="shared" ca="1" si="373"/>
        <v>#N/A</v>
      </c>
      <c r="AD791" s="323" t="e">
        <f t="shared" ca="1" si="374"/>
        <v>#N/A</v>
      </c>
      <c r="AE791" s="324">
        <f t="shared" ca="1" si="353"/>
        <v>2300.598086581515</v>
      </c>
      <c r="AG791" s="306">
        <f t="shared" ca="1" si="375"/>
        <v>-90.481484829395555</v>
      </c>
      <c r="AH791" s="304">
        <f t="shared" ca="1" si="376"/>
        <v>-81.363138152865091</v>
      </c>
    </row>
    <row r="792" spans="1:34" x14ac:dyDescent="0.2">
      <c r="A792" s="347">
        <f t="shared" ca="1" si="354"/>
        <v>0.01</v>
      </c>
      <c r="B792" s="304">
        <f t="shared" ca="1" si="355"/>
        <v>7.8799999999998764</v>
      </c>
      <c r="D792" s="306">
        <f t="shared" ca="1" si="356"/>
        <v>-29.872557150374547</v>
      </c>
      <c r="E792" s="307">
        <f t="shared" ca="1" si="357"/>
        <v>-85.072057720151236</v>
      </c>
      <c r="F792" s="304">
        <f t="shared" ca="1" si="358"/>
        <v>90.164431321021127</v>
      </c>
      <c r="G792" s="306">
        <f t="shared" ca="1" si="359"/>
        <v>150.88519077059649</v>
      </c>
      <c r="H792" s="307">
        <f t="shared" ca="1" si="360"/>
        <v>380.04779376223809</v>
      </c>
      <c r="I792" s="304">
        <f t="shared" ca="1" si="361"/>
        <v>408.90422636287821</v>
      </c>
      <c r="J792" s="306">
        <f t="shared" ca="1" si="362"/>
        <v>852.56159222903284</v>
      </c>
      <c r="K792" s="307">
        <f t="shared" ca="1" si="363"/>
        <v>2304.4028181220233</v>
      </c>
      <c r="L792" s="304">
        <f t="shared" ca="1" si="348"/>
        <v>2457.0579188763186</v>
      </c>
      <c r="M792" s="306">
        <f t="shared" ca="1" si="364"/>
        <v>1.1928646985781044</v>
      </c>
      <c r="N792" s="304">
        <f t="shared" ca="1" si="365"/>
        <v>68.346112758670472</v>
      </c>
      <c r="P792" s="310">
        <f t="shared" ca="1" si="366"/>
        <v>22</v>
      </c>
      <c r="Q792" s="304">
        <f t="shared" ca="1" si="367"/>
        <v>0</v>
      </c>
      <c r="R792" s="306">
        <f t="shared" ca="1" si="368"/>
        <v>0</v>
      </c>
      <c r="S792" s="307">
        <f t="shared" ca="1" si="369"/>
        <v>11.416040186296438</v>
      </c>
      <c r="T792" s="304">
        <f t="shared" ca="1" si="349"/>
        <v>111.99135422756807</v>
      </c>
      <c r="U792" s="311">
        <f t="shared" ca="1" si="350"/>
        <v>0</v>
      </c>
      <c r="V792" s="306">
        <f t="shared" ca="1" si="351"/>
        <v>0.97187567515540785</v>
      </c>
      <c r="W792" s="304">
        <f t="shared" ca="1" si="352"/>
        <v>919.98476673727453</v>
      </c>
      <c r="Y792" s="314" t="str">
        <f t="shared" ca="1" si="370"/>
        <v/>
      </c>
      <c r="Z792" s="315" t="str">
        <f t="shared" ca="1" si="371"/>
        <v/>
      </c>
      <c r="AA792" s="316" t="str">
        <f t="shared" ca="1" si="372"/>
        <v/>
      </c>
      <c r="AC792" s="310" t="e">
        <f t="shared" ca="1" si="373"/>
        <v>#N/A</v>
      </c>
      <c r="AD792" s="323" t="e">
        <f t="shared" ca="1" si="374"/>
        <v>#N/A</v>
      </c>
      <c r="AE792" s="324">
        <f t="shared" ca="1" si="353"/>
        <v>2304.4028181220233</v>
      </c>
      <c r="AG792" s="306">
        <f t="shared" ca="1" si="375"/>
        <v>-90.091769851740779</v>
      </c>
      <c r="AH792" s="304">
        <f t="shared" ca="1" si="376"/>
        <v>-80.973742676090808</v>
      </c>
    </row>
    <row r="793" spans="1:34" x14ac:dyDescent="0.2">
      <c r="A793" s="347">
        <f t="shared" ca="1" si="354"/>
        <v>0.01</v>
      </c>
      <c r="B793" s="304">
        <f t="shared" ca="1" si="355"/>
        <v>7.8899999999998762</v>
      </c>
      <c r="D793" s="306">
        <f t="shared" ca="1" si="356"/>
        <v>-29.736521485500425</v>
      </c>
      <c r="E793" s="307">
        <f t="shared" ca="1" si="357"/>
        <v>-84.70999069497914</v>
      </c>
      <c r="F793" s="304">
        <f t="shared" ca="1" si="358"/>
        <v>89.777743531462633</v>
      </c>
      <c r="G793" s="306">
        <f t="shared" ca="1" si="359"/>
        <v>150.58782555574149</v>
      </c>
      <c r="H793" s="307">
        <f t="shared" ca="1" si="360"/>
        <v>379.20069385528831</v>
      </c>
      <c r="I793" s="304">
        <f t="shared" ca="1" si="361"/>
        <v>408.00718060585467</v>
      </c>
      <c r="J793" s="306">
        <f t="shared" ca="1" si="362"/>
        <v>854.06895731066447</v>
      </c>
      <c r="K793" s="307">
        <f t="shared" ca="1" si="363"/>
        <v>2308.1990605601109</v>
      </c>
      <c r="L793" s="304">
        <f t="shared" ca="1" si="348"/>
        <v>2461.1413382843953</v>
      </c>
      <c r="M793" s="306">
        <f t="shared" ca="1" si="364"/>
        <v>1.1927759776209526</v>
      </c>
      <c r="N793" s="304">
        <f t="shared" ca="1" si="365"/>
        <v>68.341029422271319</v>
      </c>
      <c r="P793" s="310">
        <f t="shared" ca="1" si="366"/>
        <v>22</v>
      </c>
      <c r="Q793" s="304">
        <f t="shared" ca="1" si="367"/>
        <v>0</v>
      </c>
      <c r="R793" s="306">
        <f t="shared" ca="1" si="368"/>
        <v>0</v>
      </c>
      <c r="S793" s="307">
        <f t="shared" ca="1" si="369"/>
        <v>11.416040186296438</v>
      </c>
      <c r="T793" s="304">
        <f t="shared" ca="1" si="349"/>
        <v>111.99135422756807</v>
      </c>
      <c r="U793" s="311">
        <f t="shared" ca="1" si="350"/>
        <v>0</v>
      </c>
      <c r="V793" s="306">
        <f t="shared" ca="1" si="351"/>
        <v>0.97150182728689172</v>
      </c>
      <c r="W793" s="304">
        <f t="shared" ca="1" si="352"/>
        <v>915.60037047700519</v>
      </c>
      <c r="Y793" s="314" t="str">
        <f t="shared" ca="1" si="370"/>
        <v/>
      </c>
      <c r="Z793" s="315" t="str">
        <f t="shared" ca="1" si="371"/>
        <v/>
      </c>
      <c r="AA793" s="316" t="str">
        <f t="shared" ca="1" si="372"/>
        <v/>
      </c>
      <c r="AC793" s="310" t="e">
        <f t="shared" ca="1" si="373"/>
        <v>#N/A</v>
      </c>
      <c r="AD793" s="323" t="e">
        <f t="shared" ca="1" si="374"/>
        <v>#N/A</v>
      </c>
      <c r="AE793" s="324">
        <f t="shared" ca="1" si="353"/>
        <v>2308.1990605601109</v>
      </c>
      <c r="AG793" s="306">
        <f t="shared" ca="1" si="375"/>
        <v>-89.70473628190949</v>
      </c>
      <c r="AH793" s="304">
        <f t="shared" ca="1" si="376"/>
        <v>-80.587029453663263</v>
      </c>
    </row>
    <row r="794" spans="1:34" x14ac:dyDescent="0.2">
      <c r="A794" s="347">
        <f t="shared" ca="1" si="354"/>
        <v>0.01</v>
      </c>
      <c r="B794" s="304">
        <f t="shared" ca="1" si="355"/>
        <v>7.899999999999876</v>
      </c>
      <c r="D794" s="306">
        <f t="shared" ca="1" si="356"/>
        <v>-29.601418754770503</v>
      </c>
      <c r="E794" s="307">
        <f t="shared" ca="1" si="357"/>
        <v>-84.35041181273931</v>
      </c>
      <c r="F794" s="304">
        <f t="shared" ca="1" si="358"/>
        <v>89.393713231266943</v>
      </c>
      <c r="G794" s="306">
        <f t="shared" ca="1" si="359"/>
        <v>150.29181136819378</v>
      </c>
      <c r="H794" s="307">
        <f t="shared" ca="1" si="360"/>
        <v>378.35718973716092</v>
      </c>
      <c r="I794" s="304">
        <f t="shared" ca="1" si="361"/>
        <v>407.11397862286026</v>
      </c>
      <c r="J794" s="306">
        <f t="shared" ca="1" si="362"/>
        <v>855.5733554952842</v>
      </c>
      <c r="K794" s="307">
        <f t="shared" ca="1" si="363"/>
        <v>2311.9868499780732</v>
      </c>
      <c r="L794" s="304">
        <f t="shared" ca="1" si="348"/>
        <v>2465.2158041650214</v>
      </c>
      <c r="M794" s="306">
        <f t="shared" ca="1" si="364"/>
        <v>1.1926870421417897</v>
      </c>
      <c r="N794" s="304">
        <f t="shared" ca="1" si="365"/>
        <v>68.335933794666303</v>
      </c>
      <c r="P794" s="310">
        <f t="shared" ca="1" si="366"/>
        <v>22</v>
      </c>
      <c r="Q794" s="304">
        <f t="shared" ca="1" si="367"/>
        <v>0</v>
      </c>
      <c r="R794" s="306">
        <f t="shared" ca="1" si="368"/>
        <v>0</v>
      </c>
      <c r="S794" s="307">
        <f t="shared" ca="1" si="369"/>
        <v>11.416040186296438</v>
      </c>
      <c r="T794" s="304">
        <f t="shared" ca="1" si="349"/>
        <v>111.99135422756807</v>
      </c>
      <c r="U794" s="311">
        <f t="shared" ca="1" si="350"/>
        <v>0</v>
      </c>
      <c r="V794" s="306">
        <f t="shared" ca="1" si="351"/>
        <v>0.97112893864932337</v>
      </c>
      <c r="W794" s="304">
        <f t="shared" ca="1" si="352"/>
        <v>911.24603163960455</v>
      </c>
      <c r="Y794" s="314" t="str">
        <f t="shared" ca="1" si="370"/>
        <v/>
      </c>
      <c r="Z794" s="315" t="str">
        <f t="shared" ca="1" si="371"/>
        <v/>
      </c>
      <c r="AA794" s="316" t="str">
        <f t="shared" ca="1" si="372"/>
        <v/>
      </c>
      <c r="AC794" s="310" t="e">
        <f t="shared" ca="1" si="373"/>
        <v>#N/A</v>
      </c>
      <c r="AD794" s="323" t="e">
        <f t="shared" ca="1" si="374"/>
        <v>#N/A</v>
      </c>
      <c r="AE794" s="324">
        <f t="shared" ca="1" si="353"/>
        <v>2311.9868499780732</v>
      </c>
      <c r="AG794" s="306">
        <f t="shared" ca="1" si="375"/>
        <v>-89.320359303237581</v>
      </c>
      <c r="AH794" s="304">
        <f t="shared" ca="1" si="376"/>
        <v>-80.202973669983365</v>
      </c>
    </row>
    <row r="795" spans="1:34" x14ac:dyDescent="0.2">
      <c r="A795" s="347">
        <f t="shared" ca="1" si="354"/>
        <v>0.01</v>
      </c>
      <c r="B795" s="304">
        <f t="shared" ca="1" si="355"/>
        <v>7.9099999999998758</v>
      </c>
      <c r="D795" s="306">
        <f t="shared" ca="1" si="356"/>
        <v>-29.467240344319528</v>
      </c>
      <c r="E795" s="307">
        <f t="shared" ca="1" si="357"/>
        <v>-83.993298108453786</v>
      </c>
      <c r="F795" s="304">
        <f t="shared" ca="1" si="358"/>
        <v>89.012315893057618</v>
      </c>
      <c r="G795" s="306">
        <f t="shared" ca="1" si="359"/>
        <v>149.99713896475058</v>
      </c>
      <c r="H795" s="307">
        <f t="shared" ca="1" si="360"/>
        <v>377.51725675607639</v>
      </c>
      <c r="I795" s="304">
        <f t="shared" ca="1" si="361"/>
        <v>406.22459409327251</v>
      </c>
      <c r="J795" s="306">
        <f t="shared" ca="1" si="362"/>
        <v>857.07480024694894</v>
      </c>
      <c r="K795" s="307">
        <f t="shared" ca="1" si="363"/>
        <v>2315.7662222105396</v>
      </c>
      <c r="L795" s="304">
        <f t="shared" ca="1" si="348"/>
        <v>2469.2813547973064</v>
      </c>
      <c r="M795" s="306">
        <f t="shared" ca="1" si="364"/>
        <v>1.1925978919875724</v>
      </c>
      <c r="N795" s="304">
        <f t="shared" ca="1" si="365"/>
        <v>68.330825867086716</v>
      </c>
      <c r="P795" s="310">
        <f t="shared" ca="1" si="366"/>
        <v>22</v>
      </c>
      <c r="Q795" s="304">
        <f t="shared" ca="1" si="367"/>
        <v>0</v>
      </c>
      <c r="R795" s="306">
        <f t="shared" ca="1" si="368"/>
        <v>0</v>
      </c>
      <c r="S795" s="307">
        <f t="shared" ca="1" si="369"/>
        <v>11.416040186296438</v>
      </c>
      <c r="T795" s="304">
        <f t="shared" ca="1" si="349"/>
        <v>111.99135422756807</v>
      </c>
      <c r="U795" s="311">
        <f t="shared" ca="1" si="350"/>
        <v>0</v>
      </c>
      <c r="V795" s="306">
        <f t="shared" ca="1" si="351"/>
        <v>0.97075700480456972</v>
      </c>
      <c r="W795" s="304">
        <f t="shared" ca="1" si="352"/>
        <v>906.92147346564218</v>
      </c>
      <c r="Y795" s="314" t="str">
        <f t="shared" ca="1" si="370"/>
        <v/>
      </c>
      <c r="Z795" s="315" t="str">
        <f t="shared" ca="1" si="371"/>
        <v/>
      </c>
      <c r="AA795" s="316" t="str">
        <f t="shared" ca="1" si="372"/>
        <v/>
      </c>
      <c r="AC795" s="310" t="e">
        <f t="shared" ca="1" si="373"/>
        <v>#N/A</v>
      </c>
      <c r="AD795" s="323" t="e">
        <f t="shared" ca="1" si="374"/>
        <v>#N/A</v>
      </c>
      <c r="AE795" s="324">
        <f t="shared" ca="1" si="353"/>
        <v>2315.7662222105396</v>
      </c>
      <c r="AG795" s="306">
        <f t="shared" ca="1" si="375"/>
        <v>-88.938614387353567</v>
      </c>
      <c r="AH795" s="304">
        <f t="shared" ca="1" si="376"/>
        <v>-79.821550797748955</v>
      </c>
    </row>
    <row r="796" spans="1:34" x14ac:dyDescent="0.2">
      <c r="A796" s="347">
        <f t="shared" ca="1" si="354"/>
        <v>0.01</v>
      </c>
      <c r="B796" s="304">
        <f t="shared" ca="1" si="355"/>
        <v>7.9199999999998756</v>
      </c>
      <c r="D796" s="306">
        <f t="shared" ca="1" si="356"/>
        <v>-29.333977740115376</v>
      </c>
      <c r="E796" s="307">
        <f t="shared" ca="1" si="357"/>
        <v>-83.63862688330731</v>
      </c>
      <c r="F796" s="304">
        <f t="shared" ca="1" si="358"/>
        <v>88.633527273727978</v>
      </c>
      <c r="G796" s="306">
        <f t="shared" ca="1" si="359"/>
        <v>149.70379918734943</v>
      </c>
      <c r="H796" s="307">
        <f t="shared" ca="1" si="360"/>
        <v>376.68087048724334</v>
      </c>
      <c r="I796" s="304">
        <f t="shared" ca="1" si="361"/>
        <v>405.33900093890992</v>
      </c>
      <c r="J796" s="306">
        <f t="shared" ca="1" si="362"/>
        <v>858.57330493770939</v>
      </c>
      <c r="K796" s="307">
        <f t="shared" ca="1" si="363"/>
        <v>2319.5372128467561</v>
      </c>
      <c r="L796" s="304">
        <f t="shared" ca="1" si="348"/>
        <v>2473.3380281984423</v>
      </c>
      <c r="M796" s="306">
        <f t="shared" ca="1" si="364"/>
        <v>1.1925085270045359</v>
      </c>
      <c r="N796" s="304">
        <f t="shared" ca="1" si="365"/>
        <v>68.325705630722467</v>
      </c>
      <c r="P796" s="310">
        <f t="shared" ca="1" si="366"/>
        <v>22</v>
      </c>
      <c r="Q796" s="304">
        <f t="shared" ca="1" si="367"/>
        <v>0</v>
      </c>
      <c r="R796" s="306">
        <f t="shared" ca="1" si="368"/>
        <v>0</v>
      </c>
      <c r="S796" s="307">
        <f t="shared" ca="1" si="369"/>
        <v>11.416040186296438</v>
      </c>
      <c r="T796" s="304">
        <f t="shared" ca="1" si="349"/>
        <v>111.99135422756807</v>
      </c>
      <c r="U796" s="311">
        <f t="shared" ca="1" si="350"/>
        <v>0</v>
      </c>
      <c r="V796" s="306">
        <f t="shared" ca="1" si="351"/>
        <v>0.97038602134619567</v>
      </c>
      <c r="W796" s="304">
        <f t="shared" ca="1" si="352"/>
        <v>902.62642239569857</v>
      </c>
      <c r="Y796" s="314" t="str">
        <f t="shared" ca="1" si="370"/>
        <v/>
      </c>
      <c r="Z796" s="315" t="str">
        <f t="shared" ca="1" si="371"/>
        <v/>
      </c>
      <c r="AA796" s="316" t="str">
        <f t="shared" ca="1" si="372"/>
        <v/>
      </c>
      <c r="AC796" s="310" t="e">
        <f t="shared" ca="1" si="373"/>
        <v>#N/A</v>
      </c>
      <c r="AD796" s="323" t="e">
        <f t="shared" ca="1" si="374"/>
        <v>#N/A</v>
      </c>
      <c r="AE796" s="324">
        <f t="shared" ca="1" si="353"/>
        <v>2319.5372128467561</v>
      </c>
      <c r="AG796" s="306">
        <f t="shared" ca="1" si="375"/>
        <v>-88.55947729015152</v>
      </c>
      <c r="AH796" s="304">
        <f t="shared" ca="1" si="376"/>
        <v>-79.442736593927776</v>
      </c>
    </row>
    <row r="797" spans="1:34" x14ac:dyDescent="0.2">
      <c r="A797" s="347">
        <f t="shared" ca="1" si="354"/>
        <v>0.01</v>
      </c>
      <c r="B797" s="304">
        <f t="shared" ca="1" si="355"/>
        <v>7.9299999999998754</v>
      </c>
      <c r="D797" s="306">
        <f t="shared" ca="1" si="356"/>
        <v>-29.201622526567828</v>
      </c>
      <c r="E797" s="307">
        <f t="shared" ca="1" si="357"/>
        <v>-83.286375700937995</v>
      </c>
      <c r="F797" s="304">
        <f t="shared" ca="1" si="358"/>
        <v>88.257323410479358</v>
      </c>
      <c r="G797" s="306">
        <f t="shared" ca="1" si="359"/>
        <v>149.41178296208375</v>
      </c>
      <c r="H797" s="307">
        <f t="shared" ca="1" si="360"/>
        <v>375.84800673023398</v>
      </c>
      <c r="I797" s="304">
        <f t="shared" ca="1" si="361"/>
        <v>404.45717332122916</v>
      </c>
      <c r="J797" s="306">
        <f t="shared" ca="1" si="362"/>
        <v>860.06888284845661</v>
      </c>
      <c r="K797" s="307">
        <f t="shared" ca="1" si="363"/>
        <v>2323.2998572328434</v>
      </c>
      <c r="L797" s="304">
        <f t="shared" ca="1" si="348"/>
        <v>2477.3858621261124</v>
      </c>
      <c r="M797" s="306">
        <f t="shared" ca="1" si="364"/>
        <v>1.1924189470381954</v>
      </c>
      <c r="N797" s="304">
        <f t="shared" ca="1" si="365"/>
        <v>68.320573076722226</v>
      </c>
      <c r="P797" s="310">
        <f t="shared" ca="1" si="366"/>
        <v>22</v>
      </c>
      <c r="Q797" s="304">
        <f t="shared" ca="1" si="367"/>
        <v>0</v>
      </c>
      <c r="R797" s="306">
        <f t="shared" ca="1" si="368"/>
        <v>0</v>
      </c>
      <c r="S797" s="307">
        <f t="shared" ca="1" si="369"/>
        <v>11.416040186296438</v>
      </c>
      <c r="T797" s="304">
        <f t="shared" ca="1" si="349"/>
        <v>111.99135422756807</v>
      </c>
      <c r="U797" s="311">
        <f t="shared" ca="1" si="350"/>
        <v>0</v>
      </c>
      <c r="V797" s="306">
        <f t="shared" ca="1" si="351"/>
        <v>0.97001598389916321</v>
      </c>
      <c r="W797" s="304">
        <f t="shared" ca="1" si="352"/>
        <v>898.3606080258761</v>
      </c>
      <c r="Y797" s="314" t="str">
        <f t="shared" ca="1" si="370"/>
        <v/>
      </c>
      <c r="Z797" s="315" t="str">
        <f t="shared" ca="1" si="371"/>
        <v/>
      </c>
      <c r="AA797" s="316" t="str">
        <f t="shared" ca="1" si="372"/>
        <v/>
      </c>
      <c r="AC797" s="310" t="e">
        <f t="shared" ca="1" si="373"/>
        <v>#N/A</v>
      </c>
      <c r="AD797" s="323" t="e">
        <f t="shared" ca="1" si="374"/>
        <v>#N/A</v>
      </c>
      <c r="AE797" s="324">
        <f t="shared" ca="1" si="353"/>
        <v>2323.2998572328434</v>
      </c>
      <c r="AG797" s="306">
        <f t="shared" ca="1" si="375"/>
        <v>-88.182924047829545</v>
      </c>
      <c r="AH797" s="304">
        <f t="shared" ca="1" si="376"/>
        <v>-79.066507095795913</v>
      </c>
    </row>
    <row r="798" spans="1:34" x14ac:dyDescent="0.2">
      <c r="A798" s="347">
        <f t="shared" ca="1" si="354"/>
        <v>0.01</v>
      </c>
      <c r="B798" s="304">
        <f t="shared" ca="1" si="355"/>
        <v>7.9399999999998752</v>
      </c>
      <c r="D798" s="306">
        <f t="shared" ca="1" si="356"/>
        <v>-29.07016638515983</v>
      </c>
      <c r="E798" s="307">
        <f t="shared" ca="1" si="357"/>
        <v>-82.936522383788528</v>
      </c>
      <c r="F798" s="304">
        <f t="shared" ca="1" si="358"/>
        <v>87.883680616924167</v>
      </c>
      <c r="G798" s="306">
        <f t="shared" ca="1" si="359"/>
        <v>149.12108129823216</v>
      </c>
      <c r="H798" s="307">
        <f t="shared" ca="1" si="360"/>
        <v>375.01864150639608</v>
      </c>
      <c r="I798" s="304">
        <f t="shared" ca="1" si="361"/>
        <v>403.5790856385608</v>
      </c>
      <c r="J798" s="306">
        <f t="shared" ca="1" si="362"/>
        <v>861.56154716975823</v>
      </c>
      <c r="K798" s="307">
        <f t="shared" ca="1" si="363"/>
        <v>2327.0541904740267</v>
      </c>
      <c r="L798" s="304">
        <f t="shared" ca="1" si="348"/>
        <v>2481.4248940808739</v>
      </c>
      <c r="M798" s="306">
        <f t="shared" ca="1" si="364"/>
        <v>1.192329151933345</v>
      </c>
      <c r="N798" s="304">
        <f t="shared" ca="1" si="365"/>
        <v>68.315428196193366</v>
      </c>
      <c r="P798" s="310">
        <f t="shared" ca="1" si="366"/>
        <v>22</v>
      </c>
      <c r="Q798" s="304">
        <f t="shared" ca="1" si="367"/>
        <v>0</v>
      </c>
      <c r="R798" s="306">
        <f t="shared" ca="1" si="368"/>
        <v>0</v>
      </c>
      <c r="S798" s="307">
        <f t="shared" ca="1" si="369"/>
        <v>11.416040186296438</v>
      </c>
      <c r="T798" s="304">
        <f t="shared" ca="1" si="349"/>
        <v>111.99135422756807</v>
      </c>
      <c r="U798" s="311">
        <f t="shared" ca="1" si="350"/>
        <v>0</v>
      </c>
      <c r="V798" s="306">
        <f t="shared" ca="1" si="351"/>
        <v>0.96964688811953281</v>
      </c>
      <c r="W798" s="304">
        <f t="shared" ca="1" si="352"/>
        <v>894.12376306402973</v>
      </c>
      <c r="Y798" s="314" t="str">
        <f t="shared" ca="1" si="370"/>
        <v/>
      </c>
      <c r="Z798" s="315" t="str">
        <f t="shared" ca="1" si="371"/>
        <v/>
      </c>
      <c r="AA798" s="316" t="str">
        <f t="shared" ca="1" si="372"/>
        <v/>
      </c>
      <c r="AC798" s="310" t="e">
        <f t="shared" ca="1" si="373"/>
        <v>#N/A</v>
      </c>
      <c r="AD798" s="323" t="e">
        <f t="shared" ca="1" si="374"/>
        <v>#N/A</v>
      </c>
      <c r="AE798" s="324">
        <f t="shared" ca="1" si="353"/>
        <v>2327.0541904740267</v>
      </c>
      <c r="AG798" s="306">
        <f t="shared" ca="1" si="375"/>
        <v>-87.808930972992599</v>
      </c>
      <c r="AH798" s="304">
        <f t="shared" ca="1" si="376"/>
        <v>-78.692838617040636</v>
      </c>
    </row>
    <row r="799" spans="1:34" x14ac:dyDescent="0.2">
      <c r="A799" s="347">
        <f t="shared" ca="1" si="354"/>
        <v>0.01</v>
      </c>
      <c r="B799" s="304">
        <f t="shared" ca="1" si="355"/>
        <v>7.9499999999998749</v>
      </c>
      <c r="D799" s="306">
        <f t="shared" ca="1" si="356"/>
        <v>-28.939601093101107</v>
      </c>
      <c r="E799" s="307">
        <f t="shared" ca="1" si="357"/>
        <v>-82.589045009516411</v>
      </c>
      <c r="F799" s="304">
        <f t="shared" ca="1" si="358"/>
        <v>87.512575479251822</v>
      </c>
      <c r="G799" s="306">
        <f t="shared" ca="1" si="359"/>
        <v>148.83168528730116</v>
      </c>
      <c r="H799" s="307">
        <f t="shared" ca="1" si="360"/>
        <v>374.19275105630089</v>
      </c>
      <c r="I799" s="304">
        <f t="shared" ca="1" si="361"/>
        <v>402.70471252338359</v>
      </c>
      <c r="J799" s="306">
        <f t="shared" ca="1" si="362"/>
        <v>863.05131100268591</v>
      </c>
      <c r="K799" s="307">
        <f t="shared" ca="1" si="363"/>
        <v>2330.80024743684</v>
      </c>
      <c r="L799" s="304">
        <f t="shared" ca="1" si="348"/>
        <v>2485.4551613085055</v>
      </c>
      <c r="M799" s="306">
        <f t="shared" ca="1" si="364"/>
        <v>1.1922391415340574</v>
      </c>
      <c r="N799" s="304">
        <f t="shared" ca="1" si="365"/>
        <v>68.310270980201906</v>
      </c>
      <c r="P799" s="310">
        <f t="shared" ca="1" si="366"/>
        <v>22</v>
      </c>
      <c r="Q799" s="304">
        <f t="shared" ca="1" si="367"/>
        <v>0</v>
      </c>
      <c r="R799" s="306">
        <f t="shared" ca="1" si="368"/>
        <v>0</v>
      </c>
      <c r="S799" s="307">
        <f t="shared" ca="1" si="369"/>
        <v>11.416040186296438</v>
      </c>
      <c r="T799" s="304">
        <f t="shared" ca="1" si="349"/>
        <v>111.99135422756807</v>
      </c>
      <c r="U799" s="311">
        <f t="shared" ca="1" si="350"/>
        <v>0</v>
      </c>
      <c r="V799" s="306">
        <f t="shared" ca="1" si="351"/>
        <v>0.9692787296941715</v>
      </c>
      <c r="W799" s="304">
        <f t="shared" ca="1" si="352"/>
        <v>889.91562328670989</v>
      </c>
      <c r="Y799" s="314" t="str">
        <f t="shared" ca="1" si="370"/>
        <v/>
      </c>
      <c r="Z799" s="315" t="str">
        <f t="shared" ca="1" si="371"/>
        <v/>
      </c>
      <c r="AA799" s="316" t="str">
        <f t="shared" ca="1" si="372"/>
        <v/>
      </c>
      <c r="AC799" s="310" t="e">
        <f t="shared" ca="1" si="373"/>
        <v>#N/A</v>
      </c>
      <c r="AD799" s="323" t="e">
        <f t="shared" ca="1" si="374"/>
        <v>#N/A</v>
      </c>
      <c r="AE799" s="324">
        <f t="shared" ca="1" si="353"/>
        <v>2330.80024743684</v>
      </c>
      <c r="AG799" s="306">
        <f t="shared" ca="1" si="375"/>
        <v>-87.43747465081853</v>
      </c>
      <c r="AH799" s="304">
        <f t="shared" ca="1" si="376"/>
        <v>-78.321707743926481</v>
      </c>
    </row>
    <row r="800" spans="1:34" x14ac:dyDescent="0.2">
      <c r="A800" s="347">
        <f t="shared" ca="1" si="354"/>
        <v>0.01</v>
      </c>
      <c r="B800" s="304">
        <f t="shared" ca="1" si="355"/>
        <v>7.9599999999998747</v>
      </c>
      <c r="D800" s="306">
        <f t="shared" ca="1" si="356"/>
        <v>-28.809918522003596</v>
      </c>
      <c r="E800" s="307">
        <f t="shared" ca="1" si="357"/>
        <v>-82.243921907462479</v>
      </c>
      <c r="F800" s="304">
        <f t="shared" ca="1" si="358"/>
        <v>87.143984852457109</v>
      </c>
      <c r="G800" s="306">
        <f t="shared" ca="1" si="359"/>
        <v>148.54358610208112</v>
      </c>
      <c r="H800" s="307">
        <f t="shared" ca="1" si="360"/>
        <v>373.37031183722627</v>
      </c>
      <c r="I800" s="304">
        <f t="shared" ca="1" si="361"/>
        <v>401.83402883963669</v>
      </c>
      <c r="J800" s="306">
        <f t="shared" ca="1" si="362"/>
        <v>864.53818735963284</v>
      </c>
      <c r="K800" s="307">
        <f t="shared" ca="1" si="363"/>
        <v>2334.5380627513077</v>
      </c>
      <c r="L800" s="304">
        <f t="shared" ca="1" si="348"/>
        <v>2489.4767008023409</v>
      </c>
      <c r="M800" s="306">
        <f t="shared" ca="1" si="364"/>
        <v>1.1921489156836846</v>
      </c>
      <c r="N800" s="304">
        <f t="shared" ca="1" si="365"/>
        <v>68.305101419772569</v>
      </c>
      <c r="P800" s="310">
        <f t="shared" ca="1" si="366"/>
        <v>22</v>
      </c>
      <c r="Q800" s="304">
        <f t="shared" ca="1" si="367"/>
        <v>0</v>
      </c>
      <c r="R800" s="306">
        <f t="shared" ca="1" si="368"/>
        <v>0</v>
      </c>
      <c r="S800" s="307">
        <f t="shared" ca="1" si="369"/>
        <v>11.416040186296438</v>
      </c>
      <c r="T800" s="304">
        <f t="shared" ca="1" si="349"/>
        <v>111.99135422756807</v>
      </c>
      <c r="U800" s="311">
        <f t="shared" ca="1" si="350"/>
        <v>0</v>
      </c>
      <c r="V800" s="306">
        <f t="shared" ca="1" si="351"/>
        <v>0.96891150434046081</v>
      </c>
      <c r="W800" s="304">
        <f t="shared" ca="1" si="352"/>
        <v>885.73592749680074</v>
      </c>
      <c r="Y800" s="314" t="str">
        <f t="shared" ca="1" si="370"/>
        <v/>
      </c>
      <c r="Z800" s="315" t="str">
        <f t="shared" ca="1" si="371"/>
        <v/>
      </c>
      <c r="AA800" s="316" t="str">
        <f t="shared" ca="1" si="372"/>
        <v/>
      </c>
      <c r="AC800" s="310" t="e">
        <f t="shared" ca="1" si="373"/>
        <v>#N/A</v>
      </c>
      <c r="AD800" s="323" t="e">
        <f t="shared" ca="1" si="374"/>
        <v>#N/A</v>
      </c>
      <c r="AE800" s="324">
        <f t="shared" ca="1" si="353"/>
        <v>2334.5380627513077</v>
      </c>
      <c r="AG800" s="306">
        <f t="shared" ca="1" si="375"/>
        <v>-87.068531935286487</v>
      </c>
      <c r="AH800" s="304">
        <f t="shared" ca="1" si="376"/>
        <v>-77.953091331523595</v>
      </c>
    </row>
    <row r="801" spans="1:34" x14ac:dyDescent="0.2">
      <c r="A801" s="347">
        <f t="shared" ca="1" si="354"/>
        <v>0.01</v>
      </c>
      <c r="B801" s="304">
        <f t="shared" ca="1" si="355"/>
        <v>7.9699999999998745</v>
      </c>
      <c r="D801" s="306">
        <f t="shared" ca="1" si="356"/>
        <v>-28.681110636578207</v>
      </c>
      <c r="E801" s="307">
        <f t="shared" ca="1" si="357"/>
        <v>-81.901131655176627</v>
      </c>
      <c r="F801" s="304">
        <f t="shared" ca="1" si="358"/>
        <v>86.777885856629482</v>
      </c>
      <c r="G801" s="306">
        <f t="shared" ca="1" si="359"/>
        <v>148.25677499571535</v>
      </c>
      <c r="H801" s="307">
        <f t="shared" ca="1" si="360"/>
        <v>372.55130052067449</v>
      </c>
      <c r="I801" s="304">
        <f t="shared" ca="1" si="361"/>
        <v>400.96700968006843</v>
      </c>
      <c r="J801" s="306">
        <f t="shared" ca="1" si="362"/>
        <v>866.02218916512186</v>
      </c>
      <c r="K801" s="307">
        <f t="shared" ca="1" si="363"/>
        <v>2338.2676708130971</v>
      </c>
      <c r="L801" s="304">
        <f t="shared" ca="1" si="348"/>
        <v>2493.4895493055624</v>
      </c>
      <c r="M801" s="306">
        <f t="shared" ca="1" si="364"/>
        <v>1.1920584742248568</v>
      </c>
      <c r="N801" s="304">
        <f t="shared" ca="1" si="365"/>
        <v>68.299919505888724</v>
      </c>
      <c r="P801" s="310">
        <f t="shared" ca="1" si="366"/>
        <v>22</v>
      </c>
      <c r="Q801" s="304">
        <f t="shared" ca="1" si="367"/>
        <v>0</v>
      </c>
      <c r="R801" s="306">
        <f t="shared" ca="1" si="368"/>
        <v>0</v>
      </c>
      <c r="S801" s="307">
        <f t="shared" ca="1" si="369"/>
        <v>11.416040186296438</v>
      </c>
      <c r="T801" s="304">
        <f t="shared" ca="1" si="349"/>
        <v>111.99135422756807</v>
      </c>
      <c r="U801" s="311">
        <f t="shared" ca="1" si="350"/>
        <v>0</v>
      </c>
      <c r="V801" s="306">
        <f t="shared" ca="1" si="351"/>
        <v>0.9685452078060105</v>
      </c>
      <c r="W801" s="304">
        <f t="shared" ca="1" si="352"/>
        <v>881.58441748183679</v>
      </c>
      <c r="Y801" s="314" t="str">
        <f t="shared" ca="1" si="370"/>
        <v/>
      </c>
      <c r="Z801" s="315" t="str">
        <f t="shared" ca="1" si="371"/>
        <v/>
      </c>
      <c r="AA801" s="316" t="str">
        <f t="shared" ca="1" si="372"/>
        <v/>
      </c>
      <c r="AC801" s="310" t="e">
        <f t="shared" ca="1" si="373"/>
        <v>#N/A</v>
      </c>
      <c r="AD801" s="323" t="e">
        <f t="shared" ca="1" si="374"/>
        <v>#N/A</v>
      </c>
      <c r="AE801" s="324">
        <f t="shared" ca="1" si="353"/>
        <v>2338.2676708130971</v>
      </c>
      <c r="AG801" s="306">
        <f t="shared" ca="1" si="375"/>
        <v>-86.702079945466039</v>
      </c>
      <c r="AH801" s="304">
        <f t="shared" ca="1" si="376"/>
        <v>-77.586966499996947</v>
      </c>
    </row>
    <row r="802" spans="1:34" x14ac:dyDescent="0.2">
      <c r="A802" s="347">
        <f t="shared" ca="1" si="354"/>
        <v>0.01</v>
      </c>
      <c r="B802" s="304">
        <f t="shared" ca="1" si="355"/>
        <v>7.9799999999998743</v>
      </c>
      <c r="D802" s="306">
        <f t="shared" ca="1" si="356"/>
        <v>-28.553169493352613</v>
      </c>
      <c r="E802" s="307">
        <f t="shared" ca="1" si="357"/>
        <v>-81.560653074999024</v>
      </c>
      <c r="F802" s="304">
        <f t="shared" ca="1" si="358"/>
        <v>86.414255873301769</v>
      </c>
      <c r="G802" s="306">
        <f t="shared" ca="1" si="359"/>
        <v>147.97124330078182</v>
      </c>
      <c r="H802" s="307">
        <f t="shared" ca="1" si="360"/>
        <v>371.73569398992447</v>
      </c>
      <c r="I802" s="304">
        <f t="shared" ca="1" si="361"/>
        <v>400.10363036362213</v>
      </c>
      <c r="J802" s="306">
        <f t="shared" ca="1" si="362"/>
        <v>867.50332925660439</v>
      </c>
      <c r="K802" s="307">
        <f t="shared" ca="1" si="363"/>
        <v>2341.9891057856503</v>
      </c>
      <c r="L802" s="304">
        <f t="shared" ca="1" si="348"/>
        <v>2497.4937433134769</v>
      </c>
      <c r="M802" s="306">
        <f t="shared" ca="1" si="364"/>
        <v>1.191967816999483</v>
      </c>
      <c r="N802" s="304">
        <f t="shared" ca="1" si="365"/>
        <v>68.294725229492428</v>
      </c>
      <c r="P802" s="310">
        <f t="shared" ca="1" si="366"/>
        <v>22</v>
      </c>
      <c r="Q802" s="304">
        <f t="shared" ca="1" si="367"/>
        <v>0</v>
      </c>
      <c r="R802" s="306">
        <f t="shared" ca="1" si="368"/>
        <v>0</v>
      </c>
      <c r="S802" s="307">
        <f t="shared" ca="1" si="369"/>
        <v>11.416040186296438</v>
      </c>
      <c r="T802" s="304">
        <f t="shared" ca="1" si="349"/>
        <v>111.99135422756807</v>
      </c>
      <c r="U802" s="311">
        <f t="shared" ca="1" si="350"/>
        <v>0</v>
      </c>
      <c r="V802" s="306">
        <f t="shared" ca="1" si="351"/>
        <v>0.96817983586837519</v>
      </c>
      <c r="W802" s="304">
        <f t="shared" ca="1" si="352"/>
        <v>877.46083797299661</v>
      </c>
      <c r="Y802" s="314" t="str">
        <f t="shared" ca="1" si="370"/>
        <v/>
      </c>
      <c r="Z802" s="315" t="str">
        <f t="shared" ca="1" si="371"/>
        <v/>
      </c>
      <c r="AA802" s="316" t="str">
        <f t="shared" ca="1" si="372"/>
        <v/>
      </c>
      <c r="AC802" s="310" t="e">
        <f t="shared" ca="1" si="373"/>
        <v>#N/A</v>
      </c>
      <c r="AD802" s="323" t="e">
        <f t="shared" ca="1" si="374"/>
        <v>#N/A</v>
      </c>
      <c r="AE802" s="324">
        <f t="shared" ca="1" si="353"/>
        <v>2341.9891057856503</v>
      </c>
      <c r="AG802" s="306">
        <f t="shared" ca="1" si="375"/>
        <v>-86.338096061866082</v>
      </c>
      <c r="AH802" s="304">
        <f t="shared" ca="1" si="376"/>
        <v>-77.22331063095514</v>
      </c>
    </row>
    <row r="803" spans="1:34" x14ac:dyDescent="0.2">
      <c r="A803" s="347">
        <f t="shared" ca="1" si="354"/>
        <v>0.01</v>
      </c>
      <c r="B803" s="304">
        <f t="shared" ca="1" si="355"/>
        <v>7.9899999999998741</v>
      </c>
      <c r="D803" s="306">
        <f t="shared" ca="1" si="356"/>
        <v>-28.42608723940965</v>
      </c>
      <c r="E803" s="307">
        <f t="shared" ca="1" si="357"/>
        <v>-81.222465230696955</v>
      </c>
      <c r="F803" s="304">
        <f t="shared" ca="1" si="358"/>
        <v>86.053072541858171</v>
      </c>
      <c r="G803" s="306">
        <f t="shared" ca="1" si="359"/>
        <v>147.68698242838772</v>
      </c>
      <c r="H803" s="307">
        <f t="shared" ca="1" si="360"/>
        <v>370.92346933761752</v>
      </c>
      <c r="I803" s="304">
        <f t="shared" ca="1" si="361"/>
        <v>399.24386643285749</v>
      </c>
      <c r="J803" s="306">
        <f t="shared" ca="1" si="362"/>
        <v>868.98162038525027</v>
      </c>
      <c r="K803" s="307">
        <f t="shared" ca="1" si="363"/>
        <v>2345.7024016022879</v>
      </c>
      <c r="L803" s="304">
        <f t="shared" ca="1" si="348"/>
        <v>2501.4893190757616</v>
      </c>
      <c r="M803" s="306">
        <f t="shared" ca="1" si="364"/>
        <v>1.1918769438487502</v>
      </c>
      <c r="N803" s="304">
        <f t="shared" ca="1" si="365"/>
        <v>68.289518581484387</v>
      </c>
      <c r="P803" s="310">
        <f t="shared" ca="1" si="366"/>
        <v>22</v>
      </c>
      <c r="Q803" s="304">
        <f t="shared" ca="1" si="367"/>
        <v>0</v>
      </c>
      <c r="R803" s="306">
        <f t="shared" ca="1" si="368"/>
        <v>0</v>
      </c>
      <c r="S803" s="307">
        <f t="shared" ca="1" si="369"/>
        <v>11.416040186296438</v>
      </c>
      <c r="T803" s="304">
        <f t="shared" ca="1" si="349"/>
        <v>111.99135422756807</v>
      </c>
      <c r="U803" s="311">
        <f t="shared" ca="1" si="350"/>
        <v>0</v>
      </c>
      <c r="V803" s="306">
        <f t="shared" ca="1" si="351"/>
        <v>0.96781538433477388</v>
      </c>
      <c r="W803" s="304">
        <f t="shared" ca="1" si="352"/>
        <v>873.36493660474866</v>
      </c>
      <c r="Y803" s="314" t="str">
        <f t="shared" ca="1" si="370"/>
        <v/>
      </c>
      <c r="Z803" s="315" t="str">
        <f t="shared" ca="1" si="371"/>
        <v/>
      </c>
      <c r="AA803" s="316" t="str">
        <f t="shared" ca="1" si="372"/>
        <v/>
      </c>
      <c r="AC803" s="310" t="e">
        <f t="shared" ca="1" si="373"/>
        <v>#N/A</v>
      </c>
      <c r="AD803" s="323" t="e">
        <f t="shared" ca="1" si="374"/>
        <v>#N/A</v>
      </c>
      <c r="AE803" s="324">
        <f t="shared" ca="1" si="353"/>
        <v>2345.7024016022879</v>
      </c>
      <c r="AG803" s="306">
        <f t="shared" ca="1" si="375"/>
        <v>-85.97655792284263</v>
      </c>
      <c r="AH803" s="304">
        <f t="shared" ca="1" si="376"/>
        <v>-76.862101363858301</v>
      </c>
    </row>
    <row r="804" spans="1:34" x14ac:dyDescent="0.2">
      <c r="A804" s="347">
        <f t="shared" ca="1" si="354"/>
        <v>0.01</v>
      </c>
      <c r="B804" s="304">
        <f t="shared" ca="1" si="355"/>
        <v>7.9999999999998739</v>
      </c>
      <c r="D804" s="306">
        <f t="shared" ca="1" si="356"/>
        <v>-28.299856111146021</v>
      </c>
      <c r="E804" s="307">
        <f t="shared" ca="1" si="357"/>
        <v>-80.886547424155069</v>
      </c>
      <c r="F804" s="304">
        <f t="shared" ca="1" si="358"/>
        <v>85.694313755999332</v>
      </c>
      <c r="G804" s="306">
        <f t="shared" ca="1" si="359"/>
        <v>147.40398386727625</v>
      </c>
      <c r="H804" s="307">
        <f t="shared" ca="1" si="360"/>
        <v>370.11460386337598</v>
      </c>
      <c r="I804" s="304">
        <f t="shared" ca="1" si="361"/>
        <v>398.3876936514078</v>
      </c>
      <c r="J804" s="306">
        <f t="shared" ca="1" si="362"/>
        <v>870.45707521672864</v>
      </c>
      <c r="K804" s="307">
        <f t="shared" ca="1" si="363"/>
        <v>2349.4075919682928</v>
      </c>
      <c r="L804" s="304">
        <f t="shared" ca="1" si="348"/>
        <v>2505.4763125986869</v>
      </c>
      <c r="M804" s="306">
        <f t="shared" ca="1" si="364"/>
        <v>1.1917858546131237</v>
      </c>
      <c r="N804" s="304">
        <f t="shared" ca="1" si="365"/>
        <v>68.284299552723922</v>
      </c>
      <c r="P804" s="310">
        <f t="shared" ca="1" si="366"/>
        <v>22</v>
      </c>
      <c r="Q804" s="304">
        <f t="shared" ca="1" si="367"/>
        <v>0</v>
      </c>
      <c r="R804" s="306">
        <f t="shared" ca="1" si="368"/>
        <v>0</v>
      </c>
      <c r="S804" s="307">
        <f t="shared" ca="1" si="369"/>
        <v>11.416040186296438</v>
      </c>
      <c r="T804" s="304">
        <f t="shared" ca="1" si="349"/>
        <v>111.99135422756807</v>
      </c>
      <c r="U804" s="311">
        <f t="shared" ca="1" si="350"/>
        <v>0</v>
      </c>
      <c r="V804" s="306">
        <f t="shared" ca="1" si="351"/>
        <v>0.96745184904181214</v>
      </c>
      <c r="W804" s="304">
        <f t="shared" ca="1" si="352"/>
        <v>869.29646387514651</v>
      </c>
      <c r="Y804" s="314" t="str">
        <f t="shared" ca="1" si="370"/>
        <v/>
      </c>
      <c r="Z804" s="315" t="str">
        <f t="shared" ca="1" si="371"/>
        <v/>
      </c>
      <c r="AA804" s="316" t="str">
        <f t="shared" ca="1" si="372"/>
        <v/>
      </c>
      <c r="AC804" s="310">
        <f t="shared" ca="1" si="373"/>
        <v>7.9999999999998739</v>
      </c>
      <c r="AD804" s="323">
        <f t="shared" ca="1" si="374"/>
        <v>870.45707521672864</v>
      </c>
      <c r="AE804" s="324">
        <f t="shared" ca="1" si="353"/>
        <v>2349.4075919682928</v>
      </c>
      <c r="AG804" s="306">
        <f t="shared" ca="1" si="375"/>
        <v>-85.617443421064095</v>
      </c>
      <c r="AH804" s="304">
        <f t="shared" ca="1" si="376"/>
        <v>-76.503316592483316</v>
      </c>
    </row>
    <row r="805" spans="1:34" x14ac:dyDescent="0.2">
      <c r="A805" s="347">
        <f t="shared" ca="1" si="354"/>
        <v>0.1</v>
      </c>
      <c r="B805" s="304">
        <f t="shared" ca="1" si="355"/>
        <v>8.0999999999998735</v>
      </c>
      <c r="D805" s="306">
        <f t="shared" ca="1" si="356"/>
        <v>-28.174468433050791</v>
      </c>
      <c r="E805" s="307">
        <f t="shared" ca="1" si="357"/>
        <v>-80.552879192119036</v>
      </c>
      <c r="F805" s="304">
        <f t="shared" ca="1" si="358"/>
        <v>85.337957660264522</v>
      </c>
      <c r="G805" s="306">
        <f t="shared" ca="1" si="359"/>
        <v>144.58653702397118</v>
      </c>
      <c r="H805" s="307">
        <f t="shared" ca="1" si="360"/>
        <v>362.0593159441641</v>
      </c>
      <c r="I805" s="304">
        <f t="shared" ca="1" si="361"/>
        <v>389.86178954924554</v>
      </c>
      <c r="J805" s="306">
        <f t="shared" ca="1" si="362"/>
        <v>885.05660126129101</v>
      </c>
      <c r="K805" s="307">
        <f t="shared" ca="1" si="363"/>
        <v>2386.0162879586696</v>
      </c>
      <c r="L805" s="304">
        <f t="shared" ca="1" si="348"/>
        <v>2544.876993852602</v>
      </c>
      <c r="M805" s="306">
        <f t="shared" ca="1" si="364"/>
        <v>1.1908548288367518</v>
      </c>
      <c r="N805" s="304">
        <f t="shared" ca="1" si="365"/>
        <v>68.230955705119911</v>
      </c>
      <c r="P805" s="310">
        <f t="shared" ca="1" si="366"/>
        <v>23</v>
      </c>
      <c r="Q805" s="304">
        <f t="shared" ca="1" si="367"/>
        <v>0</v>
      </c>
      <c r="R805" s="306">
        <f t="shared" ca="1" si="368"/>
        <v>0</v>
      </c>
      <c r="S805" s="307">
        <f t="shared" ca="1" si="369"/>
        <v>11.416040186296438</v>
      </c>
      <c r="T805" s="304">
        <f t="shared" ca="1" si="349"/>
        <v>111.99135422756807</v>
      </c>
      <c r="U805" s="311">
        <f t="shared" ca="1" si="350"/>
        <v>0</v>
      </c>
      <c r="V805" s="306">
        <f t="shared" ca="1" si="351"/>
        <v>0.96386644991663217</v>
      </c>
      <c r="W805" s="304">
        <f t="shared" ca="1" si="352"/>
        <v>829.40172209102161</v>
      </c>
      <c r="Y805" s="314" t="str">
        <f t="shared" ca="1" si="370"/>
        <v/>
      </c>
      <c r="Z805" s="315" t="str">
        <f t="shared" ca="1" si="371"/>
        <v/>
      </c>
      <c r="AA805" s="316" t="str">
        <f t="shared" ca="1" si="372"/>
        <v/>
      </c>
      <c r="AC805" s="310" t="e">
        <f t="shared" ca="1" si="373"/>
        <v>#N/A</v>
      </c>
      <c r="AD805" s="323" t="e">
        <f t="shared" ca="1" si="374"/>
        <v>#N/A</v>
      </c>
      <c r="AE805" s="324">
        <f t="shared" ca="1" si="353"/>
        <v>2386.0162879586696</v>
      </c>
      <c r="AG805" s="306">
        <f t="shared" ca="1" si="375"/>
        <v>-85.260730700033236</v>
      </c>
      <c r="AH805" s="304">
        <f t="shared" ca="1" si="376"/>
        <v>-76.146934461445809</v>
      </c>
    </row>
    <row r="806" spans="1:34" x14ac:dyDescent="0.2">
      <c r="A806" s="347">
        <f t="shared" ca="1" si="354"/>
        <v>0.1</v>
      </c>
      <c r="B806" s="304">
        <f t="shared" ca="1" si="355"/>
        <v>8.1999999999998732</v>
      </c>
      <c r="D806" s="306">
        <f t="shared" ca="1" si="356"/>
        <v>-26.944282795292498</v>
      </c>
      <c r="E806" s="307">
        <f t="shared" ca="1" si="357"/>
        <v>-77.281209963707383</v>
      </c>
      <c r="F806" s="304">
        <f t="shared" ca="1" si="358"/>
        <v>81.843630105264268</v>
      </c>
      <c r="G806" s="306">
        <f t="shared" ca="1" si="359"/>
        <v>141.89210874444191</v>
      </c>
      <c r="H806" s="307">
        <f t="shared" ca="1" si="360"/>
        <v>354.33119494779334</v>
      </c>
      <c r="I806" s="304">
        <f t="shared" ca="1" si="361"/>
        <v>381.68569037504625</v>
      </c>
      <c r="J806" s="306">
        <f t="shared" ca="1" si="362"/>
        <v>899.38053354971169</v>
      </c>
      <c r="K806" s="307">
        <f t="shared" ca="1" si="363"/>
        <v>2421.8358135032677</v>
      </c>
      <c r="L806" s="304">
        <f t="shared" ca="1" si="348"/>
        <v>2583.4422872778091</v>
      </c>
      <c r="M806" s="306">
        <f t="shared" ca="1" si="364"/>
        <v>1.1899016368580944</v>
      </c>
      <c r="N806" s="304">
        <f t="shared" ca="1" si="365"/>
        <v>68.17634182767712</v>
      </c>
      <c r="P806" s="310">
        <f t="shared" ca="1" si="366"/>
        <v>23</v>
      </c>
      <c r="Q806" s="304">
        <f t="shared" ca="1" si="367"/>
        <v>0</v>
      </c>
      <c r="R806" s="306">
        <f t="shared" ca="1" si="368"/>
        <v>0</v>
      </c>
      <c r="S806" s="307">
        <f t="shared" ca="1" si="369"/>
        <v>11.416040186296438</v>
      </c>
      <c r="T806" s="304">
        <f t="shared" ca="1" si="349"/>
        <v>111.99135422756807</v>
      </c>
      <c r="U806" s="311">
        <f t="shared" ca="1" si="350"/>
        <v>0</v>
      </c>
      <c r="V806" s="306">
        <f t="shared" ca="1" si="351"/>
        <v>0.96036967300823639</v>
      </c>
      <c r="W806" s="304">
        <f t="shared" ca="1" si="352"/>
        <v>792.09435637182139</v>
      </c>
      <c r="Y806" s="314" t="str">
        <f t="shared" ca="1" si="370"/>
        <v/>
      </c>
      <c r="Z806" s="315" t="str">
        <f t="shared" ca="1" si="371"/>
        <v/>
      </c>
      <c r="AA806" s="316" t="str">
        <f t="shared" ca="1" si="372"/>
        <v/>
      </c>
      <c r="AC806" s="310" t="e">
        <f t="shared" ca="1" si="373"/>
        <v>#N/A</v>
      </c>
      <c r="AD806" s="323" t="e">
        <f t="shared" ca="1" si="374"/>
        <v>#N/A</v>
      </c>
      <c r="AE806" s="324">
        <f t="shared" ca="1" si="353"/>
        <v>2421.8358135032677</v>
      </c>
      <c r="AG806" s="306">
        <f t="shared" ca="1" si="375"/>
        <v>-81.762725692143448</v>
      </c>
      <c r="AH806" s="304">
        <f t="shared" ca="1" si="376"/>
        <v>-72.652312759604428</v>
      </c>
    </row>
    <row r="807" spans="1:34" x14ac:dyDescent="0.2">
      <c r="A807" s="347">
        <f t="shared" ca="1" si="354"/>
        <v>0.1</v>
      </c>
      <c r="B807" s="304">
        <f t="shared" ca="1" si="355"/>
        <v>8.2999999999998728</v>
      </c>
      <c r="D807" s="306">
        <f t="shared" ca="1" si="356"/>
        <v>-25.793708938189198</v>
      </c>
      <c r="E807" s="307">
        <f t="shared" ca="1" si="357"/>
        <v>-74.221726565182635</v>
      </c>
      <c r="F807" s="304">
        <f t="shared" ca="1" si="358"/>
        <v>78.575951251669608</v>
      </c>
      <c r="G807" s="306">
        <f t="shared" ca="1" si="359"/>
        <v>139.31273785062299</v>
      </c>
      <c r="H807" s="307">
        <f t="shared" ca="1" si="360"/>
        <v>346.90902229127505</v>
      </c>
      <c r="I807" s="304">
        <f t="shared" ca="1" si="361"/>
        <v>373.83674066967359</v>
      </c>
      <c r="J807" s="306">
        <f t="shared" ca="1" si="362"/>
        <v>913.44077587946492</v>
      </c>
      <c r="K807" s="307">
        <f t="shared" ca="1" si="363"/>
        <v>2456.8978243652209</v>
      </c>
      <c r="L807" s="304">
        <f t="shared" ca="1" si="348"/>
        <v>2621.2060144921525</v>
      </c>
      <c r="M807" s="306">
        <f t="shared" ca="1" si="364"/>
        <v>1.188926109486512</v>
      </c>
      <c r="N807" s="304">
        <f t="shared" ca="1" si="365"/>
        <v>68.120448226485962</v>
      </c>
      <c r="P807" s="310">
        <f t="shared" ca="1" si="366"/>
        <v>23</v>
      </c>
      <c r="Q807" s="304">
        <f t="shared" ca="1" si="367"/>
        <v>0</v>
      </c>
      <c r="R807" s="306">
        <f t="shared" ca="1" si="368"/>
        <v>0</v>
      </c>
      <c r="S807" s="307">
        <f t="shared" ca="1" si="369"/>
        <v>11.416040186296438</v>
      </c>
      <c r="T807" s="304">
        <f t="shared" ca="1" si="349"/>
        <v>111.99135422756807</v>
      </c>
      <c r="U807" s="311">
        <f t="shared" ca="1" si="350"/>
        <v>0</v>
      </c>
      <c r="V807" s="306">
        <f t="shared" ca="1" si="351"/>
        <v>0.95695764986008547</v>
      </c>
      <c r="W807" s="304">
        <f t="shared" ca="1" si="352"/>
        <v>757.1525805056059</v>
      </c>
      <c r="Y807" s="314" t="str">
        <f t="shared" ca="1" si="370"/>
        <v/>
      </c>
      <c r="Z807" s="315" t="str">
        <f t="shared" ca="1" si="371"/>
        <v/>
      </c>
      <c r="AA807" s="316" t="str">
        <f t="shared" ca="1" si="372"/>
        <v/>
      </c>
      <c r="AC807" s="310" t="e">
        <f t="shared" ca="1" si="373"/>
        <v>#N/A</v>
      </c>
      <c r="AD807" s="323" t="e">
        <f t="shared" ca="1" si="374"/>
        <v>#N/A</v>
      </c>
      <c r="AE807" s="324">
        <f t="shared" ca="1" si="353"/>
        <v>2456.8978243652209</v>
      </c>
      <c r="AG807" s="306">
        <f t="shared" ca="1" si="375"/>
        <v>-78.491275869084077</v>
      </c>
      <c r="AH807" s="304">
        <f t="shared" ca="1" si="376"/>
        <v>-69.384334974804474</v>
      </c>
    </row>
    <row r="808" spans="1:34" x14ac:dyDescent="0.2">
      <c r="A808" s="347">
        <f t="shared" ca="1" si="354"/>
        <v>0.1</v>
      </c>
      <c r="B808" s="304">
        <f t="shared" ca="1" si="355"/>
        <v>8.3999999999998725</v>
      </c>
      <c r="D808" s="306">
        <f t="shared" ca="1" si="356"/>
        <v>-24.715919022209704</v>
      </c>
      <c r="E808" s="307">
        <f t="shared" ca="1" si="357"/>
        <v>-71.35624074805483</v>
      </c>
      <c r="F808" s="304">
        <f t="shared" ca="1" si="358"/>
        <v>75.515493422255986</v>
      </c>
      <c r="G808" s="306">
        <f t="shared" ca="1" si="359"/>
        <v>136.84114594840202</v>
      </c>
      <c r="H808" s="307">
        <f t="shared" ca="1" si="360"/>
        <v>339.77339821646956</v>
      </c>
      <c r="I808" s="304">
        <f t="shared" ca="1" si="361"/>
        <v>366.29422785520313</v>
      </c>
      <c r="J808" s="306">
        <f t="shared" ca="1" si="362"/>
        <v>927.24847006941616</v>
      </c>
      <c r="K808" s="307">
        <f t="shared" ca="1" si="363"/>
        <v>2491.231945390608</v>
      </c>
      <c r="L808" s="304">
        <f t="shared" ca="1" si="348"/>
        <v>2658.1998290160104</v>
      </c>
      <c r="M808" s="306">
        <f t="shared" ca="1" si="364"/>
        <v>1.187928069710245</v>
      </c>
      <c r="N808" s="304">
        <f t="shared" ca="1" si="365"/>
        <v>68.063264759519683</v>
      </c>
      <c r="P808" s="310">
        <f t="shared" ca="1" si="366"/>
        <v>23</v>
      </c>
      <c r="Q808" s="304">
        <f t="shared" ca="1" si="367"/>
        <v>0</v>
      </c>
      <c r="R808" s="306">
        <f t="shared" ca="1" si="368"/>
        <v>0</v>
      </c>
      <c r="S808" s="307">
        <f t="shared" ca="1" si="369"/>
        <v>11.416040186296438</v>
      </c>
      <c r="T808" s="304">
        <f t="shared" ca="1" si="349"/>
        <v>111.99135422756807</v>
      </c>
      <c r="U808" s="311">
        <f t="shared" ca="1" si="350"/>
        <v>0</v>
      </c>
      <c r="V808" s="306">
        <f t="shared" ca="1" si="351"/>
        <v>0.95362676971068017</v>
      </c>
      <c r="W808" s="304">
        <f t="shared" ca="1" si="352"/>
        <v>724.37809520075132</v>
      </c>
      <c r="Y808" s="314" t="str">
        <f t="shared" ca="1" si="370"/>
        <v/>
      </c>
      <c r="Z808" s="315" t="str">
        <f t="shared" ca="1" si="371"/>
        <v/>
      </c>
      <c r="AA808" s="316" t="str">
        <f t="shared" ca="1" si="372"/>
        <v/>
      </c>
      <c r="AC808" s="310" t="e">
        <f t="shared" ca="1" si="373"/>
        <v>#N/A</v>
      </c>
      <c r="AD808" s="323" t="e">
        <f t="shared" ca="1" si="374"/>
        <v>#N/A</v>
      </c>
      <c r="AE808" s="324">
        <f t="shared" ca="1" si="353"/>
        <v>2491.231945390608</v>
      </c>
      <c r="AG808" s="306">
        <f t="shared" ca="1" si="375"/>
        <v>-75.42695244254331</v>
      </c>
      <c r="AH808" s="304">
        <f t="shared" ca="1" si="376"/>
        <v>-66.323573511459344</v>
      </c>
    </row>
    <row r="809" spans="1:34" x14ac:dyDescent="0.2">
      <c r="A809" s="347">
        <f t="shared" ca="1" si="354"/>
        <v>0.1</v>
      </c>
      <c r="B809" s="304">
        <f t="shared" ca="1" si="355"/>
        <v>8.4999999999998721</v>
      </c>
      <c r="D809" s="306">
        <f t="shared" ca="1" si="356"/>
        <v>-23.704808300034312</v>
      </c>
      <c r="E809" s="307">
        <f t="shared" ca="1" si="357"/>
        <v>-68.668490363779981</v>
      </c>
      <c r="F809" s="304">
        <f t="shared" ca="1" si="358"/>
        <v>72.644886298912468</v>
      </c>
      <c r="G809" s="306">
        <f t="shared" ca="1" si="359"/>
        <v>134.47066511839859</v>
      </c>
      <c r="H809" s="307">
        <f t="shared" ca="1" si="360"/>
        <v>332.90654918009159</v>
      </c>
      <c r="I809" s="304">
        <f t="shared" ca="1" si="361"/>
        <v>359.03917650359722</v>
      </c>
      <c r="J809" s="306">
        <f t="shared" ca="1" si="362"/>
        <v>940.81406062275619</v>
      </c>
      <c r="K809" s="307">
        <f t="shared" ca="1" si="363"/>
        <v>2524.8659427604362</v>
      </c>
      <c r="L809" s="304">
        <f t="shared" ca="1" si="348"/>
        <v>2694.4534001494671</v>
      </c>
      <c r="M809" s="306">
        <f t="shared" ca="1" si="364"/>
        <v>1.1869073326783166</v>
      </c>
      <c r="N809" s="304">
        <f t="shared" ca="1" si="365"/>
        <v>68.004780835597472</v>
      </c>
      <c r="P809" s="310">
        <f t="shared" ca="1" si="366"/>
        <v>23</v>
      </c>
      <c r="Q809" s="304">
        <f t="shared" ca="1" si="367"/>
        <v>0</v>
      </c>
      <c r="R809" s="306">
        <f t="shared" ca="1" si="368"/>
        <v>0</v>
      </c>
      <c r="S809" s="307">
        <f t="shared" ca="1" si="369"/>
        <v>11.416040186296438</v>
      </c>
      <c r="T809" s="304">
        <f t="shared" ca="1" si="349"/>
        <v>111.99135422756807</v>
      </c>
      <c r="U809" s="311">
        <f t="shared" ca="1" si="350"/>
        <v>0</v>
      </c>
      <c r="V809" s="306">
        <f t="shared" ca="1" si="351"/>
        <v>0.9503736570294109</v>
      </c>
      <c r="W809" s="304">
        <f t="shared" ca="1" si="352"/>
        <v>693.59314657745597</v>
      </c>
      <c r="Y809" s="314" t="str">
        <f t="shared" ca="1" si="370"/>
        <v/>
      </c>
      <c r="Z809" s="315" t="str">
        <f t="shared" ca="1" si="371"/>
        <v/>
      </c>
      <c r="AA809" s="316" t="str">
        <f t="shared" ca="1" si="372"/>
        <v/>
      </c>
      <c r="AC809" s="310" t="e">
        <f t="shared" ca="1" si="373"/>
        <v>#N/A</v>
      </c>
      <c r="AD809" s="323" t="e">
        <f t="shared" ca="1" si="374"/>
        <v>#N/A</v>
      </c>
      <c r="AE809" s="324">
        <f t="shared" ca="1" si="353"/>
        <v>2524.8659427604362</v>
      </c>
      <c r="AG809" s="306">
        <f t="shared" ca="1" si="375"/>
        <v>-72.552383937826235</v>
      </c>
      <c r="AH809" s="304">
        <f t="shared" ca="1" si="376"/>
        <v>-63.452658135373305</v>
      </c>
    </row>
    <row r="810" spans="1:34" x14ac:dyDescent="0.2">
      <c r="A810" s="347">
        <f t="shared" ca="1" si="354"/>
        <v>0.1</v>
      </c>
      <c r="B810" s="304">
        <f t="shared" ca="1" si="355"/>
        <v>8.5999999999998717</v>
      </c>
      <c r="D810" s="306">
        <f t="shared" ca="1" si="356"/>
        <v>-22.754904552609492</v>
      </c>
      <c r="E810" s="307">
        <f t="shared" ca="1" si="357"/>
        <v>-66.143898139506689</v>
      </c>
      <c r="F810" s="304">
        <f t="shared" ca="1" si="358"/>
        <v>69.948559258127716</v>
      </c>
      <c r="G810" s="306">
        <f t="shared" ca="1" si="359"/>
        <v>132.19517466313764</v>
      </c>
      <c r="H810" s="307">
        <f t="shared" ca="1" si="360"/>
        <v>326.29215936614094</v>
      </c>
      <c r="I810" s="304">
        <f t="shared" ca="1" si="361"/>
        <v>352.05416837190921</v>
      </c>
      <c r="J810" s="306">
        <f t="shared" ca="1" si="362"/>
        <v>954.14735261183296</v>
      </c>
      <c r="K810" s="307">
        <f t="shared" ca="1" si="363"/>
        <v>2557.825878187748</v>
      </c>
      <c r="L810" s="304">
        <f t="shared" ca="1" si="348"/>
        <v>2729.9945775812621</v>
      </c>
      <c r="M810" s="306">
        <f t="shared" ca="1" si="364"/>
        <v>1.1858637056712775</v>
      </c>
      <c r="N810" s="304">
        <f t="shared" ca="1" si="365"/>
        <v>67.944985412708263</v>
      </c>
      <c r="P810" s="310">
        <f t="shared" ca="1" si="366"/>
        <v>23</v>
      </c>
      <c r="Q810" s="304">
        <f t="shared" ca="1" si="367"/>
        <v>0</v>
      </c>
      <c r="R810" s="306">
        <f t="shared" ca="1" si="368"/>
        <v>0</v>
      </c>
      <c r="S810" s="307">
        <f t="shared" ca="1" si="369"/>
        <v>11.416040186296438</v>
      </c>
      <c r="T810" s="304">
        <f t="shared" ca="1" si="349"/>
        <v>111.99135422756807</v>
      </c>
      <c r="U810" s="311">
        <f t="shared" ca="1" si="350"/>
        <v>0</v>
      </c>
      <c r="V810" s="306">
        <f t="shared" ca="1" si="351"/>
        <v>0.94719515145652711</v>
      </c>
      <c r="W810" s="304">
        <f t="shared" ca="1" si="352"/>
        <v>664.63800769176203</v>
      </c>
      <c r="Y810" s="314" t="str">
        <f t="shared" ca="1" si="370"/>
        <v/>
      </c>
      <c r="Z810" s="315" t="str">
        <f t="shared" ca="1" si="371"/>
        <v/>
      </c>
      <c r="AA810" s="316" t="str">
        <f t="shared" ca="1" si="372"/>
        <v/>
      </c>
      <c r="AC810" s="310" t="e">
        <f t="shared" ca="1" si="373"/>
        <v>#N/A</v>
      </c>
      <c r="AD810" s="323" t="e">
        <f t="shared" ca="1" si="374"/>
        <v>#N/A</v>
      </c>
      <c r="AE810" s="324">
        <f t="shared" ca="1" si="353"/>
        <v>2557.825878187748</v>
      </c>
      <c r="AG810" s="306">
        <f t="shared" ca="1" si="375"/>
        <v>-69.851998528596368</v>
      </c>
      <c r="AH810" s="304">
        <f t="shared" ca="1" si="376"/>
        <v>-60.75601830922335</v>
      </c>
    </row>
    <row r="811" spans="1:34" x14ac:dyDescent="0.2">
      <c r="A811" s="347">
        <f t="shared" ca="1" si="354"/>
        <v>0.1</v>
      </c>
      <c r="B811" s="304">
        <f t="shared" ca="1" si="355"/>
        <v>8.6999999999998714</v>
      </c>
      <c r="D811" s="306">
        <f t="shared" ca="1" si="356"/>
        <v>-21.861290550017593</v>
      </c>
      <c r="E811" s="307">
        <f t="shared" ca="1" si="357"/>
        <v>-63.7693651453068</v>
      </c>
      <c r="F811" s="304">
        <f t="shared" ca="1" si="358"/>
        <v>67.412520762450043</v>
      </c>
      <c r="G811" s="306">
        <f t="shared" ca="1" si="359"/>
        <v>130.00904560813586</v>
      </c>
      <c r="H811" s="307">
        <f t="shared" ca="1" si="360"/>
        <v>319.91522285161028</v>
      </c>
      <c r="I811" s="304">
        <f t="shared" ca="1" si="361"/>
        <v>345.3231844984258</v>
      </c>
      <c r="J811" s="306">
        <f t="shared" ca="1" si="362"/>
        <v>967.25756362539664</v>
      </c>
      <c r="K811" s="307">
        <f t="shared" ca="1" si="363"/>
        <v>2590.1362472986357</v>
      </c>
      <c r="L811" s="304">
        <f t="shared" ca="1" si="348"/>
        <v>2764.8495391179604</v>
      </c>
      <c r="M811" s="306">
        <f t="shared" ca="1" si="364"/>
        <v>1.1847969880613485</v>
      </c>
      <c r="N811" s="304">
        <f t="shared" ca="1" si="365"/>
        <v>67.883866995727047</v>
      </c>
      <c r="P811" s="310">
        <f t="shared" ca="1" si="366"/>
        <v>23</v>
      </c>
      <c r="Q811" s="304">
        <f t="shared" ca="1" si="367"/>
        <v>0</v>
      </c>
      <c r="R811" s="306">
        <f t="shared" ca="1" si="368"/>
        <v>0</v>
      </c>
      <c r="S811" s="307">
        <f t="shared" ca="1" si="369"/>
        <v>11.416040186296438</v>
      </c>
      <c r="T811" s="304">
        <f t="shared" ca="1" si="349"/>
        <v>111.99135422756807</v>
      </c>
      <c r="U811" s="311">
        <f t="shared" ca="1" si="350"/>
        <v>0</v>
      </c>
      <c r="V811" s="306">
        <f t="shared" ca="1" si="351"/>
        <v>0.94408828984417903</v>
      </c>
      <c r="W811" s="304">
        <f t="shared" ca="1" si="352"/>
        <v>637.36881470580067</v>
      </c>
      <c r="Y811" s="314" t="str">
        <f t="shared" ca="1" si="370"/>
        <v/>
      </c>
      <c r="Z811" s="315" t="str">
        <f t="shared" ca="1" si="371"/>
        <v/>
      </c>
      <c r="AA811" s="316" t="str">
        <f t="shared" ca="1" si="372"/>
        <v/>
      </c>
      <c r="AC811" s="310" t="e">
        <f t="shared" ca="1" si="373"/>
        <v>#N/A</v>
      </c>
      <c r="AD811" s="323" t="e">
        <f t="shared" ca="1" si="374"/>
        <v>#N/A</v>
      </c>
      <c r="AE811" s="324">
        <f t="shared" ca="1" si="353"/>
        <v>2590.1362472986357</v>
      </c>
      <c r="AG811" s="306">
        <f t="shared" ca="1" si="375"/>
        <v>-67.311803427526456</v>
      </c>
      <c r="AH811" s="304">
        <f t="shared" ca="1" si="376"/>
        <v>-58.219662584017421</v>
      </c>
    </row>
    <row r="812" spans="1:34" x14ac:dyDescent="0.2">
      <c r="A812" s="347">
        <f t="shared" ca="1" si="354"/>
        <v>0.1</v>
      </c>
      <c r="B812" s="304">
        <f t="shared" ca="1" si="355"/>
        <v>8.799999999999871</v>
      </c>
      <c r="D812" s="306">
        <f t="shared" ca="1" si="356"/>
        <v>-21.019537431558543</v>
      </c>
      <c r="E812" s="307">
        <f t="shared" ca="1" si="357"/>
        <v>-61.533093344775708</v>
      </c>
      <c r="F812" s="304">
        <f t="shared" ca="1" si="358"/>
        <v>65.024168817552535</v>
      </c>
      <c r="G812" s="306">
        <f t="shared" ca="1" si="359"/>
        <v>127.90709186498</v>
      </c>
      <c r="H812" s="307">
        <f t="shared" ca="1" si="360"/>
        <v>313.76191351713271</v>
      </c>
      <c r="I812" s="304">
        <f t="shared" ca="1" si="361"/>
        <v>338.83146625319364</v>
      </c>
      <c r="J812" s="306">
        <f t="shared" ca="1" si="362"/>
        <v>980.15337049905247</v>
      </c>
      <c r="K812" s="307">
        <f t="shared" ca="1" si="363"/>
        <v>2621.8201041170728</v>
      </c>
      <c r="L812" s="304">
        <f t="shared" ca="1" si="348"/>
        <v>2799.0429235817573</v>
      </c>
      <c r="M812" s="306">
        <f t="shared" ca="1" si="364"/>
        <v>1.1837069712624479</v>
      </c>
      <c r="N812" s="304">
        <f t="shared" ca="1" si="365"/>
        <v>67.821413633551686</v>
      </c>
      <c r="P812" s="310">
        <f t="shared" ca="1" si="366"/>
        <v>23</v>
      </c>
      <c r="Q812" s="304">
        <f t="shared" ca="1" si="367"/>
        <v>0</v>
      </c>
      <c r="R812" s="306">
        <f t="shared" ca="1" si="368"/>
        <v>0</v>
      </c>
      <c r="S812" s="307">
        <f t="shared" ca="1" si="369"/>
        <v>11.416040186296438</v>
      </c>
      <c r="T812" s="304">
        <f t="shared" ca="1" si="349"/>
        <v>111.99135422756807</v>
      </c>
      <c r="U812" s="311">
        <f t="shared" ca="1" si="350"/>
        <v>0</v>
      </c>
      <c r="V812" s="306">
        <f t="shared" ca="1" si="351"/>
        <v>0.94105029013921893</v>
      </c>
      <c r="W812" s="304">
        <f t="shared" ca="1" si="352"/>
        <v>611.6557015458161</v>
      </c>
      <c r="Y812" s="314" t="str">
        <f t="shared" ca="1" si="370"/>
        <v/>
      </c>
      <c r="Z812" s="315" t="str">
        <f t="shared" ca="1" si="371"/>
        <v/>
      </c>
      <c r="AA812" s="316" t="str">
        <f t="shared" ca="1" si="372"/>
        <v/>
      </c>
      <c r="AC812" s="310" t="e">
        <f t="shared" ca="1" si="373"/>
        <v>#N/A</v>
      </c>
      <c r="AD812" s="323" t="e">
        <f t="shared" ca="1" si="374"/>
        <v>#N/A</v>
      </c>
      <c r="AE812" s="324">
        <f t="shared" ca="1" si="353"/>
        <v>2621.8201041170728</v>
      </c>
      <c r="AG812" s="306">
        <f t="shared" ca="1" si="375"/>
        <v>-64.919195342490738</v>
      </c>
      <c r="AH812" s="304">
        <f t="shared" ca="1" si="376"/>
        <v>-55.830989056160128</v>
      </c>
    </row>
    <row r="813" spans="1:34" x14ac:dyDescent="0.2">
      <c r="A813" s="347">
        <f t="shared" ca="1" si="354"/>
        <v>0.1</v>
      </c>
      <c r="B813" s="304">
        <f t="shared" ca="1" si="355"/>
        <v>8.8999999999998707</v>
      </c>
      <c r="D813" s="306">
        <f t="shared" ca="1" si="356"/>
        <v>-20.225647275940613</v>
      </c>
      <c r="E813" s="307">
        <f t="shared" ca="1" si="357"/>
        <v>-59.424432623647235</v>
      </c>
      <c r="F813" s="304">
        <f t="shared" ca="1" si="358"/>
        <v>62.772127575645811</v>
      </c>
      <c r="G813" s="306">
        <f t="shared" ca="1" si="359"/>
        <v>125.88452713738594</v>
      </c>
      <c r="H813" s="307">
        <f t="shared" ca="1" si="360"/>
        <v>307.81947025476796</v>
      </c>
      <c r="I813" s="304">
        <f t="shared" ca="1" si="361"/>
        <v>332.56539272830122</v>
      </c>
      <c r="J813" s="306">
        <f t="shared" ca="1" si="362"/>
        <v>992.84295144917076</v>
      </c>
      <c r="K813" s="307">
        <f t="shared" ca="1" si="363"/>
        <v>2652.8991733056678</v>
      </c>
      <c r="L813" s="304">
        <f t="shared" ca="1" si="348"/>
        <v>2832.5979506396943</v>
      </c>
      <c r="M813" s="306">
        <f t="shared" ca="1" si="364"/>
        <v>1.1825934386705077</v>
      </c>
      <c r="N813" s="304">
        <f t="shared" ca="1" si="365"/>
        <v>67.757612915683254</v>
      </c>
      <c r="P813" s="310">
        <f t="shared" ca="1" si="366"/>
        <v>23</v>
      </c>
      <c r="Q813" s="304">
        <f t="shared" ca="1" si="367"/>
        <v>0</v>
      </c>
      <c r="R813" s="306">
        <f t="shared" ca="1" si="368"/>
        <v>0</v>
      </c>
      <c r="S813" s="307">
        <f t="shared" ca="1" si="369"/>
        <v>11.416040186296438</v>
      </c>
      <c r="T813" s="304">
        <f t="shared" ca="1" si="349"/>
        <v>111.99135422756807</v>
      </c>
      <c r="U813" s="311">
        <f t="shared" ca="1" si="350"/>
        <v>0</v>
      </c>
      <c r="V813" s="306">
        <f t="shared" ca="1" si="351"/>
        <v>0.93807853688511256</v>
      </c>
      <c r="W813" s="304">
        <f t="shared" ca="1" si="352"/>
        <v>587.3811867293324</v>
      </c>
      <c r="Y813" s="314" t="str">
        <f t="shared" ca="1" si="370"/>
        <v/>
      </c>
      <c r="Z813" s="315" t="str">
        <f t="shared" ca="1" si="371"/>
        <v/>
      </c>
      <c r="AA813" s="316" t="str">
        <f t="shared" ca="1" si="372"/>
        <v/>
      </c>
      <c r="AC813" s="310" t="e">
        <f t="shared" ca="1" si="373"/>
        <v>#N/A</v>
      </c>
      <c r="AD813" s="323" t="e">
        <f t="shared" ca="1" si="374"/>
        <v>#N/A</v>
      </c>
      <c r="AE813" s="324">
        <f t="shared" ca="1" si="353"/>
        <v>2652.8991733056678</v>
      </c>
      <c r="AG813" s="306">
        <f t="shared" ca="1" si="375"/>
        <v>-62.662797079041297</v>
      </c>
      <c r="AH813" s="304">
        <f t="shared" ca="1" si="376"/>
        <v>-53.578621970868149</v>
      </c>
    </row>
    <row r="814" spans="1:34" x14ac:dyDescent="0.2">
      <c r="A814" s="347">
        <f t="shared" ca="1" si="354"/>
        <v>0.1</v>
      </c>
      <c r="B814" s="304">
        <f t="shared" ca="1" si="355"/>
        <v>8.9999999999998703</v>
      </c>
      <c r="D814" s="306">
        <f t="shared" ca="1" si="356"/>
        <v>-19.476003435448213</v>
      </c>
      <c r="E814" s="307">
        <f t="shared" ca="1" si="357"/>
        <v>-57.433748497993527</v>
      </c>
      <c r="F814" s="304">
        <f t="shared" ca="1" si="358"/>
        <v>60.646106027908864</v>
      </c>
      <c r="G814" s="306">
        <f t="shared" ca="1" si="359"/>
        <v>123.93692679384112</v>
      </c>
      <c r="H814" s="307">
        <f t="shared" ca="1" si="360"/>
        <v>302.07609540496861</v>
      </c>
      <c r="I814" s="304">
        <f t="shared" ca="1" si="361"/>
        <v>326.51237225902116</v>
      </c>
      <c r="J814" s="306">
        <f t="shared" ca="1" si="362"/>
        <v>1005.3340241457321</v>
      </c>
      <c r="K814" s="307">
        <f t="shared" ca="1" si="363"/>
        <v>2683.3939515886545</v>
      </c>
      <c r="L814" s="304">
        <f t="shared" ca="1" si="348"/>
        <v>2865.5365290862419</v>
      </c>
      <c r="M814" s="306">
        <f t="shared" ca="1" si="364"/>
        <v>1.1814561655944338</v>
      </c>
      <c r="N814" s="304">
        <f t="shared" ca="1" si="365"/>
        <v>67.692451968270362</v>
      </c>
      <c r="P814" s="310">
        <f t="shared" ca="1" si="366"/>
        <v>23</v>
      </c>
      <c r="Q814" s="304">
        <f t="shared" ca="1" si="367"/>
        <v>0</v>
      </c>
      <c r="R814" s="306">
        <f t="shared" ca="1" si="368"/>
        <v>0</v>
      </c>
      <c r="S814" s="307">
        <f t="shared" ca="1" si="369"/>
        <v>11.416040186296438</v>
      </c>
      <c r="T814" s="304">
        <f t="shared" ca="1" si="349"/>
        <v>111.99135422756807</v>
      </c>
      <c r="U814" s="311">
        <f t="shared" ca="1" si="350"/>
        <v>0</v>
      </c>
      <c r="V814" s="306">
        <f t="shared" ca="1" si="351"/>
        <v>0.93517056815116661</v>
      </c>
      <c r="W814" s="304">
        <f t="shared" ca="1" si="352"/>
        <v>564.43877399886469</v>
      </c>
      <c r="Y814" s="314" t="str">
        <f t="shared" ca="1" si="370"/>
        <v/>
      </c>
      <c r="Z814" s="315" t="str">
        <f t="shared" ca="1" si="371"/>
        <v/>
      </c>
      <c r="AA814" s="316" t="str">
        <f t="shared" ca="1" si="372"/>
        <v/>
      </c>
      <c r="AC814" s="310">
        <f t="shared" ca="1" si="373"/>
        <v>8.9999999999998703</v>
      </c>
      <c r="AD814" s="323">
        <f t="shared" ca="1" si="374"/>
        <v>1005.3340241457321</v>
      </c>
      <c r="AE814" s="324">
        <f t="shared" ca="1" si="353"/>
        <v>2683.3939515886545</v>
      </c>
      <c r="AG814" s="306">
        <f t="shared" ca="1" si="375"/>
        <v>-60.532316231839552</v>
      </c>
      <c r="AH814" s="304">
        <f t="shared" ca="1" si="376"/>
        <v>-51.452270414605913</v>
      </c>
    </row>
    <row r="815" spans="1:34" x14ac:dyDescent="0.2">
      <c r="A815" s="347">
        <f t="shared" ca="1" si="354"/>
        <v>0.1</v>
      </c>
      <c r="B815" s="304">
        <f t="shared" ca="1" si="355"/>
        <v>9.09999999999987</v>
      </c>
      <c r="D815" s="306">
        <f t="shared" ca="1" si="356"/>
        <v>-18.767327452922029</v>
      </c>
      <c r="E815" s="307">
        <f t="shared" ca="1" si="357"/>
        <v>-55.552307356025899</v>
      </c>
      <c r="F815" s="304">
        <f t="shared" ca="1" si="358"/>
        <v>58.636775425525997</v>
      </c>
      <c r="G815" s="306">
        <f t="shared" ca="1" si="359"/>
        <v>122.06019404854892</v>
      </c>
      <c r="H815" s="307">
        <f t="shared" ca="1" si="360"/>
        <v>296.52086466936601</v>
      </c>
      <c r="I815" s="304">
        <f t="shared" ca="1" si="361"/>
        <v>320.66074620295808</v>
      </c>
      <c r="J815" s="306">
        <f t="shared" ca="1" si="362"/>
        <v>1017.6338801878516</v>
      </c>
      <c r="K815" s="307">
        <f t="shared" ca="1" si="363"/>
        <v>2713.3237995923714</v>
      </c>
      <c r="L815" s="304">
        <f t="shared" ca="1" si="348"/>
        <v>2897.879354897399</v>
      </c>
      <c r="M815" s="306">
        <f t="shared" ca="1" si="364"/>
        <v>1.1802949191780001</v>
      </c>
      <c r="N815" s="304">
        <f t="shared" ca="1" si="365"/>
        <v>67.625917449634017</v>
      </c>
      <c r="P815" s="310">
        <f t="shared" ca="1" si="366"/>
        <v>23</v>
      </c>
      <c r="Q815" s="304">
        <f t="shared" ca="1" si="367"/>
        <v>0</v>
      </c>
      <c r="R815" s="306">
        <f t="shared" ca="1" si="368"/>
        <v>0</v>
      </c>
      <c r="S815" s="307">
        <f t="shared" ca="1" si="369"/>
        <v>11.416040186296438</v>
      </c>
      <c r="T815" s="304">
        <f t="shared" ca="1" si="349"/>
        <v>111.99135422756807</v>
      </c>
      <c r="U815" s="311">
        <f t="shared" ca="1" si="350"/>
        <v>0</v>
      </c>
      <c r="V815" s="306">
        <f t="shared" ca="1" si="351"/>
        <v>0.93232406372331078</v>
      </c>
      <c r="W815" s="304">
        <f t="shared" ca="1" si="352"/>
        <v>542.7317348618858</v>
      </c>
      <c r="Y815" s="314" t="str">
        <f t="shared" ca="1" si="370"/>
        <v/>
      </c>
      <c r="Z815" s="315" t="str">
        <f t="shared" ca="1" si="371"/>
        <v/>
      </c>
      <c r="AA815" s="316" t="str">
        <f t="shared" ca="1" si="372"/>
        <v/>
      </c>
      <c r="AC815" s="310" t="e">
        <f t="shared" ca="1" si="373"/>
        <v>#N/A</v>
      </c>
      <c r="AD815" s="323" t="e">
        <f t="shared" ca="1" si="374"/>
        <v>#N/A</v>
      </c>
      <c r="AE815" s="324">
        <f t="shared" ca="1" si="353"/>
        <v>2713.3237995923714</v>
      </c>
      <c r="AG815" s="306">
        <f t="shared" ca="1" si="375"/>
        <v>-58.51842260463058</v>
      </c>
      <c r="AH815" s="304">
        <f t="shared" ca="1" si="376"/>
        <v>-49.442605736129458</v>
      </c>
    </row>
    <row r="816" spans="1:34" x14ac:dyDescent="0.2">
      <c r="A816" s="347">
        <f t="shared" ca="1" si="354"/>
        <v>0.1</v>
      </c>
      <c r="B816" s="304">
        <f t="shared" ca="1" si="355"/>
        <v>9.1999999999998696</v>
      </c>
      <c r="D816" s="306">
        <f t="shared" ca="1" si="356"/>
        <v>-18.096641579362185</v>
      </c>
      <c r="E816" s="307">
        <f t="shared" ca="1" si="357"/>
        <v>-53.772176617462705</v>
      </c>
      <c r="F816" s="304">
        <f t="shared" ca="1" si="358"/>
        <v>56.735662634990902</v>
      </c>
      <c r="G816" s="306">
        <f t="shared" ca="1" si="359"/>
        <v>120.25052989061271</v>
      </c>
      <c r="H816" s="307">
        <f t="shared" ca="1" si="360"/>
        <v>291.14364700761973</v>
      </c>
      <c r="I816" s="304">
        <f t="shared" ca="1" si="361"/>
        <v>314.99970338378199</v>
      </c>
      <c r="J816" s="306">
        <f t="shared" ca="1" si="362"/>
        <v>1029.7494163848096</v>
      </c>
      <c r="K816" s="307">
        <f t="shared" ca="1" si="363"/>
        <v>2742.7070251762207</v>
      </c>
      <c r="L816" s="304">
        <f t="shared" ca="1" si="348"/>
        <v>2929.6460002013637</v>
      </c>
      <c r="M816" s="306">
        <f t="shared" ca="1" si="364"/>
        <v>1.1791094583129287</v>
      </c>
      <c r="N816" s="304">
        <f t="shared" ca="1" si="365"/>
        <v>67.557995545287497</v>
      </c>
      <c r="P816" s="310">
        <f t="shared" ca="1" si="366"/>
        <v>23</v>
      </c>
      <c r="Q816" s="304">
        <f t="shared" ca="1" si="367"/>
        <v>0</v>
      </c>
      <c r="R816" s="306">
        <f t="shared" ca="1" si="368"/>
        <v>0</v>
      </c>
      <c r="S816" s="307">
        <f t="shared" ca="1" si="369"/>
        <v>11.416040186296438</v>
      </c>
      <c r="T816" s="304">
        <f t="shared" ca="1" si="349"/>
        <v>111.99135422756807</v>
      </c>
      <c r="U816" s="311">
        <f t="shared" ca="1" si="350"/>
        <v>0</v>
      </c>
      <c r="V816" s="306">
        <f t="shared" ca="1" si="351"/>
        <v>0.92953683441275969</v>
      </c>
      <c r="W816" s="304">
        <f t="shared" ca="1" si="352"/>
        <v>522.17204640882233</v>
      </c>
      <c r="Y816" s="314" t="str">
        <f t="shared" ca="1" si="370"/>
        <v/>
      </c>
      <c r="Z816" s="315" t="str">
        <f t="shared" ca="1" si="371"/>
        <v/>
      </c>
      <c r="AA816" s="316" t="str">
        <f t="shared" ca="1" si="372"/>
        <v/>
      </c>
      <c r="AC816" s="310" t="e">
        <f t="shared" ca="1" si="373"/>
        <v>#N/A</v>
      </c>
      <c r="AD816" s="323" t="e">
        <f t="shared" ca="1" si="374"/>
        <v>#N/A</v>
      </c>
      <c r="AE816" s="324">
        <f t="shared" ca="1" si="353"/>
        <v>2742.7070251762207</v>
      </c>
      <c r="AG816" s="306">
        <f t="shared" ca="1" si="375"/>
        <v>-56.612641564421168</v>
      </c>
      <c r="AH816" s="304">
        <f t="shared" ca="1" si="376"/>
        <v>-47.541154901799395</v>
      </c>
    </row>
    <row r="817" spans="1:34" x14ac:dyDescent="0.2">
      <c r="A817" s="347">
        <f t="shared" ca="1" si="354"/>
        <v>0.1</v>
      </c>
      <c r="B817" s="304">
        <f t="shared" ca="1" si="355"/>
        <v>9.2999999999998693</v>
      </c>
      <c r="D817" s="306">
        <f t="shared" ca="1" si="356"/>
        <v>-17.461236072291342</v>
      </c>
      <c r="E817" s="307">
        <f t="shared" ca="1" si="357"/>
        <v>-52.086137626772874</v>
      </c>
      <c r="F817" s="304">
        <f t="shared" ca="1" si="358"/>
        <v>54.935057095150206</v>
      </c>
      <c r="G817" s="306">
        <f t="shared" ca="1" si="359"/>
        <v>118.50440628338357</v>
      </c>
      <c r="H817" s="307">
        <f t="shared" ca="1" si="360"/>
        <v>285.93503324494247</v>
      </c>
      <c r="I817" s="304">
        <f t="shared" ca="1" si="361"/>
        <v>309.51920383937988</v>
      </c>
      <c r="J817" s="306">
        <f t="shared" ca="1" si="362"/>
        <v>1041.6871631935094</v>
      </c>
      <c r="K817" s="307">
        <f t="shared" ca="1" si="363"/>
        <v>2771.5609591888488</v>
      </c>
      <c r="L817" s="304">
        <f t="shared" ca="1" si="348"/>
        <v>2960.8549941633332</v>
      </c>
      <c r="M817" s="306">
        <f t="shared" ca="1" si="364"/>
        <v>1.1778995335433544</v>
      </c>
      <c r="N817" s="304">
        <f t="shared" ca="1" si="365"/>
        <v>67.488671962462547</v>
      </c>
      <c r="P817" s="310">
        <f t="shared" ca="1" si="366"/>
        <v>23</v>
      </c>
      <c r="Q817" s="304">
        <f t="shared" ca="1" si="367"/>
        <v>0</v>
      </c>
      <c r="R817" s="306">
        <f t="shared" ca="1" si="368"/>
        <v>0</v>
      </c>
      <c r="S817" s="307">
        <f t="shared" ca="1" si="369"/>
        <v>11.416040186296438</v>
      </c>
      <c r="T817" s="304">
        <f t="shared" ca="1" si="349"/>
        <v>111.99135422756807</v>
      </c>
      <c r="U817" s="311">
        <f t="shared" ca="1" si="350"/>
        <v>0</v>
      </c>
      <c r="V817" s="306">
        <f t="shared" ca="1" si="351"/>
        <v>0.92680681235764706</v>
      </c>
      <c r="W817" s="304">
        <f t="shared" ca="1" si="352"/>
        <v>502.67946209991959</v>
      </c>
      <c r="Y817" s="314" t="str">
        <f t="shared" ca="1" si="370"/>
        <v/>
      </c>
      <c r="Z817" s="315" t="str">
        <f t="shared" ca="1" si="371"/>
        <v/>
      </c>
      <c r="AA817" s="316" t="str">
        <f t="shared" ca="1" si="372"/>
        <v/>
      </c>
      <c r="AC817" s="310" t="e">
        <f t="shared" ca="1" si="373"/>
        <v>#N/A</v>
      </c>
      <c r="AD817" s="323" t="e">
        <f t="shared" ca="1" si="374"/>
        <v>#N/A</v>
      </c>
      <c r="AE817" s="324">
        <f t="shared" ca="1" si="353"/>
        <v>2771.5609591888488</v>
      </c>
      <c r="AG817" s="306">
        <f t="shared" ca="1" si="375"/>
        <v>-54.807260997333501</v>
      </c>
      <c r="AH817" s="304">
        <f t="shared" ca="1" si="376"/>
        <v>-45.740207452635467</v>
      </c>
    </row>
    <row r="818" spans="1:34" x14ac:dyDescent="0.2">
      <c r="A818" s="347">
        <f t="shared" ca="1" si="354"/>
        <v>0.1</v>
      </c>
      <c r="B818" s="304">
        <f t="shared" ca="1" si="355"/>
        <v>9.3999999999998689</v>
      </c>
      <c r="D818" s="306">
        <f t="shared" ca="1" si="356"/>
        <v>-16.858640587998277</v>
      </c>
      <c r="E818" s="307">
        <f t="shared" ca="1" si="357"/>
        <v>-50.487609450795077</v>
      </c>
      <c r="F818" s="304">
        <f t="shared" ca="1" si="358"/>
        <v>53.227929421792417</v>
      </c>
      <c r="G818" s="306">
        <f t="shared" ca="1" si="359"/>
        <v>116.81854222458375</v>
      </c>
      <c r="H818" s="307">
        <f t="shared" ca="1" si="360"/>
        <v>280.88627229986298</v>
      </c>
      <c r="I818" s="304">
        <f t="shared" ca="1" si="361"/>
        <v>304.20991070967693</v>
      </c>
      <c r="J818" s="306">
        <f t="shared" ca="1" si="362"/>
        <v>1053.4533106189078</v>
      </c>
      <c r="K818" s="307">
        <f t="shared" ca="1" si="363"/>
        <v>2799.9020244660892</v>
      </c>
      <c r="L818" s="304">
        <f t="shared" ca="1" si="348"/>
        <v>2991.5238966558904</v>
      </c>
      <c r="M818" s="306">
        <f t="shared" ca="1" si="364"/>
        <v>1.1766648869618437</v>
      </c>
      <c r="N818" s="304">
        <f t="shared" ca="1" si="365"/>
        <v>67.417931924151731</v>
      </c>
      <c r="P818" s="310">
        <f t="shared" ca="1" si="366"/>
        <v>23</v>
      </c>
      <c r="Q818" s="304">
        <f t="shared" ca="1" si="367"/>
        <v>0</v>
      </c>
      <c r="R818" s="306">
        <f t="shared" ca="1" si="368"/>
        <v>0</v>
      </c>
      <c r="S818" s="307">
        <f t="shared" ca="1" si="369"/>
        <v>11.416040186296438</v>
      </c>
      <c r="T818" s="304">
        <f t="shared" ca="1" si="349"/>
        <v>111.99135422756807</v>
      </c>
      <c r="U818" s="311">
        <f t="shared" ca="1" si="350"/>
        <v>0</v>
      </c>
      <c r="V818" s="306">
        <f t="shared" ca="1" si="351"/>
        <v>0.92413204220874035</v>
      </c>
      <c r="W818" s="304">
        <f t="shared" ca="1" si="352"/>
        <v>484.18069676441155</v>
      </c>
      <c r="Y818" s="314" t="str">
        <f t="shared" ca="1" si="370"/>
        <v/>
      </c>
      <c r="Z818" s="315" t="str">
        <f t="shared" ca="1" si="371"/>
        <v/>
      </c>
      <c r="AA818" s="316" t="str">
        <f t="shared" ca="1" si="372"/>
        <v/>
      </c>
      <c r="AC818" s="310" t="e">
        <f t="shared" ca="1" si="373"/>
        <v>#N/A</v>
      </c>
      <c r="AD818" s="323" t="e">
        <f t="shared" ca="1" si="374"/>
        <v>#N/A</v>
      </c>
      <c r="AE818" s="324">
        <f t="shared" ca="1" si="353"/>
        <v>2799.9020244660892</v>
      </c>
      <c r="AG818" s="306">
        <f t="shared" ca="1" si="375"/>
        <v>-53.095249911939604</v>
      </c>
      <c r="AH818" s="304">
        <f t="shared" ca="1" si="376"/>
        <v>-44.032734108918511</v>
      </c>
    </row>
    <row r="819" spans="1:34" x14ac:dyDescent="0.2">
      <c r="A819" s="347">
        <f t="shared" ca="1" si="354"/>
        <v>0.1</v>
      </c>
      <c r="B819" s="304">
        <f t="shared" ca="1" si="355"/>
        <v>9.4999999999998685</v>
      </c>
      <c r="D819" s="306">
        <f t="shared" ca="1" si="356"/>
        <v>-16.286599090165872</v>
      </c>
      <c r="E819" s="307">
        <f t="shared" ca="1" si="357"/>
        <v>-48.970582042568218</v>
      </c>
      <c r="F819" s="304">
        <f t="shared" ca="1" si="358"/>
        <v>51.607860016781324</v>
      </c>
      <c r="G819" s="306">
        <f t="shared" ca="1" si="359"/>
        <v>115.18988231556716</v>
      </c>
      <c r="H819" s="307">
        <f t="shared" ca="1" si="360"/>
        <v>275.98921409560614</v>
      </c>
      <c r="I819" s="304">
        <f t="shared" ca="1" si="361"/>
        <v>299.06312926367997</v>
      </c>
      <c r="J819" s="306">
        <f t="shared" ca="1" si="362"/>
        <v>1065.0537318459153</v>
      </c>
      <c r="K819" s="307">
        <f t="shared" ca="1" si="363"/>
        <v>2827.7457987858625</v>
      </c>
      <c r="L819" s="304">
        <f t="shared" ca="1" si="348"/>
        <v>3021.6693654782957</v>
      </c>
      <c r="M819" s="306">
        <f t="shared" ca="1" si="364"/>
        <v>1.1754052520970952</v>
      </c>
      <c r="N819" s="304">
        <f t="shared" ca="1" si="365"/>
        <v>67.345760162674111</v>
      </c>
      <c r="P819" s="310">
        <f t="shared" ca="1" si="366"/>
        <v>23</v>
      </c>
      <c r="Q819" s="304">
        <f t="shared" ca="1" si="367"/>
        <v>0</v>
      </c>
      <c r="R819" s="306">
        <f t="shared" ca="1" si="368"/>
        <v>0</v>
      </c>
      <c r="S819" s="307">
        <f t="shared" ca="1" si="369"/>
        <v>11.416040186296438</v>
      </c>
      <c r="T819" s="304">
        <f t="shared" ca="1" si="349"/>
        <v>111.99135422756807</v>
      </c>
      <c r="U819" s="311">
        <f t="shared" ca="1" si="350"/>
        <v>0</v>
      </c>
      <c r="V819" s="306">
        <f t="shared" ca="1" si="351"/>
        <v>0.92151067310405044</v>
      </c>
      <c r="W819" s="304">
        <f t="shared" ca="1" si="352"/>
        <v>466.60870998887572</v>
      </c>
      <c r="Y819" s="314" t="str">
        <f t="shared" ca="1" si="370"/>
        <v/>
      </c>
      <c r="Z819" s="315" t="str">
        <f t="shared" ca="1" si="371"/>
        <v/>
      </c>
      <c r="AA819" s="316" t="str">
        <f t="shared" ca="1" si="372"/>
        <v/>
      </c>
      <c r="AC819" s="310" t="e">
        <f t="shared" ca="1" si="373"/>
        <v>#N/A</v>
      </c>
      <c r="AD819" s="323" t="e">
        <f t="shared" ca="1" si="374"/>
        <v>#N/A</v>
      </c>
      <c r="AE819" s="324">
        <f t="shared" ca="1" si="353"/>
        <v>2827.7457987858625</v>
      </c>
      <c r="AG819" s="306">
        <f t="shared" ca="1" si="375"/>
        <v>-51.47018704707483</v>
      </c>
      <c r="AH819" s="304">
        <f t="shared" ca="1" si="376"/>
        <v>-42.412315379338914</v>
      </c>
    </row>
    <row r="820" spans="1:34" x14ac:dyDescent="0.2">
      <c r="A820" s="347">
        <f t="shared" ca="1" si="354"/>
        <v>0.1</v>
      </c>
      <c r="B820" s="304">
        <f t="shared" ca="1" si="355"/>
        <v>9.5999999999998682</v>
      </c>
      <c r="D820" s="306">
        <f t="shared" ca="1" si="356"/>
        <v>-15.743047787707187</v>
      </c>
      <c r="E820" s="307">
        <f t="shared" ca="1" si="357"/>
        <v>-47.529557473770339</v>
      </c>
      <c r="F820" s="304">
        <f t="shared" ca="1" si="358"/>
        <v>50.068976295691023</v>
      </c>
      <c r="G820" s="306">
        <f t="shared" ca="1" si="359"/>
        <v>113.61557753679644</v>
      </c>
      <c r="H820" s="307">
        <f t="shared" ca="1" si="360"/>
        <v>271.23625834822911</v>
      </c>
      <c r="I820" s="304">
        <f t="shared" ca="1" si="361"/>
        <v>294.07075220389919</v>
      </c>
      <c r="J820" s="306">
        <f t="shared" ca="1" si="362"/>
        <v>1076.4940048385336</v>
      </c>
      <c r="K820" s="307">
        <f t="shared" ca="1" si="363"/>
        <v>2855.1070724080541</v>
      </c>
      <c r="L820" s="304">
        <f t="shared" ca="1" si="348"/>
        <v>3051.3072177949884</v>
      </c>
      <c r="M820" s="306">
        <f t="shared" ca="1" si="364"/>
        <v>1.1741203537934259</v>
      </c>
      <c r="N820" s="304">
        <f t="shared" ca="1" si="365"/>
        <v>67.27214091277034</v>
      </c>
      <c r="P820" s="310">
        <f t="shared" ca="1" si="366"/>
        <v>23</v>
      </c>
      <c r="Q820" s="304">
        <f t="shared" ca="1" si="367"/>
        <v>0</v>
      </c>
      <c r="R820" s="306">
        <f t="shared" ca="1" si="368"/>
        <v>0</v>
      </c>
      <c r="S820" s="307">
        <f t="shared" ca="1" si="369"/>
        <v>11.416040186296438</v>
      </c>
      <c r="T820" s="304">
        <f t="shared" ca="1" si="349"/>
        <v>111.99135422756807</v>
      </c>
      <c r="U820" s="311">
        <f t="shared" ca="1" si="350"/>
        <v>0</v>
      </c>
      <c r="V820" s="306">
        <f t="shared" ca="1" si="351"/>
        <v>0.91894095134892229</v>
      </c>
      <c r="W820" s="304">
        <f t="shared" ca="1" si="352"/>
        <v>449.90207450284515</v>
      </c>
      <c r="Y820" s="314" t="str">
        <f t="shared" ca="1" si="370"/>
        <v/>
      </c>
      <c r="Z820" s="315" t="str">
        <f t="shared" ca="1" si="371"/>
        <v/>
      </c>
      <c r="AA820" s="316" t="str">
        <f t="shared" ca="1" si="372"/>
        <v/>
      </c>
      <c r="AC820" s="310" t="e">
        <f t="shared" ca="1" si="373"/>
        <v>#N/A</v>
      </c>
      <c r="AD820" s="323" t="e">
        <f t="shared" ca="1" si="374"/>
        <v>#N/A</v>
      </c>
      <c r="AE820" s="324">
        <f t="shared" ca="1" si="353"/>
        <v>2855.1070724080541</v>
      </c>
      <c r="AG820" s="306">
        <f t="shared" ca="1" si="375"/>
        <v>-49.926198098086587</v>
      </c>
      <c r="AH820" s="304">
        <f t="shared" ca="1" si="376"/>
        <v>-40.87307878864884</v>
      </c>
    </row>
    <row r="821" spans="1:34" x14ac:dyDescent="0.2">
      <c r="A821" s="347">
        <f t="shared" ca="1" si="354"/>
        <v>0.1</v>
      </c>
      <c r="B821" s="304">
        <f t="shared" ca="1" si="355"/>
        <v>9.6999999999998678</v>
      </c>
      <c r="D821" s="306">
        <f t="shared" ca="1" si="356"/>
        <v>-15.226095689488407</v>
      </c>
      <c r="E821" s="307">
        <f t="shared" ca="1" si="357"/>
        <v>-46.159498137536659</v>
      </c>
      <c r="F821" s="304">
        <f t="shared" ca="1" si="358"/>
        <v>48.605897360862578</v>
      </c>
      <c r="G821" s="306">
        <f t="shared" ca="1" si="359"/>
        <v>112.0929679678476</v>
      </c>
      <c r="H821" s="307">
        <f t="shared" ca="1" si="360"/>
        <v>266.62030853447544</v>
      </c>
      <c r="I821" s="304">
        <f t="shared" ca="1" si="361"/>
        <v>289.22521050361394</v>
      </c>
      <c r="J821" s="306">
        <f t="shared" ca="1" si="362"/>
        <v>1087.7794321137658</v>
      </c>
      <c r="K821" s="307">
        <f t="shared" ca="1" si="363"/>
        <v>2881.9999007521892</v>
      </c>
      <c r="L821" s="304">
        <f t="shared" ca="1" si="348"/>
        <v>3080.4524863833522</v>
      </c>
      <c r="M821" s="306">
        <f t="shared" ca="1" si="364"/>
        <v>1.1728099080821093</v>
      </c>
      <c r="N821" s="304">
        <f t="shared" ca="1" si="365"/>
        <v>67.197057904230874</v>
      </c>
      <c r="P821" s="310">
        <f t="shared" ca="1" si="366"/>
        <v>23</v>
      </c>
      <c r="Q821" s="304">
        <f t="shared" ca="1" si="367"/>
        <v>0</v>
      </c>
      <c r="R821" s="306">
        <f t="shared" ca="1" si="368"/>
        <v>0</v>
      </c>
      <c r="S821" s="307">
        <f t="shared" ca="1" si="369"/>
        <v>11.416040186296438</v>
      </c>
      <c r="T821" s="304">
        <f t="shared" ca="1" si="349"/>
        <v>111.99135422756807</v>
      </c>
      <c r="U821" s="311">
        <f t="shared" ca="1" si="350"/>
        <v>0</v>
      </c>
      <c r="V821" s="306">
        <f t="shared" ca="1" si="351"/>
        <v>0.91642121372831764</v>
      </c>
      <c r="W821" s="304">
        <f t="shared" ca="1" si="352"/>
        <v>434.00441819187586</v>
      </c>
      <c r="Y821" s="314" t="str">
        <f t="shared" ca="1" si="370"/>
        <v/>
      </c>
      <c r="Z821" s="315" t="str">
        <f t="shared" ca="1" si="371"/>
        <v/>
      </c>
      <c r="AA821" s="316" t="str">
        <f t="shared" ca="1" si="372"/>
        <v/>
      </c>
      <c r="AC821" s="310" t="e">
        <f t="shared" ca="1" si="373"/>
        <v>#N/A</v>
      </c>
      <c r="AD821" s="323" t="e">
        <f t="shared" ca="1" si="374"/>
        <v>#N/A</v>
      </c>
      <c r="AE821" s="324">
        <f t="shared" ca="1" si="353"/>
        <v>2881.9999007521892</v>
      </c>
      <c r="AG821" s="306">
        <f t="shared" ca="1" si="375"/>
        <v>-48.457900388436855</v>
      </c>
      <c r="AH821" s="304">
        <f t="shared" ca="1" si="376"/>
        <v>-39.409643550738167</v>
      </c>
    </row>
    <row r="822" spans="1:34" x14ac:dyDescent="0.2">
      <c r="A822" s="347">
        <f t="shared" ca="1" si="354"/>
        <v>0.1</v>
      </c>
      <c r="B822" s="304">
        <f t="shared" ca="1" si="355"/>
        <v>9.7999999999998675</v>
      </c>
      <c r="D822" s="306">
        <f t="shared" ca="1" si="356"/>
        <v>-14.734007425877801</v>
      </c>
      <c r="E822" s="307">
        <f t="shared" ca="1" si="357"/>
        <v>-44.855780989255265</v>
      </c>
      <c r="F822" s="304">
        <f t="shared" ca="1" si="358"/>
        <v>47.213685123932613</v>
      </c>
      <c r="G822" s="306">
        <f t="shared" ca="1" si="359"/>
        <v>110.61956722525981</v>
      </c>
      <c r="H822" s="307">
        <f t="shared" ca="1" si="360"/>
        <v>262.1347304355499</v>
      </c>
      <c r="I822" s="304">
        <f t="shared" ca="1" si="361"/>
        <v>284.51942913204044</v>
      </c>
      <c r="J822" s="306">
        <f t="shared" ca="1" si="362"/>
        <v>1098.9150588734212</v>
      </c>
      <c r="K822" s="307">
        <f t="shared" ca="1" si="363"/>
        <v>2908.4376527006903</v>
      </c>
      <c r="L822" s="304">
        <f t="shared" ca="1" si="348"/>
        <v>3109.1194712114034</v>
      </c>
      <c r="M822" s="306">
        <f t="shared" ca="1" si="364"/>
        <v>1.1714736220446129</v>
      </c>
      <c r="N822" s="304">
        <f t="shared" ca="1" si="365"/>
        <v>67.120494354060071</v>
      </c>
      <c r="P822" s="310">
        <f t="shared" ca="1" si="366"/>
        <v>23</v>
      </c>
      <c r="Q822" s="304">
        <f t="shared" ca="1" si="367"/>
        <v>0</v>
      </c>
      <c r="R822" s="306">
        <f t="shared" ca="1" si="368"/>
        <v>0</v>
      </c>
      <c r="S822" s="307">
        <f t="shared" ca="1" si="369"/>
        <v>11.416040186296438</v>
      </c>
      <c r="T822" s="304">
        <f t="shared" ca="1" si="349"/>
        <v>111.99135422756807</v>
      </c>
      <c r="U822" s="311">
        <f t="shared" ca="1" si="350"/>
        <v>0</v>
      </c>
      <c r="V822" s="306">
        <f t="shared" ca="1" si="351"/>
        <v>0.91394988138675448</v>
      </c>
      <c r="W822" s="304">
        <f t="shared" ca="1" si="352"/>
        <v>418.86393005594397</v>
      </c>
      <c r="Y822" s="314" t="str">
        <f t="shared" ca="1" si="370"/>
        <v/>
      </c>
      <c r="Z822" s="315" t="str">
        <f t="shared" ca="1" si="371"/>
        <v/>
      </c>
      <c r="AA822" s="316" t="str">
        <f t="shared" ca="1" si="372"/>
        <v/>
      </c>
      <c r="AC822" s="310" t="e">
        <f t="shared" ca="1" si="373"/>
        <v>#N/A</v>
      </c>
      <c r="AD822" s="323" t="e">
        <f t="shared" ca="1" si="374"/>
        <v>#N/A</v>
      </c>
      <c r="AE822" s="324">
        <f t="shared" ca="1" si="353"/>
        <v>2908.4376527006903</v>
      </c>
      <c r="AG822" s="306">
        <f t="shared" ca="1" si="375"/>
        <v>-47.060353990707782</v>
      </c>
      <c r="AH822" s="304">
        <f t="shared" ca="1" si="376"/>
        <v>-38.017071691184576</v>
      </c>
    </row>
    <row r="823" spans="1:34" x14ac:dyDescent="0.2">
      <c r="A823" s="347">
        <f t="shared" ca="1" si="354"/>
        <v>0.1</v>
      </c>
      <c r="B823" s="304">
        <f t="shared" ca="1" si="355"/>
        <v>9.8999999999998671</v>
      </c>
      <c r="D823" s="306">
        <f t="shared" ca="1" si="356"/>
        <v>-14.265188039022037</v>
      </c>
      <c r="E823" s="307">
        <f t="shared" ca="1" si="357"/>
        <v>-43.614157031339253</v>
      </c>
      <c r="F823" s="304">
        <f t="shared" ca="1" si="358"/>
        <v>45.88780102971787</v>
      </c>
      <c r="G823" s="306">
        <f t="shared" ca="1" si="359"/>
        <v>109.19304842135762</v>
      </c>
      <c r="H823" s="307">
        <f t="shared" ca="1" si="360"/>
        <v>257.773314732416</v>
      </c>
      <c r="I823" s="304">
        <f t="shared" ca="1" si="361"/>
        <v>279.94678710727533</v>
      </c>
      <c r="J823" s="306">
        <f t="shared" ca="1" si="362"/>
        <v>1109.9056896557522</v>
      </c>
      <c r="K823" s="307">
        <f t="shared" ca="1" si="363"/>
        <v>2934.4330549590886</v>
      </c>
      <c r="L823" s="304">
        <f t="shared" ca="1" si="348"/>
        <v>3137.3217868058646</v>
      </c>
      <c r="M823" s="306">
        <f t="shared" ca="1" si="364"/>
        <v>1.1701111936677595</v>
      </c>
      <c r="N823" s="304">
        <f t="shared" ca="1" si="365"/>
        <v>67.042432958177514</v>
      </c>
      <c r="P823" s="310">
        <f t="shared" ca="1" si="366"/>
        <v>23</v>
      </c>
      <c r="Q823" s="304">
        <f t="shared" ca="1" si="367"/>
        <v>0</v>
      </c>
      <c r="R823" s="306">
        <f t="shared" ca="1" si="368"/>
        <v>0</v>
      </c>
      <c r="S823" s="307">
        <f t="shared" ca="1" si="369"/>
        <v>11.416040186296438</v>
      </c>
      <c r="T823" s="304">
        <f t="shared" ca="1" si="349"/>
        <v>111.99135422756807</v>
      </c>
      <c r="U823" s="311">
        <f t="shared" ca="1" si="350"/>
        <v>0</v>
      </c>
      <c r="V823" s="306">
        <f t="shared" ca="1" si="351"/>
        <v>0.91152545421892528</v>
      </c>
      <c r="W823" s="304">
        <f t="shared" ca="1" si="352"/>
        <v>404.43292184424672</v>
      </c>
      <c r="Y823" s="314" t="str">
        <f t="shared" ca="1" si="370"/>
        <v/>
      </c>
      <c r="Z823" s="315" t="str">
        <f t="shared" ca="1" si="371"/>
        <v/>
      </c>
      <c r="AA823" s="316" t="str">
        <f t="shared" ca="1" si="372"/>
        <v/>
      </c>
      <c r="AC823" s="310" t="e">
        <f t="shared" ca="1" si="373"/>
        <v>#N/A</v>
      </c>
      <c r="AD823" s="323" t="e">
        <f t="shared" ca="1" si="374"/>
        <v>#N/A</v>
      </c>
      <c r="AE823" s="324">
        <f t="shared" ca="1" si="353"/>
        <v>2934.4330549590886</v>
      </c>
      <c r="AG823" s="306">
        <f t="shared" ca="1" si="375"/>
        <v>-45.729018448892461</v>
      </c>
      <c r="AH823" s="304">
        <f t="shared" ca="1" si="376"/>
        <v>-36.6908247711618</v>
      </c>
    </row>
    <row r="824" spans="1:34" x14ac:dyDescent="0.2">
      <c r="A824" s="347">
        <f t="shared" ca="1" si="354"/>
        <v>0.1</v>
      </c>
      <c r="B824" s="304">
        <f t="shared" ca="1" si="355"/>
        <v>9.9999999999998668</v>
      </c>
      <c r="D824" s="306">
        <f t="shared" ca="1" si="356"/>
        <v>-13.81816948726242</v>
      </c>
      <c r="E824" s="307">
        <f t="shared" ca="1" si="357"/>
        <v>-42.43071536386617</v>
      </c>
      <c r="F824" s="304">
        <f t="shared" ca="1" si="358"/>
        <v>44.624067657130254</v>
      </c>
      <c r="G824" s="306">
        <f t="shared" ca="1" si="359"/>
        <v>107.81123147263138</v>
      </c>
      <c r="H824" s="307">
        <f t="shared" ca="1" si="360"/>
        <v>253.53024319602937</v>
      </c>
      <c r="I824" s="304">
        <f t="shared" ca="1" si="361"/>
        <v>275.50108138931705</v>
      </c>
      <c r="J824" s="306">
        <f t="shared" ca="1" si="362"/>
        <v>1120.7559036504517</v>
      </c>
      <c r="K824" s="307">
        <f t="shared" ca="1" si="363"/>
        <v>2959.9982328555111</v>
      </c>
      <c r="L824" s="304">
        <f t="shared" ca="1" si="348"/>
        <v>3165.0724058187184</v>
      </c>
      <c r="M824" s="306">
        <f t="shared" ca="1" si="364"/>
        <v>1.1687223116908041</v>
      </c>
      <c r="N824" s="304">
        <f t="shared" ca="1" si="365"/>
        <v>66.962855882656186</v>
      </c>
      <c r="P824" s="310">
        <f t="shared" ca="1" si="366"/>
        <v>23</v>
      </c>
      <c r="Q824" s="304">
        <f t="shared" ca="1" si="367"/>
        <v>0</v>
      </c>
      <c r="R824" s="306">
        <f t="shared" ca="1" si="368"/>
        <v>0</v>
      </c>
      <c r="S824" s="307">
        <f t="shared" ca="1" si="369"/>
        <v>11.416040186296438</v>
      </c>
      <c r="T824" s="304">
        <f t="shared" ca="1" si="349"/>
        <v>111.99135422756807</v>
      </c>
      <c r="U824" s="311">
        <f t="shared" ca="1" si="350"/>
        <v>0</v>
      </c>
      <c r="V824" s="306">
        <f t="shared" ca="1" si="351"/>
        <v>0.90914650572061118</v>
      </c>
      <c r="W824" s="304">
        <f t="shared" ca="1" si="352"/>
        <v>390.66743828461921</v>
      </c>
      <c r="Y824" s="314" t="str">
        <f t="shared" ca="1" si="370"/>
        <v/>
      </c>
      <c r="Z824" s="315" t="str">
        <f t="shared" ca="1" si="371"/>
        <v/>
      </c>
      <c r="AA824" s="316" t="str">
        <f t="shared" ca="1" si="372"/>
        <v/>
      </c>
      <c r="AC824" s="310">
        <f t="shared" ca="1" si="373"/>
        <v>9.9999999999998668</v>
      </c>
      <c r="AD824" s="323">
        <f t="shared" ca="1" si="374"/>
        <v>1120.7559036504517</v>
      </c>
      <c r="AE824" s="324">
        <f t="shared" ca="1" si="353"/>
        <v>2959.9982328555111</v>
      </c>
      <c r="AG824" s="306">
        <f t="shared" ca="1" si="375"/>
        <v>-44.459714377644111</v>
      </c>
      <c r="AH824" s="304">
        <f t="shared" ca="1" si="376"/>
        <v>-35.426725488380725</v>
      </c>
    </row>
    <row r="825" spans="1:34" x14ac:dyDescent="0.2">
      <c r="A825" s="347">
        <f t="shared" ca="1" si="354"/>
        <v>0.1</v>
      </c>
      <c r="B825" s="304">
        <f t="shared" ca="1" si="355"/>
        <v>10.099999999999866</v>
      </c>
      <c r="D825" s="306">
        <f t="shared" ca="1" si="356"/>
        <v>-13.391598645654959</v>
      </c>
      <c r="E825" s="307">
        <f t="shared" ca="1" si="357"/>
        <v>-41.301851220328629</v>
      </c>
      <c r="F825" s="304">
        <f t="shared" ca="1" si="358"/>
        <v>43.418634576785912</v>
      </c>
      <c r="G825" s="306">
        <f t="shared" ca="1" si="359"/>
        <v>106.47207160806587</v>
      </c>
      <c r="H825" s="307">
        <f t="shared" ca="1" si="360"/>
        <v>249.40005807399652</v>
      </c>
      <c r="I825" s="304">
        <f t="shared" ca="1" si="361"/>
        <v>271.17649418750506</v>
      </c>
      <c r="J825" s="306">
        <f t="shared" ca="1" si="362"/>
        <v>1131.4700688044866</v>
      </c>
      <c r="K825" s="307">
        <f t="shared" ca="1" si="363"/>
        <v>2985.1447479190124</v>
      </c>
      <c r="L825" s="304">
        <f t="shared" ca="1" si="348"/>
        <v>3192.3836991547387</v>
      </c>
      <c r="M825" s="306">
        <f t="shared" ca="1" si="364"/>
        <v>1.1673066554444134</v>
      </c>
      <c r="N825" s="304">
        <f t="shared" ca="1" si="365"/>
        <v>66.881744754496665</v>
      </c>
      <c r="P825" s="310">
        <f t="shared" ca="1" si="366"/>
        <v>23</v>
      </c>
      <c r="Q825" s="304">
        <f t="shared" ca="1" si="367"/>
        <v>0</v>
      </c>
      <c r="R825" s="306">
        <f t="shared" ca="1" si="368"/>
        <v>0</v>
      </c>
      <c r="S825" s="307">
        <f t="shared" ca="1" si="369"/>
        <v>11.416040186296438</v>
      </c>
      <c r="T825" s="304">
        <f t="shared" ca="1" si="349"/>
        <v>111.99135422756807</v>
      </c>
      <c r="U825" s="311">
        <f t="shared" ca="1" si="350"/>
        <v>0</v>
      </c>
      <c r="V825" s="306">
        <f t="shared" ca="1" si="351"/>
        <v>0.90681167825520315</v>
      </c>
      <c r="W825" s="304">
        <f t="shared" ca="1" si="352"/>
        <v>377.52690982609164</v>
      </c>
      <c r="Y825" s="314" t="str">
        <f t="shared" ca="1" si="370"/>
        <v/>
      </c>
      <c r="Z825" s="315" t="str">
        <f t="shared" ca="1" si="371"/>
        <v/>
      </c>
      <c r="AA825" s="316" t="str">
        <f t="shared" ca="1" si="372"/>
        <v/>
      </c>
      <c r="AC825" s="310" t="e">
        <f t="shared" ca="1" si="373"/>
        <v>#N/A</v>
      </c>
      <c r="AD825" s="323" t="e">
        <f t="shared" ca="1" si="374"/>
        <v>#N/A</v>
      </c>
      <c r="AE825" s="324">
        <f t="shared" ca="1" si="353"/>
        <v>2985.1447479190124</v>
      </c>
      <c r="AG825" s="306">
        <f t="shared" ca="1" si="375"/>
        <v>-43.248589318145036</v>
      </c>
      <c r="AH825" s="304">
        <f t="shared" ca="1" si="376"/>
        <v>-34.220923534726843</v>
      </c>
    </row>
    <row r="826" spans="1:34" x14ac:dyDescent="0.2">
      <c r="A826" s="347">
        <f t="shared" ca="1" si="354"/>
        <v>0.1</v>
      </c>
      <c r="B826" s="304">
        <f t="shared" ca="1" si="355"/>
        <v>10.199999999999866</v>
      </c>
      <c r="D826" s="306">
        <f t="shared" ca="1" si="356"/>
        <v>-12.984226615356246</v>
      </c>
      <c r="E826" s="307">
        <f t="shared" ca="1" si="357"/>
        <v>-40.224237489772499</v>
      </c>
      <c r="F826" s="304">
        <f t="shared" ca="1" si="358"/>
        <v>42.267947932594801</v>
      </c>
      <c r="G826" s="306">
        <f t="shared" ca="1" si="359"/>
        <v>105.17364894653025</v>
      </c>
      <c r="H826" s="307">
        <f t="shared" ca="1" si="360"/>
        <v>245.37763432501927</v>
      </c>
      <c r="I826" s="304">
        <f t="shared" ca="1" si="361"/>
        <v>266.967563309985</v>
      </c>
      <c r="J826" s="306">
        <f t="shared" ca="1" si="362"/>
        <v>1142.0523548322165</v>
      </c>
      <c r="K826" s="307">
        <f t="shared" ca="1" si="363"/>
        <v>3009.883632538963</v>
      </c>
      <c r="L826" s="304">
        <f t="shared" ca="1" si="348"/>
        <v>3219.2674729825967</v>
      </c>
      <c r="M826" s="306">
        <f t="shared" ca="1" si="364"/>
        <v>1.1658638946815014</v>
      </c>
      <c r="N826" s="304">
        <f t="shared" ca="1" si="365"/>
        <v>66.79908065193473</v>
      </c>
      <c r="P826" s="310">
        <f t="shared" ca="1" si="366"/>
        <v>23</v>
      </c>
      <c r="Q826" s="304">
        <f t="shared" ca="1" si="367"/>
        <v>0</v>
      </c>
      <c r="R826" s="306">
        <f t="shared" ca="1" si="368"/>
        <v>0</v>
      </c>
      <c r="S826" s="307">
        <f t="shared" ca="1" si="369"/>
        <v>11.416040186296438</v>
      </c>
      <c r="T826" s="304">
        <f t="shared" ca="1" si="349"/>
        <v>111.99135422756807</v>
      </c>
      <c r="U826" s="311">
        <f t="shared" ca="1" si="350"/>
        <v>0</v>
      </c>
      <c r="V826" s="306">
        <f t="shared" ca="1" si="351"/>
        <v>0.90451967869614247</v>
      </c>
      <c r="W826" s="304">
        <f t="shared" ca="1" si="352"/>
        <v>364.97384265847921</v>
      </c>
      <c r="Y826" s="314" t="str">
        <f t="shared" ca="1" si="370"/>
        <v/>
      </c>
      <c r="Z826" s="315" t="str">
        <f t="shared" ca="1" si="371"/>
        <v/>
      </c>
      <c r="AA826" s="316" t="str">
        <f t="shared" ca="1" si="372"/>
        <v/>
      </c>
      <c r="AC826" s="310" t="e">
        <f t="shared" ca="1" si="373"/>
        <v>#N/A</v>
      </c>
      <c r="AD826" s="323" t="e">
        <f t="shared" ca="1" si="374"/>
        <v>#N/A</v>
      </c>
      <c r="AE826" s="324">
        <f t="shared" ca="1" si="353"/>
        <v>3009.883632538963</v>
      </c>
      <c r="AG826" s="306">
        <f t="shared" ca="1" si="375"/>
        <v>-42.092087317880058</v>
      </c>
      <c r="AH826" s="304">
        <f t="shared" ca="1" si="376"/>
        <v>-33.069865177880729</v>
      </c>
    </row>
    <row r="827" spans="1:34" x14ac:dyDescent="0.2">
      <c r="A827" s="347">
        <f t="shared" ca="1" si="354"/>
        <v>0.1</v>
      </c>
      <c r="B827" s="304">
        <f t="shared" ca="1" si="355"/>
        <v>10.299999999999866</v>
      </c>
      <c r="D827" s="306">
        <f t="shared" ca="1" si="356"/>
        <v>-12.59489918066558</v>
      </c>
      <c r="E827" s="307">
        <f t="shared" ca="1" si="357"/>
        <v>-39.194799295924803</v>
      </c>
      <c r="F827" s="304">
        <f t="shared" ca="1" si="358"/>
        <v>41.168723288668524</v>
      </c>
      <c r="G827" s="306">
        <f t="shared" ca="1" si="359"/>
        <v>103.91415902846369</v>
      </c>
      <c r="H827" s="307">
        <f t="shared" ca="1" si="360"/>
        <v>241.45815439542679</v>
      </c>
      <c r="I827" s="304">
        <f t="shared" ca="1" si="361"/>
        <v>262.86915522867758</v>
      </c>
      <c r="J827" s="306">
        <f t="shared" ca="1" si="362"/>
        <v>1152.5067452309661</v>
      </c>
      <c r="K827" s="307">
        <f t="shared" ca="1" si="363"/>
        <v>3034.2254219749852</v>
      </c>
      <c r="L827" s="304">
        <f t="shared" ca="1" si="348"/>
        <v>3245.7350029172362</v>
      </c>
      <c r="M827" s="306">
        <f t="shared" ca="1" si="364"/>
        <v>1.1643936893998674</v>
      </c>
      <c r="N827" s="304">
        <f t="shared" ca="1" si="365"/>
        <v>66.714844094279272</v>
      </c>
      <c r="P827" s="310">
        <f t="shared" ca="1" si="366"/>
        <v>23</v>
      </c>
      <c r="Q827" s="304">
        <f t="shared" ca="1" si="367"/>
        <v>0</v>
      </c>
      <c r="R827" s="306">
        <f t="shared" ca="1" si="368"/>
        <v>0</v>
      </c>
      <c r="S827" s="307">
        <f t="shared" ca="1" si="369"/>
        <v>11.416040186296438</v>
      </c>
      <c r="T827" s="304">
        <f t="shared" ca="1" si="349"/>
        <v>111.99135422756807</v>
      </c>
      <c r="U827" s="311">
        <f t="shared" ca="1" si="350"/>
        <v>0</v>
      </c>
      <c r="V827" s="306">
        <f t="shared" ca="1" si="351"/>
        <v>0.9022692744099523</v>
      </c>
      <c r="W827" s="304">
        <f t="shared" ca="1" si="352"/>
        <v>352.97354148941321</v>
      </c>
      <c r="Y827" s="314" t="str">
        <f t="shared" ca="1" si="370"/>
        <v/>
      </c>
      <c r="Z827" s="315" t="str">
        <f t="shared" ca="1" si="371"/>
        <v/>
      </c>
      <c r="AA827" s="316" t="str">
        <f t="shared" ca="1" si="372"/>
        <v/>
      </c>
      <c r="AC827" s="310" t="e">
        <f t="shared" ca="1" si="373"/>
        <v>#N/A</v>
      </c>
      <c r="AD827" s="323" t="e">
        <f t="shared" ca="1" si="374"/>
        <v>#N/A</v>
      </c>
      <c r="AE827" s="324">
        <f t="shared" ca="1" si="353"/>
        <v>3034.2254219749852</v>
      </c>
      <c r="AG827" s="306">
        <f t="shared" ca="1" si="375"/>
        <v>-40.986921775649918</v>
      </c>
      <c r="AH827" s="304">
        <f t="shared" ca="1" si="376"/>
        <v>-31.970266108259299</v>
      </c>
    </row>
    <row r="828" spans="1:34" x14ac:dyDescent="0.2">
      <c r="A828" s="347">
        <f t="shared" ca="1" si="354"/>
        <v>0.1</v>
      </c>
      <c r="B828" s="304">
        <f t="shared" ca="1" si="355"/>
        <v>10.399999999999865</v>
      </c>
      <c r="D828" s="306">
        <f t="shared" ca="1" si="356"/>
        <v>-12.222548274574097</v>
      </c>
      <c r="E828" s="307">
        <f t="shared" ca="1" si="357"/>
        <v>-38.21069126267269</v>
      </c>
      <c r="F828" s="304">
        <f t="shared" ca="1" si="358"/>
        <v>40.117921345647822</v>
      </c>
      <c r="G828" s="306">
        <f t="shared" ca="1" si="359"/>
        <v>102.69190420100628</v>
      </c>
      <c r="H828" s="307">
        <f t="shared" ca="1" si="360"/>
        <v>237.63708526915951</v>
      </c>
      <c r="I828" s="304">
        <f t="shared" ca="1" si="361"/>
        <v>258.8764405728154</v>
      </c>
      <c r="J828" s="306">
        <f t="shared" ca="1" si="362"/>
        <v>1162.8370483924396</v>
      </c>
      <c r="K828" s="307">
        <f t="shared" ca="1" si="363"/>
        <v>3058.1801839582145</v>
      </c>
      <c r="L828" s="304">
        <f t="shared" ca="1" si="348"/>
        <v>3271.7970656305592</v>
      </c>
      <c r="M828" s="306">
        <f t="shared" ca="1" si="364"/>
        <v>1.162895689656559</v>
      </c>
      <c r="N828" s="304">
        <f t="shared" ca="1" si="365"/>
        <v>66.629015031276012</v>
      </c>
      <c r="P828" s="310">
        <f t="shared" ca="1" si="366"/>
        <v>23</v>
      </c>
      <c r="Q828" s="304">
        <f t="shared" ca="1" si="367"/>
        <v>0</v>
      </c>
      <c r="R828" s="306">
        <f t="shared" ca="1" si="368"/>
        <v>0</v>
      </c>
      <c r="S828" s="307">
        <f t="shared" ca="1" si="369"/>
        <v>11.416040186296438</v>
      </c>
      <c r="T828" s="304">
        <f t="shared" ca="1" si="349"/>
        <v>111.99135422756807</v>
      </c>
      <c r="U828" s="311">
        <f t="shared" ca="1" si="350"/>
        <v>0</v>
      </c>
      <c r="V828" s="306">
        <f t="shared" ca="1" si="351"/>
        <v>0.90005928954834635</v>
      </c>
      <c r="W828" s="304">
        <f t="shared" ca="1" si="352"/>
        <v>341.49386116814594</v>
      </c>
      <c r="Y828" s="314" t="str">
        <f t="shared" ca="1" si="370"/>
        <v/>
      </c>
      <c r="Z828" s="315" t="str">
        <f t="shared" ca="1" si="371"/>
        <v/>
      </c>
      <c r="AA828" s="316" t="str">
        <f t="shared" ca="1" si="372"/>
        <v/>
      </c>
      <c r="AC828" s="310" t="e">
        <f t="shared" ca="1" si="373"/>
        <v>#N/A</v>
      </c>
      <c r="AD828" s="323" t="e">
        <f t="shared" ca="1" si="374"/>
        <v>#N/A</v>
      </c>
      <c r="AE828" s="324">
        <f t="shared" ca="1" si="353"/>
        <v>3058.1801839582145</v>
      </c>
      <c r="AG828" s="306">
        <f t="shared" ca="1" si="375"/>
        <v>-39.930051155923813</v>
      </c>
      <c r="AH828" s="304">
        <f t="shared" ca="1" si="376"/>
        <v>-30.919087155379394</v>
      </c>
    </row>
    <row r="829" spans="1:34" x14ac:dyDescent="0.2">
      <c r="A829" s="347">
        <f t="shared" ca="1" si="354"/>
        <v>0.1</v>
      </c>
      <c r="B829" s="304">
        <f t="shared" ca="1" si="355"/>
        <v>10.499999999999865</v>
      </c>
      <c r="D829" s="306">
        <f t="shared" ca="1" si="356"/>
        <v>-11.866184332419843</v>
      </c>
      <c r="E829" s="307">
        <f t="shared" ca="1" si="357"/>
        <v>-37.269277145190841</v>
      </c>
      <c r="F829" s="304">
        <f t="shared" ca="1" si="358"/>
        <v>39.112726183890715</v>
      </c>
      <c r="G829" s="306">
        <f t="shared" ca="1" si="359"/>
        <v>101.50528576776429</v>
      </c>
      <c r="H829" s="307">
        <f t="shared" ca="1" si="360"/>
        <v>233.91015755464042</v>
      </c>
      <c r="I829" s="304">
        <f t="shared" ca="1" si="361"/>
        <v>254.98487179837198</v>
      </c>
      <c r="J829" s="306">
        <f t="shared" ca="1" si="362"/>
        <v>1173.0469078908782</v>
      </c>
      <c r="K829" s="307">
        <f t="shared" ca="1" si="363"/>
        <v>3081.7575460994044</v>
      </c>
      <c r="L829" s="304">
        <f t="shared" ca="1" si="348"/>
        <v>3297.4639681204967</v>
      </c>
      <c r="M829" s="306">
        <f t="shared" ca="1" si="364"/>
        <v>1.1613695353738689</v>
      </c>
      <c r="N829" s="304">
        <f t="shared" ca="1" si="365"/>
        <v>66.541572831992056</v>
      </c>
      <c r="P829" s="310">
        <f t="shared" ca="1" si="366"/>
        <v>23</v>
      </c>
      <c r="Q829" s="304">
        <f t="shared" ca="1" si="367"/>
        <v>0</v>
      </c>
      <c r="R829" s="306">
        <f t="shared" ca="1" si="368"/>
        <v>0</v>
      </c>
      <c r="S829" s="307">
        <f t="shared" ca="1" si="369"/>
        <v>11.416040186296438</v>
      </c>
      <c r="T829" s="304">
        <f t="shared" ca="1" si="349"/>
        <v>111.99135422756807</v>
      </c>
      <c r="U829" s="311">
        <f t="shared" ca="1" si="350"/>
        <v>0</v>
      </c>
      <c r="V829" s="306">
        <f t="shared" ca="1" si="351"/>
        <v>0.89788860162126305</v>
      </c>
      <c r="W829" s="304">
        <f t="shared" ca="1" si="352"/>
        <v>330.50498376440197</v>
      </c>
      <c r="Y829" s="314" t="str">
        <f t="shared" ca="1" si="370"/>
        <v/>
      </c>
      <c r="Z829" s="315" t="str">
        <f t="shared" ca="1" si="371"/>
        <v/>
      </c>
      <c r="AA829" s="316" t="str">
        <f t="shared" ca="1" si="372"/>
        <v/>
      </c>
      <c r="AC829" s="310" t="e">
        <f t="shared" ca="1" si="373"/>
        <v>#N/A</v>
      </c>
      <c r="AD829" s="323" t="e">
        <f t="shared" ca="1" si="374"/>
        <v>#N/A</v>
      </c>
      <c r="AE829" s="324">
        <f t="shared" ca="1" si="353"/>
        <v>3081.7575460994044</v>
      </c>
      <c r="AG829" s="306">
        <f t="shared" ca="1" si="375"/>
        <v>-38.918657229969583</v>
      </c>
      <c r="AH829" s="304">
        <f t="shared" ca="1" si="376"/>
        <v>-29.91351253108478</v>
      </c>
    </row>
    <row r="830" spans="1:34" x14ac:dyDescent="0.2">
      <c r="A830" s="347">
        <f t="shared" ca="1" si="354"/>
        <v>0.1</v>
      </c>
      <c r="B830" s="304">
        <f t="shared" ca="1" si="355"/>
        <v>10.599999999999865</v>
      </c>
      <c r="D830" s="306">
        <f t="shared" ca="1" si="356"/>
        <v>-11.524889429225192</v>
      </c>
      <c r="E830" s="307">
        <f t="shared" ca="1" si="357"/>
        <v>-36.368111548571143</v>
      </c>
      <c r="F830" s="304">
        <f t="shared" ca="1" si="358"/>
        <v>38.150525736419155</v>
      </c>
      <c r="G830" s="306">
        <f t="shared" ca="1" si="359"/>
        <v>100.35279682484177</v>
      </c>
      <c r="H830" s="307">
        <f t="shared" ca="1" si="360"/>
        <v>230.27334639978329</v>
      </c>
      <c r="I830" s="304">
        <f t="shared" ca="1" si="361"/>
        <v>251.19016281041453</v>
      </c>
      <c r="J830" s="306">
        <f t="shared" ca="1" si="362"/>
        <v>1183.1398120205085</v>
      </c>
      <c r="K830" s="307">
        <f t="shared" ca="1" si="363"/>
        <v>3104.9667212971258</v>
      </c>
      <c r="L830" s="304">
        <f t="shared" ca="1" si="348"/>
        <v>3322.7455748447769</v>
      </c>
      <c r="M830" s="306">
        <f t="shared" ca="1" si="364"/>
        <v>1.1598148561368622</v>
      </c>
      <c r="N830" s="304">
        <f t="shared" ca="1" si="365"/>
        <v>66.452496273214948</v>
      </c>
      <c r="P830" s="310">
        <f t="shared" ca="1" si="366"/>
        <v>23</v>
      </c>
      <c r="Q830" s="304">
        <f t="shared" ca="1" si="367"/>
        <v>0</v>
      </c>
      <c r="R830" s="306">
        <f t="shared" ca="1" si="368"/>
        <v>0</v>
      </c>
      <c r="S830" s="307">
        <f t="shared" ca="1" si="369"/>
        <v>11.416040186296438</v>
      </c>
      <c r="T830" s="304">
        <f t="shared" ca="1" si="349"/>
        <v>111.99135422756807</v>
      </c>
      <c r="U830" s="311">
        <f t="shared" ca="1" si="350"/>
        <v>0</v>
      </c>
      <c r="V830" s="306">
        <f t="shared" ca="1" si="351"/>
        <v>0.89575613832561785</v>
      </c>
      <c r="W830" s="304">
        <f t="shared" ca="1" si="352"/>
        <v>319.97921815388776</v>
      </c>
      <c r="Y830" s="314" t="str">
        <f t="shared" ca="1" si="370"/>
        <v/>
      </c>
      <c r="Z830" s="315" t="str">
        <f t="shared" ca="1" si="371"/>
        <v/>
      </c>
      <c r="AA830" s="316" t="str">
        <f t="shared" ca="1" si="372"/>
        <v/>
      </c>
      <c r="AC830" s="310" t="e">
        <f t="shared" ca="1" si="373"/>
        <v>#N/A</v>
      </c>
      <c r="AD830" s="323" t="e">
        <f t="shared" ca="1" si="374"/>
        <v>#N/A</v>
      </c>
      <c r="AE830" s="324">
        <f t="shared" ca="1" si="353"/>
        <v>3104.9667212971258</v>
      </c>
      <c r="AG830" s="306">
        <f t="shared" ca="1" si="375"/>
        <v>-37.950125546656786</v>
      </c>
      <c r="AH830" s="304">
        <f t="shared" ca="1" si="376"/>
        <v>-28.950930302534569</v>
      </c>
    </row>
    <row r="831" spans="1:34" x14ac:dyDescent="0.2">
      <c r="A831" s="347">
        <f t="shared" ca="1" si="354"/>
        <v>0.1</v>
      </c>
      <c r="B831" s="304">
        <f t="shared" ca="1" si="355"/>
        <v>10.699999999999864</v>
      </c>
      <c r="D831" s="306">
        <f t="shared" ca="1" si="356"/>
        <v>-11.197811109942567</v>
      </c>
      <c r="E831" s="307">
        <f t="shared" ca="1" si="357"/>
        <v>-35.504923492165588</v>
      </c>
      <c r="F831" s="304">
        <f t="shared" ca="1" si="358"/>
        <v>37.228894233357039</v>
      </c>
      <c r="G831" s="306">
        <f t="shared" ca="1" si="359"/>
        <v>99.233015713847522</v>
      </c>
      <c r="H831" s="307">
        <f t="shared" ca="1" si="360"/>
        <v>226.72285405056672</v>
      </c>
      <c r="I831" s="304">
        <f t="shared" ca="1" si="361"/>
        <v>247.48827034124119</v>
      </c>
      <c r="J831" s="306">
        <f t="shared" ca="1" si="362"/>
        <v>1193.119102647443</v>
      </c>
      <c r="K831" s="307">
        <f t="shared" ca="1" si="363"/>
        <v>3127.8165313196432</v>
      </c>
      <c r="L831" s="304">
        <f t="shared" ca="1" si="348"/>
        <v>3347.6513329047102</v>
      </c>
      <c r="M831" s="306">
        <f t="shared" ca="1" si="364"/>
        <v>1.1582312709823113</v>
      </c>
      <c r="N831" s="304">
        <f t="shared" ca="1" si="365"/>
        <v>66.361763527359614</v>
      </c>
      <c r="P831" s="310">
        <f t="shared" ca="1" si="366"/>
        <v>23</v>
      </c>
      <c r="Q831" s="304">
        <f t="shared" ca="1" si="367"/>
        <v>0</v>
      </c>
      <c r="R831" s="306">
        <f t="shared" ca="1" si="368"/>
        <v>0</v>
      </c>
      <c r="S831" s="307">
        <f t="shared" ca="1" si="369"/>
        <v>11.416040186296438</v>
      </c>
      <c r="T831" s="304">
        <f t="shared" ca="1" si="349"/>
        <v>111.99135422756807</v>
      </c>
      <c r="U831" s="311">
        <f t="shared" ca="1" si="350"/>
        <v>0</v>
      </c>
      <c r="V831" s="306">
        <f t="shared" ca="1" si="351"/>
        <v>0.89366087460717691</v>
      </c>
      <c r="W831" s="304">
        <f t="shared" ca="1" si="352"/>
        <v>309.89081954182188</v>
      </c>
      <c r="Y831" s="314" t="str">
        <f t="shared" ca="1" si="370"/>
        <v/>
      </c>
      <c r="Z831" s="315" t="str">
        <f t="shared" ca="1" si="371"/>
        <v/>
      </c>
      <c r="AA831" s="316" t="str">
        <f t="shared" ca="1" si="372"/>
        <v/>
      </c>
      <c r="AC831" s="310" t="e">
        <f t="shared" ca="1" si="373"/>
        <v>#N/A</v>
      </c>
      <c r="AD831" s="323" t="e">
        <f t="shared" ca="1" si="374"/>
        <v>#N/A</v>
      </c>
      <c r="AE831" s="324">
        <f t="shared" ca="1" si="353"/>
        <v>3127.8165313196432</v>
      </c>
      <c r="AG831" s="306">
        <f t="shared" ca="1" si="375"/>
        <v>-37.022027874662875</v>
      </c>
      <c r="AH831" s="304">
        <f t="shared" ca="1" si="376"/>
        <v>-28.028914836685992</v>
      </c>
    </row>
    <row r="832" spans="1:34" x14ac:dyDescent="0.2">
      <c r="A832" s="347">
        <f t="shared" ca="1" si="354"/>
        <v>0.1</v>
      </c>
      <c r="B832" s="304">
        <f t="shared" ca="1" si="355"/>
        <v>10.799999999999864</v>
      </c>
      <c r="D832" s="306">
        <f t="shared" ca="1" si="356"/>
        <v>-10.884156833526589</v>
      </c>
      <c r="E832" s="307">
        <f t="shared" ca="1" si="357"/>
        <v>-34.677601608995268</v>
      </c>
      <c r="F832" s="304">
        <f t="shared" ca="1" si="358"/>
        <v>36.34557639285687</v>
      </c>
      <c r="G832" s="306">
        <f t="shared" ca="1" si="359"/>
        <v>98.144600030494857</v>
      </c>
      <c r="H832" s="307">
        <f t="shared" ca="1" si="360"/>
        <v>223.25509388966719</v>
      </c>
      <c r="I832" s="304">
        <f t="shared" ca="1" si="361"/>
        <v>243.87537690966246</v>
      </c>
      <c r="J832" s="306">
        <f t="shared" ca="1" si="362"/>
        <v>1202.9879834346602</v>
      </c>
      <c r="K832" s="307">
        <f t="shared" ca="1" si="363"/>
        <v>3150.3154287166549</v>
      </c>
      <c r="L832" s="304">
        <f t="shared" ca="1" si="348"/>
        <v>3372.1902954457346</v>
      </c>
      <c r="M832" s="306">
        <f t="shared" ca="1" si="364"/>
        <v>1.1566183881789052</v>
      </c>
      <c r="N832" s="304">
        <f t="shared" ca="1" si="365"/>
        <v>66.269352149875218</v>
      </c>
      <c r="P832" s="310">
        <f t="shared" ca="1" si="366"/>
        <v>23</v>
      </c>
      <c r="Q832" s="304">
        <f t="shared" ca="1" si="367"/>
        <v>0</v>
      </c>
      <c r="R832" s="306">
        <f t="shared" ca="1" si="368"/>
        <v>0</v>
      </c>
      <c r="S832" s="307">
        <f t="shared" ca="1" si="369"/>
        <v>11.416040186296438</v>
      </c>
      <c r="T832" s="304">
        <f t="shared" ca="1" si="349"/>
        <v>111.99135422756807</v>
      </c>
      <c r="U832" s="311">
        <f t="shared" ca="1" si="350"/>
        <v>0</v>
      </c>
      <c r="V832" s="306">
        <f t="shared" ca="1" si="351"/>
        <v>0.89160182993525339</v>
      </c>
      <c r="W832" s="304">
        <f t="shared" ca="1" si="352"/>
        <v>300.21582668188267</v>
      </c>
      <c r="Y832" s="314" t="str">
        <f t="shared" ca="1" si="370"/>
        <v/>
      </c>
      <c r="Z832" s="315" t="str">
        <f t="shared" ca="1" si="371"/>
        <v/>
      </c>
      <c r="AA832" s="316" t="str">
        <f t="shared" ca="1" si="372"/>
        <v/>
      </c>
      <c r="AC832" s="310" t="e">
        <f t="shared" ca="1" si="373"/>
        <v>#N/A</v>
      </c>
      <c r="AD832" s="323" t="e">
        <f t="shared" ca="1" si="374"/>
        <v>#N/A</v>
      </c>
      <c r="AE832" s="324">
        <f t="shared" ca="1" si="353"/>
        <v>3150.3154287166549</v>
      </c>
      <c r="AG832" s="306">
        <f t="shared" ca="1" si="375"/>
        <v>-36.132106391076604</v>
      </c>
      <c r="AH832" s="304">
        <f t="shared" ca="1" si="376"/>
        <v>-27.145210991268929</v>
      </c>
    </row>
    <row r="833" spans="1:34" x14ac:dyDescent="0.2">
      <c r="A833" s="347">
        <f t="shared" ca="1" si="354"/>
        <v>0.1</v>
      </c>
      <c r="B833" s="304">
        <f t="shared" ca="1" si="355"/>
        <v>10.899999999999864</v>
      </c>
      <c r="D833" s="306">
        <f t="shared" ca="1" si="356"/>
        <v>-10.583188961788659</v>
      </c>
      <c r="E833" s="307">
        <f t="shared" ca="1" si="357"/>
        <v>-33.884180796315619</v>
      </c>
      <c r="F833" s="304">
        <f t="shared" ca="1" si="358"/>
        <v>35.498473162071768</v>
      </c>
      <c r="G833" s="306">
        <f t="shared" ca="1" si="359"/>
        <v>97.086281134315996</v>
      </c>
      <c r="H833" s="307">
        <f t="shared" ca="1" si="360"/>
        <v>219.86667581003564</v>
      </c>
      <c r="I833" s="304">
        <f t="shared" ca="1" si="361"/>
        <v>240.34787520643229</v>
      </c>
      <c r="J833" s="306">
        <f t="shared" ca="1" si="362"/>
        <v>1212.7495274929008</v>
      </c>
      <c r="K833" s="307">
        <f t="shared" ca="1" si="363"/>
        <v>3172.4715172016399</v>
      </c>
      <c r="L833" s="304">
        <f t="shared" ca="1" si="348"/>
        <v>3396.3711434249835</v>
      </c>
      <c r="M833" s="306">
        <f t="shared" ca="1" si="364"/>
        <v>1.1549758049985848</v>
      </c>
      <c r="N833" s="304">
        <f t="shared" ca="1" si="365"/>
        <v>66.175239066143675</v>
      </c>
      <c r="P833" s="310">
        <f t="shared" ca="1" si="366"/>
        <v>23</v>
      </c>
      <c r="Q833" s="304">
        <f t="shared" ca="1" si="367"/>
        <v>0</v>
      </c>
      <c r="R833" s="306">
        <f t="shared" ca="1" si="368"/>
        <v>0</v>
      </c>
      <c r="S833" s="307">
        <f t="shared" ca="1" si="369"/>
        <v>11.416040186296438</v>
      </c>
      <c r="T833" s="304">
        <f t="shared" ca="1" si="349"/>
        <v>111.99135422756807</v>
      </c>
      <c r="U833" s="311">
        <f t="shared" ca="1" si="350"/>
        <v>0</v>
      </c>
      <c r="V833" s="306">
        <f t="shared" ca="1" si="351"/>
        <v>0.88957806577195664</v>
      </c>
      <c r="W833" s="304">
        <f t="shared" ca="1" si="352"/>
        <v>290.93191482856975</v>
      </c>
      <c r="Y833" s="314" t="str">
        <f t="shared" ca="1" si="370"/>
        <v/>
      </c>
      <c r="Z833" s="315" t="str">
        <f t="shared" ca="1" si="371"/>
        <v/>
      </c>
      <c r="AA833" s="316" t="str">
        <f t="shared" ca="1" si="372"/>
        <v/>
      </c>
      <c r="AC833" s="310" t="e">
        <f t="shared" ca="1" si="373"/>
        <v>#N/A</v>
      </c>
      <c r="AD833" s="323" t="e">
        <f t="shared" ca="1" si="374"/>
        <v>#N/A</v>
      </c>
      <c r="AE833" s="324">
        <f t="shared" ca="1" si="353"/>
        <v>3172.4715172016399</v>
      </c>
      <c r="AG833" s="306">
        <f t="shared" ca="1" si="375"/>
        <v>-35.278259419952633</v>
      </c>
      <c r="AH833" s="304">
        <f t="shared" ca="1" si="376"/>
        <v>-26.297719855809117</v>
      </c>
    </row>
    <row r="834" spans="1:34" x14ac:dyDescent="0.2">
      <c r="A834" s="347">
        <f t="shared" ca="1" si="354"/>
        <v>0.1</v>
      </c>
      <c r="B834" s="304">
        <f t="shared" ca="1" si="355"/>
        <v>10.999999999999863</v>
      </c>
      <c r="D834" s="306">
        <f t="shared" ca="1" si="356"/>
        <v>-10.294220232629256</v>
      </c>
      <c r="E834" s="307">
        <f t="shared" ca="1" si="357"/>
        <v>-33.122830156439093</v>
      </c>
      <c r="F834" s="304">
        <f t="shared" ca="1" si="358"/>
        <v>34.685628836308915</v>
      </c>
      <c r="G834" s="306">
        <f t="shared" ca="1" si="359"/>
        <v>96.056859111053072</v>
      </c>
      <c r="H834" s="307">
        <f t="shared" ca="1" si="360"/>
        <v>216.55439279439173</v>
      </c>
      <c r="I834" s="304">
        <f t="shared" ca="1" si="361"/>
        <v>236.90235376802065</v>
      </c>
      <c r="J834" s="306">
        <f t="shared" ca="1" si="362"/>
        <v>1222.4066845051693</v>
      </c>
      <c r="K834" s="307">
        <f t="shared" ca="1" si="363"/>
        <v>3194.2925706318615</v>
      </c>
      <c r="L834" s="304">
        <f t="shared" ca="1" si="348"/>
        <v>3420.2022058815219</v>
      </c>
      <c r="M834" s="306">
        <f t="shared" ca="1" si="364"/>
        <v>1.1533031074788453</v>
      </c>
      <c r="N834" s="304">
        <f t="shared" ca="1" si="365"/>
        <v>66.079400557860609</v>
      </c>
      <c r="P834" s="310">
        <f t="shared" ca="1" si="366"/>
        <v>23</v>
      </c>
      <c r="Q834" s="304">
        <f t="shared" ca="1" si="367"/>
        <v>0</v>
      </c>
      <c r="R834" s="306">
        <f t="shared" ca="1" si="368"/>
        <v>0</v>
      </c>
      <c r="S834" s="307">
        <f t="shared" ca="1" si="369"/>
        <v>11.416040186296438</v>
      </c>
      <c r="T834" s="304">
        <f t="shared" ca="1" si="349"/>
        <v>111.99135422756807</v>
      </c>
      <c r="U834" s="311">
        <f t="shared" ca="1" si="350"/>
        <v>0</v>
      </c>
      <c r="V834" s="306">
        <f t="shared" ca="1" si="351"/>
        <v>0.88758868321954343</v>
      </c>
      <c r="W834" s="304">
        <f t="shared" ca="1" si="352"/>
        <v>282.01826270301456</v>
      </c>
      <c r="Y834" s="314" t="str">
        <f t="shared" ca="1" si="370"/>
        <v/>
      </c>
      <c r="Z834" s="315" t="str">
        <f t="shared" ca="1" si="371"/>
        <v/>
      </c>
      <c r="AA834" s="316" t="str">
        <f t="shared" ca="1" si="372"/>
        <v/>
      </c>
      <c r="AC834" s="310">
        <f t="shared" ca="1" si="373"/>
        <v>10.999999999999863</v>
      </c>
      <c r="AD834" s="323">
        <f t="shared" ca="1" si="374"/>
        <v>1222.4066845051693</v>
      </c>
      <c r="AE834" s="324">
        <f t="shared" ca="1" si="353"/>
        <v>3194.2925706318615</v>
      </c>
      <c r="AG834" s="306">
        <f t="shared" ca="1" si="375"/>
        <v>-34.458528548949815</v>
      </c>
      <c r="AH834" s="304">
        <f t="shared" ca="1" si="376"/>
        <v>-25.484485870836192</v>
      </c>
    </row>
    <row r="835" spans="1:34" x14ac:dyDescent="0.2">
      <c r="A835" s="347">
        <f t="shared" ca="1" si="354"/>
        <v>0.1</v>
      </c>
      <c r="B835" s="304">
        <f t="shared" ca="1" si="355"/>
        <v>11.099999999999863</v>
      </c>
      <c r="D835" s="306">
        <f t="shared" ca="1" si="356"/>
        <v>-10.016609664695022</v>
      </c>
      <c r="E835" s="307">
        <f t="shared" ca="1" si="357"/>
        <v>-32.39184208676533</v>
      </c>
      <c r="F835" s="304">
        <f t="shared" ca="1" si="358"/>
        <v>33.905219405702177</v>
      </c>
      <c r="G835" s="306">
        <f t="shared" ca="1" si="359"/>
        <v>95.055198144583571</v>
      </c>
      <c r="H835" s="307">
        <f t="shared" ca="1" si="360"/>
        <v>213.3152085857152</v>
      </c>
      <c r="I835" s="304">
        <f t="shared" ca="1" si="361"/>
        <v>233.53558381598558</v>
      </c>
      <c r="J835" s="306">
        <f t="shared" ca="1" si="362"/>
        <v>1231.9622873679511</v>
      </c>
      <c r="K835" s="307">
        <f t="shared" ca="1" si="363"/>
        <v>3215.7860507008668</v>
      </c>
      <c r="L835" s="304">
        <f t="shared" ca="1" si="348"/>
        <v>3443.6914788318581</v>
      </c>
      <c r="M835" s="306">
        <f t="shared" ca="1" si="364"/>
        <v>1.151599870175831</v>
      </c>
      <c r="N835" s="304">
        <f t="shared" ca="1" si="365"/>
        <v>65.981812248888644</v>
      </c>
      <c r="P835" s="310">
        <f t="shared" ca="1" si="366"/>
        <v>23</v>
      </c>
      <c r="Q835" s="304">
        <f t="shared" ca="1" si="367"/>
        <v>0</v>
      </c>
      <c r="R835" s="306">
        <f t="shared" ca="1" si="368"/>
        <v>0</v>
      </c>
      <c r="S835" s="307">
        <f t="shared" ca="1" si="369"/>
        <v>11.416040186296438</v>
      </c>
      <c r="T835" s="304">
        <f t="shared" ca="1" si="349"/>
        <v>111.99135422756807</v>
      </c>
      <c r="U835" s="311">
        <f t="shared" ca="1" si="350"/>
        <v>0</v>
      </c>
      <c r="V835" s="306">
        <f t="shared" ca="1" si="351"/>
        <v>0.8856328208310108</v>
      </c>
      <c r="W835" s="304">
        <f t="shared" ca="1" si="352"/>
        <v>273.45543196150658</v>
      </c>
      <c r="Y835" s="314" t="str">
        <f t="shared" ca="1" si="370"/>
        <v/>
      </c>
      <c r="Z835" s="315" t="str">
        <f t="shared" ca="1" si="371"/>
        <v/>
      </c>
      <c r="AA835" s="316" t="str">
        <f t="shared" ca="1" si="372"/>
        <v/>
      </c>
      <c r="AC835" s="310" t="e">
        <f t="shared" ca="1" si="373"/>
        <v>#N/A</v>
      </c>
      <c r="AD835" s="323" t="e">
        <f t="shared" ca="1" si="374"/>
        <v>#N/A</v>
      </c>
      <c r="AE835" s="324">
        <f t="shared" ca="1" si="353"/>
        <v>3215.7860507008668</v>
      </c>
      <c r="AG835" s="306">
        <f t="shared" ca="1" si="375"/>
        <v>-33.671086973387816</v>
      </c>
      <c r="AH835" s="304">
        <f t="shared" ca="1" si="376"/>
        <v>-24.703685174614488</v>
      </c>
    </row>
    <row r="836" spans="1:34" x14ac:dyDescent="0.2">
      <c r="A836" s="347">
        <f t="shared" ca="1" si="354"/>
        <v>0.1</v>
      </c>
      <c r="B836" s="304">
        <f t="shared" ca="1" si="355"/>
        <v>11.199999999999863</v>
      </c>
      <c r="D836" s="306">
        <f t="shared" ca="1" si="356"/>
        <v>-9.7497588469497423</v>
      </c>
      <c r="E836" s="307">
        <f t="shared" ca="1" si="357"/>
        <v>-31.689622395127429</v>
      </c>
      <c r="F836" s="304">
        <f t="shared" ca="1" si="358"/>
        <v>33.155541997069463</v>
      </c>
      <c r="G836" s="306">
        <f t="shared" ca="1" si="359"/>
        <v>94.0802222598886</v>
      </c>
      <c r="H836" s="307">
        <f t="shared" ca="1" si="360"/>
        <v>210.14624634620245</v>
      </c>
      <c r="I836" s="304">
        <f t="shared" ca="1" si="361"/>
        <v>230.24450715243751</v>
      </c>
      <c r="J836" s="306">
        <f t="shared" ca="1" si="362"/>
        <v>1241.4190583881748</v>
      </c>
      <c r="K836" s="307">
        <f t="shared" ca="1" si="363"/>
        <v>3236.9591234474628</v>
      </c>
      <c r="L836" s="304">
        <f t="shared" ref="L836:L899" ca="1" si="377">SQRT(pos_x^2+pos_z^2)</f>
        <v>3466.8466429017521</v>
      </c>
      <c r="M836" s="306">
        <f t="shared" ca="1" si="364"/>
        <v>1.149865655908038</v>
      </c>
      <c r="N836" s="304">
        <f t="shared" ca="1" si="365"/>
        <v>65.882449090572734</v>
      </c>
      <c r="P836" s="310">
        <f t="shared" ca="1" si="366"/>
        <v>23</v>
      </c>
      <c r="Q836" s="304">
        <f t="shared" ca="1" si="367"/>
        <v>0</v>
      </c>
      <c r="R836" s="306">
        <f t="shared" ca="1" si="368"/>
        <v>0</v>
      </c>
      <c r="S836" s="307">
        <f t="shared" ca="1" si="369"/>
        <v>11.416040186296438</v>
      </c>
      <c r="T836" s="304">
        <f t="shared" ref="T836:T899" ca="1" si="378">m*g</f>
        <v>111.99135422756807</v>
      </c>
      <c r="U836" s="311">
        <f t="shared" ref="U836:U899" ca="1" si="379">IF(pos_xz&lt;L_rampe,Poids*COS(Beta),0)</f>
        <v>0</v>
      </c>
      <c r="V836" s="306">
        <f t="shared" ref="V836:V899" ca="1" si="380">Rho_moyen*(20000-Alt_rampe-pos_z)/(20000+Alt_rampe+pos_z)</f>
        <v>0.88370965257050815</v>
      </c>
      <c r="W836" s="304">
        <f t="shared" ref="W836:W899" ca="1" si="381">1/2*Rho*Sref*Cx*vit_xz^2</f>
        <v>265.22525783727656</v>
      </c>
      <c r="Y836" s="314" t="str">
        <f t="shared" ca="1" si="370"/>
        <v/>
      </c>
      <c r="Z836" s="315" t="str">
        <f t="shared" ca="1" si="371"/>
        <v/>
      </c>
      <c r="AA836" s="316" t="str">
        <f t="shared" ca="1" si="372"/>
        <v/>
      </c>
      <c r="AC836" s="310" t="e">
        <f t="shared" ca="1" si="373"/>
        <v>#N/A</v>
      </c>
      <c r="AD836" s="323" t="e">
        <f t="shared" ca="1" si="374"/>
        <v>#N/A</v>
      </c>
      <c r="AE836" s="324">
        <f t="shared" ref="AE836:AE899" ca="1" si="382">IF(t&lt;T_para, pos_z, NA())</f>
        <v>3236.9591234474628</v>
      </c>
      <c r="AG836" s="306">
        <f t="shared" ca="1" si="375"/>
        <v>-32.914228935383861</v>
      </c>
      <c r="AH836" s="304">
        <f t="shared" ca="1" si="376"/>
        <v>-23.953615045062335</v>
      </c>
    </row>
    <row r="837" spans="1:34" x14ac:dyDescent="0.2">
      <c r="A837" s="347">
        <f t="shared" ref="A837:A900" ca="1" si="383">IF(B836+0.01&lt;=T_ini+ROUNDUP(Temps_fin_propu,0), 0.01, IF(K836&gt;0, 0.1, 0.0001))</f>
        <v>0.1</v>
      </c>
      <c r="B837" s="304">
        <f t="shared" ref="B837:B900" ca="1" si="384">B836+pas</f>
        <v>11.299999999999862</v>
      </c>
      <c r="D837" s="306">
        <f t="shared" ref="D837:D900" ca="1" si="385">IF(AND(L836&lt;L_rampe,Poussee&lt;Poids*SIN(M836)),0,(-W836+Poussee)/m*COS(M836)-U836/m*SIN(M836))</f>
        <v>-9.4931085722291542</v>
      </c>
      <c r="E837" s="307">
        <f t="shared" ref="E837:E900" ca="1" si="386">IF(AND(L836&lt;L_rampe,Poussee&lt;Poids*SIN(M836)),0,(-W836+Poussee)/m*SIN(M836)+U836/m*COS(M836)-Poids/m)</f>
        <v>-31.014681331428612</v>
      </c>
      <c r="F837" s="304">
        <f t="shared" ref="F837:F900" ca="1" si="387">SQRT(acc_x^2+acc_z^2)</f>
        <v>32.435005294499291</v>
      </c>
      <c r="G837" s="306">
        <f t="shared" ref="G837:G900" ca="1" si="388">G836+acc_x*pas</f>
        <v>93.130911402665689</v>
      </c>
      <c r="H837" s="307">
        <f t="shared" ref="H837:H900" ca="1" si="389">H836+acc_z*pas</f>
        <v>207.04477821305957</v>
      </c>
      <c r="I837" s="304">
        <f t="shared" ref="I837:I900" ca="1" si="390">SQRT(vit_x^2+vit_z^2)</f>
        <v>227.02622501373315</v>
      </c>
      <c r="J837" s="306">
        <f t="shared" ref="J837:J900" ca="1" si="391">J836+0.5*(vit_x+G836)*pas*(K836&gt;=0)</f>
        <v>1250.7796150713025</v>
      </c>
      <c r="K837" s="307">
        <f t="shared" ref="K837:K900" ca="1" si="392">K836+0.5*(vit_z+H836)*pas</f>
        <v>3257.8186746754259</v>
      </c>
      <c r="L837" s="304">
        <f t="shared" ca="1" si="377"/>
        <v>3489.6750797949462</v>
      </c>
      <c r="M837" s="306">
        <f t="shared" ref="M837:M900" ca="1" si="393">IF(AND(L836&gt;L_rampe,G837&gt;0),ATAN2(G837,H837),$M$4)</f>
        <v>1.1481000154904293</v>
      </c>
      <c r="N837" s="304">
        <f t="shared" ref="N837:N900" ca="1" si="394">DEGREES(Beta)</f>
        <v>65.781285346506039</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11.416040186296438</v>
      </c>
      <c r="T837" s="304">
        <f t="shared" ca="1" si="378"/>
        <v>111.99135422756807</v>
      </c>
      <c r="U837" s="311">
        <f t="shared" ca="1" si="379"/>
        <v>0</v>
      </c>
      <c r="V837" s="306">
        <f t="shared" ca="1" si="380"/>
        <v>0.88181838591141315</v>
      </c>
      <c r="W837" s="304">
        <f t="shared" ca="1" si="381"/>
        <v>257.31074978344418</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f t="shared" ca="1" si="382"/>
        <v>3257.8186746754259</v>
      </c>
      <c r="AG837" s="306">
        <f t="shared" ref="AG837:AG900" ca="1" si="404">IF(AND(L836&lt;L_rampe,Poussee&lt;Poids*SIN(M836)),0,(-W836+Poussee)/m-Poids*SIN(M836)/m)</f>
        <v>-32.186360141610358</v>
      </c>
      <c r="AH837" s="304">
        <f t="shared" ref="AH837:AH900" ca="1" si="405">IF(AND(L836&lt;L_rampe,Poussee&lt;Poids*SIN(M836)), g*SIN(M836), (-W836+Poussee)/m)</f>
        <v>-23.232684320404466</v>
      </c>
    </row>
    <row r="838" spans="1:34" x14ac:dyDescent="0.2">
      <c r="A838" s="347">
        <f t="shared" ca="1" si="383"/>
        <v>0.1</v>
      </c>
      <c r="B838" s="304">
        <f t="shared" ca="1" si="384"/>
        <v>11.399999999999862</v>
      </c>
      <c r="D838" s="306">
        <f t="shared" ca="1" si="385"/>
        <v>-9.2461357786947165</v>
      </c>
      <c r="E838" s="307">
        <f t="shared" ca="1" si="386"/>
        <v>-30.365625439448749</v>
      </c>
      <c r="F838" s="304">
        <f t="shared" ca="1" si="387"/>
        <v>31.742120835995753</v>
      </c>
      <c r="G838" s="306">
        <f t="shared" ca="1" si="388"/>
        <v>92.206297824796223</v>
      </c>
      <c r="H838" s="307">
        <f t="shared" ca="1" si="389"/>
        <v>204.00821566911469</v>
      </c>
      <c r="I838" s="304">
        <f t="shared" ca="1" si="390"/>
        <v>223.87798779480539</v>
      </c>
      <c r="J838" s="306">
        <f t="shared" ca="1" si="391"/>
        <v>1260.0464755326757</v>
      </c>
      <c r="K838" s="307">
        <f t="shared" ca="1" si="392"/>
        <v>3278.3713243695347</v>
      </c>
      <c r="L838" s="304">
        <f t="shared" ca="1" si="377"/>
        <v>3512.1838876902179</v>
      </c>
      <c r="M838" s="306">
        <f t="shared" ca="1" si="393"/>
        <v>1.1463024874587511</v>
      </c>
      <c r="N838" s="304">
        <f t="shared" ca="1" si="394"/>
        <v>65.678294576734416</v>
      </c>
      <c r="P838" s="310">
        <f t="shared" ca="1" si="395"/>
        <v>23</v>
      </c>
      <c r="Q838" s="304">
        <f t="shared" ca="1" si="396"/>
        <v>0</v>
      </c>
      <c r="R838" s="306">
        <f t="shared" ca="1" si="397"/>
        <v>0</v>
      </c>
      <c r="S838" s="307">
        <f t="shared" ca="1" si="398"/>
        <v>11.416040186296438</v>
      </c>
      <c r="T838" s="304">
        <f t="shared" ca="1" si="378"/>
        <v>111.99135422756807</v>
      </c>
      <c r="U838" s="311">
        <f t="shared" ca="1" si="379"/>
        <v>0</v>
      </c>
      <c r="V838" s="306">
        <f t="shared" ca="1" si="380"/>
        <v>0.87995826006105282</v>
      </c>
      <c r="W838" s="304">
        <f t="shared" ca="1" si="381"/>
        <v>249.69600108193293</v>
      </c>
      <c r="Y838" s="314" t="str">
        <f t="shared" ca="1" si="399"/>
        <v/>
      </c>
      <c r="Z838" s="315" t="str">
        <f t="shared" ca="1" si="400"/>
        <v/>
      </c>
      <c r="AA838" s="316" t="str">
        <f t="shared" ca="1" si="401"/>
        <v/>
      </c>
      <c r="AC838" s="310" t="e">
        <f t="shared" ca="1" si="402"/>
        <v>#N/A</v>
      </c>
      <c r="AD838" s="323" t="e">
        <f t="shared" ca="1" si="403"/>
        <v>#N/A</v>
      </c>
      <c r="AE838" s="324">
        <f t="shared" ca="1" si="382"/>
        <v>3278.3713243695347</v>
      </c>
      <c r="AG838" s="306">
        <f t="shared" ca="1" si="404"/>
        <v>-31.485989056998761</v>
      </c>
      <c r="AH838" s="304">
        <f t="shared" ca="1" si="405"/>
        <v>-22.539404695886958</v>
      </c>
    </row>
    <row r="839" spans="1:34" x14ac:dyDescent="0.2">
      <c r="A839" s="347">
        <f t="shared" ca="1" si="383"/>
        <v>0.1</v>
      </c>
      <c r="B839" s="304">
        <f t="shared" ca="1" si="384"/>
        <v>11.499999999999861</v>
      </c>
      <c r="D839" s="306">
        <f t="shared" ca="1" si="385"/>
        <v>-9.0083507673160117</v>
      </c>
      <c r="E839" s="307">
        <f t="shared" ca="1" si="386"/>
        <v>-29.741150143926752</v>
      </c>
      <c r="F839" s="304">
        <f t="shared" ca="1" si="387"/>
        <v>31.075495095502458</v>
      </c>
      <c r="G839" s="306">
        <f t="shared" ca="1" si="388"/>
        <v>91.305462748064627</v>
      </c>
      <c r="H839" s="307">
        <f t="shared" ca="1" si="389"/>
        <v>201.03410065472201</v>
      </c>
      <c r="I839" s="304">
        <f t="shared" ca="1" si="390"/>
        <v>220.79718556560255</v>
      </c>
      <c r="J839" s="306">
        <f t="shared" ca="1" si="391"/>
        <v>1269.2220635613187</v>
      </c>
      <c r="K839" s="307">
        <f t="shared" ca="1" si="392"/>
        <v>3298.6234401857264</v>
      </c>
      <c r="L839" s="304">
        <f t="shared" ca="1" si="377"/>
        <v>3534.3798956498108</v>
      </c>
      <c r="M839" s="306">
        <f t="shared" ca="1" si="393"/>
        <v>1.1444725977838335</v>
      </c>
      <c r="N839" s="304">
        <f t="shared" ca="1" si="394"/>
        <v>65.57344962138707</v>
      </c>
      <c r="P839" s="310">
        <f t="shared" ca="1" si="395"/>
        <v>23</v>
      </c>
      <c r="Q839" s="304">
        <f t="shared" ca="1" si="396"/>
        <v>0</v>
      </c>
      <c r="R839" s="306">
        <f t="shared" ca="1" si="397"/>
        <v>0</v>
      </c>
      <c r="S839" s="307">
        <f t="shared" ca="1" si="398"/>
        <v>11.416040186296438</v>
      </c>
      <c r="T839" s="304">
        <f t="shared" ca="1" si="378"/>
        <v>111.99135422756807</v>
      </c>
      <c r="U839" s="311">
        <f t="shared" ca="1" si="379"/>
        <v>0</v>
      </c>
      <c r="V839" s="306">
        <f t="shared" ca="1" si="380"/>
        <v>0.87812854430207476</v>
      </c>
      <c r="W839" s="304">
        <f t="shared" ca="1" si="381"/>
        <v>242.36610650247505</v>
      </c>
      <c r="Y839" s="314" t="str">
        <f t="shared" ca="1" si="399"/>
        <v/>
      </c>
      <c r="Z839" s="315" t="str">
        <f t="shared" ca="1" si="400"/>
        <v/>
      </c>
      <c r="AA839" s="316" t="str">
        <f t="shared" ca="1" si="401"/>
        <v/>
      </c>
      <c r="AC839" s="310" t="e">
        <f t="shared" ca="1" si="402"/>
        <v>#N/A</v>
      </c>
      <c r="AD839" s="323" t="e">
        <f t="shared" ca="1" si="403"/>
        <v>#N/A</v>
      </c>
      <c r="AE839" s="324">
        <f t="shared" ca="1" si="382"/>
        <v>3298.6234401857264</v>
      </c>
      <c r="AG839" s="306">
        <f t="shared" ca="1" si="404"/>
        <v>-30.811718983705983</v>
      </c>
      <c r="AH839" s="304">
        <f t="shared" ca="1" si="405"/>
        <v>-21.872382805875411</v>
      </c>
    </row>
    <row r="840" spans="1:34" x14ac:dyDescent="0.2">
      <c r="A840" s="347">
        <f t="shared" ca="1" si="383"/>
        <v>0.1</v>
      </c>
      <c r="B840" s="304">
        <f t="shared" ca="1" si="384"/>
        <v>11.599999999999861</v>
      </c>
      <c r="D840" s="306">
        <f t="shared" ca="1" si="385"/>
        <v>-8.7792946671851553</v>
      </c>
      <c r="E840" s="307">
        <f t="shared" ca="1" si="386"/>
        <v>-29.140032997809598</v>
      </c>
      <c r="F840" s="304">
        <f t="shared" ca="1" si="387"/>
        <v>30.433822270078039</v>
      </c>
      <c r="G840" s="306">
        <f t="shared" ca="1" si="388"/>
        <v>90.427533281346115</v>
      </c>
      <c r="H840" s="307">
        <f t="shared" ca="1" si="389"/>
        <v>198.12009735494104</v>
      </c>
      <c r="I840" s="304">
        <f t="shared" ca="1" si="390"/>
        <v>217.7813393091343</v>
      </c>
      <c r="J840" s="306">
        <f t="shared" ca="1" si="391"/>
        <v>1278.3087133627891</v>
      </c>
      <c r="K840" s="307">
        <f t="shared" ca="1" si="392"/>
        <v>3318.5811500862096</v>
      </c>
      <c r="L840" s="304">
        <f t="shared" ca="1" si="377"/>
        <v>3556.2696771148753</v>
      </c>
      <c r="M840" s="306">
        <f t="shared" ca="1" si="393"/>
        <v>1.1426098595756435</v>
      </c>
      <c r="N840" s="304">
        <f t="shared" ca="1" si="394"/>
        <v>65.466722583720028</v>
      </c>
      <c r="P840" s="310">
        <f t="shared" ca="1" si="395"/>
        <v>23</v>
      </c>
      <c r="Q840" s="304">
        <f t="shared" ca="1" si="396"/>
        <v>0</v>
      </c>
      <c r="R840" s="306">
        <f t="shared" ca="1" si="397"/>
        <v>0</v>
      </c>
      <c r="S840" s="307">
        <f t="shared" ca="1" si="398"/>
        <v>11.416040186296438</v>
      </c>
      <c r="T840" s="304">
        <f t="shared" ca="1" si="378"/>
        <v>111.99135422756807</v>
      </c>
      <c r="U840" s="311">
        <f t="shared" ca="1" si="379"/>
        <v>0</v>
      </c>
      <c r="V840" s="306">
        <f t="shared" ca="1" si="380"/>
        <v>0.8763285364413711</v>
      </c>
      <c r="W840" s="304">
        <f t="shared" ca="1" si="381"/>
        <v>235.30708720002596</v>
      </c>
      <c r="Y840" s="314" t="str">
        <f t="shared" ca="1" si="399"/>
        <v/>
      </c>
      <c r="Z840" s="315" t="str">
        <f t="shared" ca="1" si="400"/>
        <v/>
      </c>
      <c r="AA840" s="316" t="str">
        <f t="shared" ca="1" si="401"/>
        <v/>
      </c>
      <c r="AC840" s="310" t="e">
        <f t="shared" ca="1" si="402"/>
        <v>#N/A</v>
      </c>
      <c r="AD840" s="323" t="e">
        <f t="shared" ca="1" si="403"/>
        <v>#N/A</v>
      </c>
      <c r="AE840" s="324">
        <f t="shared" ca="1" si="382"/>
        <v>3318.5811500862096</v>
      </c>
      <c r="AG840" s="306">
        <f t="shared" ca="1" si="404"/>
        <v>-30.162240845111739</v>
      </c>
      <c r="AH840" s="304">
        <f t="shared" ca="1" si="405"/>
        <v>-21.230313011109224</v>
      </c>
    </row>
    <row r="841" spans="1:34" x14ac:dyDescent="0.2">
      <c r="A841" s="347">
        <f t="shared" ca="1" si="383"/>
        <v>0.1</v>
      </c>
      <c r="B841" s="304">
        <f t="shared" ca="1" si="384"/>
        <v>11.699999999999861</v>
      </c>
      <c r="D841" s="306">
        <f t="shared" ca="1" si="385"/>
        <v>-8.5585371236744407</v>
      </c>
      <c r="E841" s="307">
        <f t="shared" ca="1" si="386"/>
        <v>-28.561127523104055</v>
      </c>
      <c r="F841" s="304">
        <f t="shared" ca="1" si="387"/>
        <v>29.815877701123028</v>
      </c>
      <c r="G841" s="306">
        <f t="shared" ca="1" si="388"/>
        <v>89.571679568978666</v>
      </c>
      <c r="H841" s="307">
        <f t="shared" ca="1" si="389"/>
        <v>195.26398460263064</v>
      </c>
      <c r="I841" s="304">
        <f t="shared" ca="1" si="390"/>
        <v>214.82809281773223</v>
      </c>
      <c r="J841" s="306">
        <f t="shared" ca="1" si="391"/>
        <v>1287.3086740053054</v>
      </c>
      <c r="K841" s="307">
        <f t="shared" ca="1" si="392"/>
        <v>3338.2503541840883</v>
      </c>
      <c r="L841" s="304">
        <f t="shared" ca="1" si="377"/>
        <v>3577.8595625568491</v>
      </c>
      <c r="M841" s="306">
        <f t="shared" ca="1" si="393"/>
        <v>1.1407137727768484</v>
      </c>
      <c r="N841" s="304">
        <f t="shared" ca="1" si="394"/>
        <v>65.358084812558587</v>
      </c>
      <c r="P841" s="310">
        <f t="shared" ca="1" si="395"/>
        <v>23</v>
      </c>
      <c r="Q841" s="304">
        <f t="shared" ca="1" si="396"/>
        <v>0</v>
      </c>
      <c r="R841" s="306">
        <f t="shared" ca="1" si="397"/>
        <v>0</v>
      </c>
      <c r="S841" s="307">
        <f t="shared" ca="1" si="398"/>
        <v>11.416040186296438</v>
      </c>
      <c r="T841" s="304">
        <f t="shared" ca="1" si="378"/>
        <v>111.99135422756807</v>
      </c>
      <c r="U841" s="311">
        <f t="shared" ca="1" si="379"/>
        <v>0</v>
      </c>
      <c r="V841" s="306">
        <f t="shared" ca="1" si="380"/>
        <v>0.87455756135829033</v>
      </c>
      <c r="W841" s="304">
        <f t="shared" ca="1" si="381"/>
        <v>228.50582213007354</v>
      </c>
      <c r="Y841" s="314" t="str">
        <f t="shared" ca="1" si="399"/>
        <v/>
      </c>
      <c r="Z841" s="315" t="str">
        <f t="shared" ca="1" si="400"/>
        <v/>
      </c>
      <c r="AA841" s="316" t="str">
        <f t="shared" ca="1" si="401"/>
        <v/>
      </c>
      <c r="AC841" s="310" t="e">
        <f t="shared" ca="1" si="402"/>
        <v>#N/A</v>
      </c>
      <c r="AD841" s="323" t="e">
        <f t="shared" ca="1" si="403"/>
        <v>#N/A</v>
      </c>
      <c r="AE841" s="324">
        <f t="shared" ca="1" si="382"/>
        <v>3338.2503541840883</v>
      </c>
      <c r="AG841" s="306">
        <f t="shared" ca="1" si="404"/>
        <v>-29.536326603742104</v>
      </c>
      <c r="AH841" s="304">
        <f t="shared" ca="1" si="405"/>
        <v>-20.611970820011948</v>
      </c>
    </row>
    <row r="842" spans="1:34" x14ac:dyDescent="0.2">
      <c r="A842" s="347">
        <f t="shared" ca="1" si="383"/>
        <v>0.1</v>
      </c>
      <c r="B842" s="304">
        <f t="shared" ca="1" si="384"/>
        <v>11.79999999999986</v>
      </c>
      <c r="D842" s="306">
        <f t="shared" ca="1" si="385"/>
        <v>-8.3456741872553835</v>
      </c>
      <c r="E842" s="307">
        <f t="shared" ca="1" si="386"/>
        <v>-28.003357586243027</v>
      </c>
      <c r="F842" s="304">
        <f t="shared" ca="1" si="387"/>
        <v>29.220511866543607</v>
      </c>
      <c r="G842" s="306">
        <f t="shared" ca="1" si="388"/>
        <v>88.737112150253125</v>
      </c>
      <c r="H842" s="307">
        <f t="shared" ca="1" si="389"/>
        <v>192.46364884400634</v>
      </c>
      <c r="I842" s="304">
        <f t="shared" ca="1" si="390"/>
        <v>211.93520519044395</v>
      </c>
      <c r="J842" s="306">
        <f t="shared" ca="1" si="391"/>
        <v>1296.224113591267</v>
      </c>
      <c r="K842" s="307">
        <f t="shared" ca="1" si="392"/>
        <v>3357.6367358564203</v>
      </c>
      <c r="L842" s="304">
        <f t="shared" ca="1" si="377"/>
        <v>3599.1556513476912</v>
      </c>
      <c r="M842" s="306">
        <f t="shared" ca="1" si="393"/>
        <v>1.1387838238456383</v>
      </c>
      <c r="N842" s="304">
        <f t="shared" ca="1" si="394"/>
        <v>65.247506884124462</v>
      </c>
      <c r="P842" s="310">
        <f t="shared" ca="1" si="395"/>
        <v>23</v>
      </c>
      <c r="Q842" s="304">
        <f t="shared" ca="1" si="396"/>
        <v>0</v>
      </c>
      <c r="R842" s="306">
        <f t="shared" ca="1" si="397"/>
        <v>0</v>
      </c>
      <c r="S842" s="307">
        <f t="shared" ca="1" si="398"/>
        <v>11.416040186296438</v>
      </c>
      <c r="T842" s="304">
        <f t="shared" ca="1" si="378"/>
        <v>111.99135422756807</v>
      </c>
      <c r="U842" s="311">
        <f t="shared" ca="1" si="379"/>
        <v>0</v>
      </c>
      <c r="V842" s="306">
        <f t="shared" ca="1" si="380"/>
        <v>0.87281496964459027</v>
      </c>
      <c r="W842" s="304">
        <f t="shared" ca="1" si="381"/>
        <v>221.94998534122522</v>
      </c>
      <c r="Y842" s="314" t="str">
        <f t="shared" ca="1" si="399"/>
        <v/>
      </c>
      <c r="Z842" s="315" t="str">
        <f t="shared" ca="1" si="400"/>
        <v/>
      </c>
      <c r="AA842" s="316" t="str">
        <f t="shared" ca="1" si="401"/>
        <v/>
      </c>
      <c r="AC842" s="310" t="e">
        <f t="shared" ca="1" si="402"/>
        <v>#N/A</v>
      </c>
      <c r="AD842" s="323" t="e">
        <f t="shared" ca="1" si="403"/>
        <v>#N/A</v>
      </c>
      <c r="AE842" s="324">
        <f t="shared" ca="1" si="382"/>
        <v>3357.6367358564203</v>
      </c>
      <c r="AG842" s="306">
        <f t="shared" ca="1" si="404"/>
        <v>-28.932823250000062</v>
      </c>
      <c r="AH842" s="304">
        <f t="shared" ca="1" si="405"/>
        <v>-20.016206880943436</v>
      </c>
    </row>
    <row r="843" spans="1:34" x14ac:dyDescent="0.2">
      <c r="A843" s="347">
        <f t="shared" ca="1" si="383"/>
        <v>0.1</v>
      </c>
      <c r="B843" s="304">
        <f t="shared" ca="1" si="384"/>
        <v>11.89999999999986</v>
      </c>
      <c r="D843" s="306">
        <f t="shared" ca="1" si="385"/>
        <v>-8.1403263832569603</v>
      </c>
      <c r="E843" s="307">
        <f t="shared" ca="1" si="386"/>
        <v>-27.465712255430873</v>
      </c>
      <c r="F843" s="304">
        <f t="shared" ca="1" si="387"/>
        <v>28.646644887736418</v>
      </c>
      <c r="G843" s="306">
        <f t="shared" ca="1" si="388"/>
        <v>87.923079511927426</v>
      </c>
      <c r="H843" s="307">
        <f t="shared" ca="1" si="389"/>
        <v>189.71707761846326</v>
      </c>
      <c r="I843" s="304">
        <f t="shared" ca="1" si="390"/>
        <v>209.10054388009306</v>
      </c>
      <c r="J843" s="306">
        <f t="shared" ca="1" si="391"/>
        <v>1305.0571231743761</v>
      </c>
      <c r="K843" s="307">
        <f t="shared" ca="1" si="392"/>
        <v>3376.7457721795436</v>
      </c>
      <c r="L843" s="304">
        <f t="shared" ca="1" si="377"/>
        <v>3620.1638229064442</v>
      </c>
      <c r="M843" s="306">
        <f t="shared" ca="1" si="393"/>
        <v>1.1368194854275451</v>
      </c>
      <c r="N843" s="304">
        <f t="shared" ca="1" si="394"/>
        <v>65.134958583232319</v>
      </c>
      <c r="P843" s="310">
        <f t="shared" ca="1" si="395"/>
        <v>23</v>
      </c>
      <c r="Q843" s="304">
        <f t="shared" ca="1" si="396"/>
        <v>0</v>
      </c>
      <c r="R843" s="306">
        <f t="shared" ca="1" si="397"/>
        <v>0</v>
      </c>
      <c r="S843" s="307">
        <f t="shared" ca="1" si="398"/>
        <v>11.416040186296438</v>
      </c>
      <c r="T843" s="304">
        <f t="shared" ca="1" si="378"/>
        <v>111.99135422756807</v>
      </c>
      <c r="U843" s="311">
        <f t="shared" ca="1" si="379"/>
        <v>0</v>
      </c>
      <c r="V843" s="306">
        <f t="shared" ca="1" si="380"/>
        <v>0.87110013632926042</v>
      </c>
      <c r="W843" s="304">
        <f t="shared" ca="1" si="381"/>
        <v>215.6279885746184</v>
      </c>
      <c r="Y843" s="314" t="str">
        <f t="shared" ca="1" si="399"/>
        <v/>
      </c>
      <c r="Z843" s="315" t="str">
        <f t="shared" ca="1" si="400"/>
        <v/>
      </c>
      <c r="AA843" s="316" t="str">
        <f t="shared" ca="1" si="401"/>
        <v/>
      </c>
      <c r="AC843" s="310" t="e">
        <f t="shared" ca="1" si="402"/>
        <v>#N/A</v>
      </c>
      <c r="AD843" s="323" t="e">
        <f t="shared" ca="1" si="403"/>
        <v>#N/A</v>
      </c>
      <c r="AE843" s="324">
        <f t="shared" ca="1" si="382"/>
        <v>3376.7457721795436</v>
      </c>
      <c r="AG843" s="306">
        <f t="shared" ca="1" si="404"/>
        <v>-28.35064730558237</v>
      </c>
      <c r="AH843" s="304">
        <f t="shared" ca="1" si="405"/>
        <v>-19.44194148927831</v>
      </c>
    </row>
    <row r="844" spans="1:34" x14ac:dyDescent="0.2">
      <c r="A844" s="347">
        <f t="shared" ca="1" si="383"/>
        <v>0.1</v>
      </c>
      <c r="B844" s="304">
        <f t="shared" ca="1" si="384"/>
        <v>11.99999999999986</v>
      </c>
      <c r="D844" s="306">
        <f t="shared" ca="1" si="385"/>
        <v>-7.9421369450011854</v>
      </c>
      <c r="E844" s="307">
        <f t="shared" ca="1" si="386"/>
        <v>-26.947241093185909</v>
      </c>
      <c r="F844" s="304">
        <f t="shared" ca="1" si="387"/>
        <v>28.093261501424855</v>
      </c>
      <c r="G844" s="306">
        <f t="shared" ca="1" si="388"/>
        <v>87.128865817427311</v>
      </c>
      <c r="H844" s="307">
        <f t="shared" ca="1" si="389"/>
        <v>187.02235350914466</v>
      </c>
      <c r="I844" s="304">
        <f t="shared" ca="1" si="390"/>
        <v>206.32207824353344</v>
      </c>
      <c r="J844" s="306">
        <f t="shared" ca="1" si="391"/>
        <v>1313.8097204408439</v>
      </c>
      <c r="K844" s="307">
        <f t="shared" ca="1" si="392"/>
        <v>3395.5827437359239</v>
      </c>
      <c r="L844" s="304">
        <f t="shared" ca="1" si="377"/>
        <v>3640.8897471747255</v>
      </c>
      <c r="M844" s="306">
        <f t="shared" ca="1" si="393"/>
        <v>1.1348202160159861</v>
      </c>
      <c r="N844" s="304">
        <f t="shared" ca="1" si="394"/>
        <v>65.020408883840389</v>
      </c>
      <c r="P844" s="310">
        <f t="shared" ca="1" si="395"/>
        <v>23</v>
      </c>
      <c r="Q844" s="304">
        <f t="shared" ca="1" si="396"/>
        <v>0</v>
      </c>
      <c r="R844" s="306">
        <f t="shared" ca="1" si="397"/>
        <v>0</v>
      </c>
      <c r="S844" s="307">
        <f t="shared" ca="1" si="398"/>
        <v>11.416040186296438</v>
      </c>
      <c r="T844" s="304">
        <f t="shared" ca="1" si="378"/>
        <v>111.99135422756807</v>
      </c>
      <c r="U844" s="311">
        <f t="shared" ca="1" si="379"/>
        <v>0</v>
      </c>
      <c r="V844" s="306">
        <f t="shared" ca="1" si="380"/>
        <v>0.86941245968192682</v>
      </c>
      <c r="W844" s="304">
        <f t="shared" ca="1" si="381"/>
        <v>209.52892866139734</v>
      </c>
      <c r="Y844" s="314" t="str">
        <f t="shared" ca="1" si="399"/>
        <v/>
      </c>
      <c r="Z844" s="315" t="str">
        <f t="shared" ca="1" si="400"/>
        <v/>
      </c>
      <c r="AA844" s="316" t="str">
        <f t="shared" ca="1" si="401"/>
        <v/>
      </c>
      <c r="AC844" s="310">
        <f t="shared" ca="1" si="402"/>
        <v>11.99999999999986</v>
      </c>
      <c r="AD844" s="323">
        <f t="shared" ca="1" si="403"/>
        <v>1313.8097204408439</v>
      </c>
      <c r="AE844" s="324">
        <f t="shared" ca="1" si="382"/>
        <v>3395.5827437359239</v>
      </c>
      <c r="AG844" s="306">
        <f t="shared" ca="1" si="404"/>
        <v>-27.788779791607894</v>
      </c>
      <c r="AH844" s="304">
        <f t="shared" ca="1" si="405"/>
        <v>-18.888159559341204</v>
      </c>
    </row>
    <row r="845" spans="1:34" x14ac:dyDescent="0.2">
      <c r="A845" s="347">
        <f t="shared" ca="1" si="383"/>
        <v>0.1</v>
      </c>
      <c r="B845" s="304">
        <f t="shared" ca="1" si="384"/>
        <v>12.099999999999859</v>
      </c>
      <c r="D845" s="306">
        <f t="shared" ca="1" si="385"/>
        <v>-7.7507701946534802</v>
      </c>
      <c r="E845" s="307">
        <f t="shared" ca="1" si="386"/>
        <v>-26.447049842357593</v>
      </c>
      <c r="F845" s="304">
        <f t="shared" ca="1" si="387"/>
        <v>27.559406451781136</v>
      </c>
      <c r="G845" s="306">
        <f t="shared" ca="1" si="388"/>
        <v>86.353788797961968</v>
      </c>
      <c r="H845" s="307">
        <f t="shared" ca="1" si="389"/>
        <v>184.37764852490889</v>
      </c>
      <c r="I845" s="304">
        <f t="shared" ca="1" si="390"/>
        <v>203.5978735530847</v>
      </c>
      <c r="J845" s="306">
        <f t="shared" ca="1" si="391"/>
        <v>1322.4838531716134</v>
      </c>
      <c r="K845" s="307">
        <f t="shared" ca="1" si="392"/>
        <v>3414.1527438376265</v>
      </c>
      <c r="L845" s="304">
        <f t="shared" ca="1" si="377"/>
        <v>3661.3388944692942</v>
      </c>
      <c r="M845" s="306">
        <f t="shared" ca="1" si="393"/>
        <v>1.1327854596012477</v>
      </c>
      <c r="N845" s="304">
        <f t="shared" ca="1" si="394"/>
        <v>64.903825928938716</v>
      </c>
      <c r="P845" s="310">
        <f t="shared" ca="1" si="395"/>
        <v>23</v>
      </c>
      <c r="Q845" s="304">
        <f t="shared" ca="1" si="396"/>
        <v>0</v>
      </c>
      <c r="R845" s="306">
        <f t="shared" ca="1" si="397"/>
        <v>0</v>
      </c>
      <c r="S845" s="307">
        <f t="shared" ca="1" si="398"/>
        <v>11.416040186296438</v>
      </c>
      <c r="T845" s="304">
        <f t="shared" ca="1" si="378"/>
        <v>111.99135422756807</v>
      </c>
      <c r="U845" s="311">
        <f t="shared" ca="1" si="379"/>
        <v>0</v>
      </c>
      <c r="V845" s="306">
        <f t="shared" ca="1" si="380"/>
        <v>0.86775136008909481</v>
      </c>
      <c r="W845" s="304">
        <f t="shared" ca="1" si="381"/>
        <v>203.64253926386448</v>
      </c>
      <c r="Y845" s="314" t="str">
        <f t="shared" ca="1" si="399"/>
        <v/>
      </c>
      <c r="Z845" s="315" t="str">
        <f t="shared" ca="1" si="400"/>
        <v/>
      </c>
      <c r="AA845" s="316" t="str">
        <f t="shared" ca="1" si="401"/>
        <v/>
      </c>
      <c r="AC845" s="310" t="e">
        <f t="shared" ca="1" si="402"/>
        <v>#N/A</v>
      </c>
      <c r="AD845" s="323" t="e">
        <f t="shared" ca="1" si="403"/>
        <v>#N/A</v>
      </c>
      <c r="AE845" s="324">
        <f t="shared" ca="1" si="382"/>
        <v>3414.1527438376265</v>
      </c>
      <c r="AG845" s="306">
        <f t="shared" ca="1" si="404"/>
        <v>-27.246261616886553</v>
      </c>
      <c r="AH845" s="304">
        <f t="shared" ca="1" si="405"/>
        <v>-18.353906016633616</v>
      </c>
    </row>
    <row r="846" spans="1:34" x14ac:dyDescent="0.2">
      <c r="A846" s="347">
        <f t="shared" ca="1" si="383"/>
        <v>0.1</v>
      </c>
      <c r="B846" s="304">
        <f t="shared" ca="1" si="384"/>
        <v>12.199999999999859</v>
      </c>
      <c r="D846" s="306">
        <f t="shared" ca="1" si="385"/>
        <v>-7.5659100577991882</v>
      </c>
      <c r="E846" s="307">
        <f t="shared" ca="1" si="386"/>
        <v>-25.964296468354782</v>
      </c>
      <c r="F846" s="304">
        <f t="shared" ca="1" si="387"/>
        <v>27.044180263031222</v>
      </c>
      <c r="G846" s="306">
        <f t="shared" ca="1" si="388"/>
        <v>85.597197792182044</v>
      </c>
      <c r="H846" s="307">
        <f t="shared" ca="1" si="389"/>
        <v>181.78121887807342</v>
      </c>
      <c r="I846" s="304">
        <f t="shared" ca="1" si="390"/>
        <v>200.92608543111561</v>
      </c>
      <c r="J846" s="306">
        <f t="shared" ca="1" si="391"/>
        <v>1331.0814025011207</v>
      </c>
      <c r="K846" s="307">
        <f t="shared" ca="1" si="392"/>
        <v>3432.4606872077757</v>
      </c>
      <c r="L846" s="304">
        <f t="shared" ca="1" si="377"/>
        <v>3681.5165447558734</v>
      </c>
      <c r="M846" s="306">
        <f t="shared" ca="1" si="393"/>
        <v>1.1307146453076176</v>
      </c>
      <c r="N846" s="304">
        <f t="shared" ca="1" si="394"/>
        <v>64.785177009758343</v>
      </c>
      <c r="P846" s="310">
        <f t="shared" ca="1" si="395"/>
        <v>23</v>
      </c>
      <c r="Q846" s="304">
        <f t="shared" ca="1" si="396"/>
        <v>0</v>
      </c>
      <c r="R846" s="306">
        <f t="shared" ca="1" si="397"/>
        <v>0</v>
      </c>
      <c r="S846" s="307">
        <f t="shared" ca="1" si="398"/>
        <v>11.416040186296438</v>
      </c>
      <c r="T846" s="304">
        <f t="shared" ca="1" si="378"/>
        <v>111.99135422756807</v>
      </c>
      <c r="U846" s="311">
        <f t="shared" ca="1" si="379"/>
        <v>0</v>
      </c>
      <c r="V846" s="306">
        <f t="shared" ca="1" si="380"/>
        <v>0.86611627899796417</v>
      </c>
      <c r="W846" s="304">
        <f t="shared" ca="1" si="381"/>
        <v>197.95914655387963</v>
      </c>
      <c r="Y846" s="314" t="str">
        <f t="shared" ca="1" si="399"/>
        <v/>
      </c>
      <c r="Z846" s="315" t="str">
        <f t="shared" ca="1" si="400"/>
        <v/>
      </c>
      <c r="AA846" s="316" t="str">
        <f t="shared" ca="1" si="401"/>
        <v/>
      </c>
      <c r="AC846" s="310" t="e">
        <f t="shared" ca="1" si="402"/>
        <v>#N/A</v>
      </c>
      <c r="AD846" s="323" t="e">
        <f t="shared" ca="1" si="403"/>
        <v>#N/A</v>
      </c>
      <c r="AE846" s="324">
        <f t="shared" ca="1" si="382"/>
        <v>3432.4606872077757</v>
      </c>
      <c r="AG846" s="306">
        <f t="shared" ca="1" si="404"/>
        <v>-26.72218934652026</v>
      </c>
      <c r="AH846" s="304">
        <f t="shared" ca="1" si="405"/>
        <v>-17.838281570549523</v>
      </c>
    </row>
    <row r="847" spans="1:34" x14ac:dyDescent="0.2">
      <c r="A847" s="347">
        <f t="shared" ca="1" si="383"/>
        <v>0.1</v>
      </c>
      <c r="B847" s="304">
        <f t="shared" ca="1" si="384"/>
        <v>12.299999999999859</v>
      </c>
      <c r="D847" s="306">
        <f t="shared" ca="1" si="385"/>
        <v>-7.3872586992341942</v>
      </c>
      <c r="E847" s="307">
        <f t="shared" ca="1" si="386"/>
        <v>-25.498187524254355</v>
      </c>
      <c r="F847" s="304">
        <f t="shared" ca="1" si="387"/>
        <v>26.546735356940818</v>
      </c>
      <c r="G847" s="306">
        <f t="shared" ca="1" si="388"/>
        <v>84.85847192225863</v>
      </c>
      <c r="H847" s="307">
        <f t="shared" ca="1" si="389"/>
        <v>179.23140012564798</v>
      </c>
      <c r="I847" s="304">
        <f t="shared" ca="1" si="390"/>
        <v>198.30495467330331</v>
      </c>
      <c r="J847" s="306">
        <f t="shared" ca="1" si="391"/>
        <v>1339.6041859868428</v>
      </c>
      <c r="K847" s="307">
        <f t="shared" ca="1" si="392"/>
        <v>3450.5113181579618</v>
      </c>
      <c r="L847" s="304">
        <f t="shared" ca="1" si="377"/>
        <v>3701.4277963847499</v>
      </c>
      <c r="M847" s="306">
        <f t="shared" ca="1" si="393"/>
        <v>1.128607187018366</v>
      </c>
      <c r="N847" s="304">
        <f t="shared" ca="1" si="394"/>
        <v>64.664428544284362</v>
      </c>
      <c r="P847" s="310">
        <f t="shared" ca="1" si="395"/>
        <v>23</v>
      </c>
      <c r="Q847" s="304">
        <f t="shared" ca="1" si="396"/>
        <v>0</v>
      </c>
      <c r="R847" s="306">
        <f t="shared" ca="1" si="397"/>
        <v>0</v>
      </c>
      <c r="S847" s="307">
        <f t="shared" ca="1" si="398"/>
        <v>11.416040186296438</v>
      </c>
      <c r="T847" s="304">
        <f t="shared" ca="1" si="378"/>
        <v>111.99135422756807</v>
      </c>
      <c r="U847" s="311">
        <f t="shared" ca="1" si="379"/>
        <v>0</v>
      </c>
      <c r="V847" s="306">
        <f t="shared" ca="1" si="380"/>
        <v>0.86450667792300206</v>
      </c>
      <c r="W847" s="304">
        <f t="shared" ca="1" si="381"/>
        <v>192.46962846448093</v>
      </c>
      <c r="Y847" s="314" t="str">
        <f t="shared" ca="1" si="399"/>
        <v/>
      </c>
      <c r="Z847" s="315" t="str">
        <f t="shared" ca="1" si="400"/>
        <v/>
      </c>
      <c r="AA847" s="316" t="str">
        <f t="shared" ca="1" si="401"/>
        <v/>
      </c>
      <c r="AC847" s="310" t="e">
        <f t="shared" ca="1" si="402"/>
        <v>#N/A</v>
      </c>
      <c r="AD847" s="323" t="e">
        <f t="shared" ca="1" si="403"/>
        <v>#N/A</v>
      </c>
      <c r="AE847" s="324">
        <f t="shared" ca="1" si="382"/>
        <v>3450.5113181579618</v>
      </c>
      <c r="AG847" s="306">
        <f t="shared" ca="1" si="404"/>
        <v>-26.215711315228212</v>
      </c>
      <c r="AH847" s="304">
        <f t="shared" ca="1" si="405"/>
        <v>-17.340438831978307</v>
      </c>
    </row>
    <row r="848" spans="1:34" x14ac:dyDescent="0.2">
      <c r="A848" s="347">
        <f t="shared" ca="1" si="383"/>
        <v>0.1</v>
      </c>
      <c r="B848" s="304">
        <f t="shared" ca="1" si="384"/>
        <v>12.399999999999858</v>
      </c>
      <c r="D848" s="306">
        <f t="shared" ca="1" si="385"/>
        <v>-7.2145352687630773</v>
      </c>
      <c r="E848" s="307">
        <f t="shared" ca="1" si="386"/>
        <v>-25.047974808937113</v>
      </c>
      <c r="F848" s="304">
        <f t="shared" ca="1" si="387"/>
        <v>26.066272483294856</v>
      </c>
      <c r="G848" s="306">
        <f t="shared" ca="1" si="388"/>
        <v>84.137018395382327</v>
      </c>
      <c r="H848" s="307">
        <f t="shared" ca="1" si="389"/>
        <v>176.72660264475428</v>
      </c>
      <c r="I848" s="304">
        <f t="shared" ca="1" si="390"/>
        <v>195.73280242928567</v>
      </c>
      <c r="J848" s="306">
        <f t="shared" ca="1" si="391"/>
        <v>1348.053960502725</v>
      </c>
      <c r="K848" s="307">
        <f t="shared" ca="1" si="392"/>
        <v>3468.309218296482</v>
      </c>
      <c r="L848" s="304">
        <f t="shared" ca="1" si="377"/>
        <v>3721.0775743254044</v>
      </c>
      <c r="M848" s="306">
        <f t="shared" ca="1" si="393"/>
        <v>1.1264624829882612</v>
      </c>
      <c r="N848" s="304">
        <f t="shared" ca="1" si="394"/>
        <v>64.541546055054667</v>
      </c>
      <c r="P848" s="310">
        <f t="shared" ca="1" si="395"/>
        <v>23</v>
      </c>
      <c r="Q848" s="304">
        <f t="shared" ca="1" si="396"/>
        <v>0</v>
      </c>
      <c r="R848" s="306">
        <f t="shared" ca="1" si="397"/>
        <v>0</v>
      </c>
      <c r="S848" s="307">
        <f t="shared" ca="1" si="398"/>
        <v>11.416040186296438</v>
      </c>
      <c r="T848" s="304">
        <f t="shared" ca="1" si="378"/>
        <v>111.99135422756807</v>
      </c>
      <c r="U848" s="311">
        <f t="shared" ca="1" si="379"/>
        <v>0</v>
      </c>
      <c r="V848" s="306">
        <f t="shared" ca="1" si="380"/>
        <v>0.86292203751083918</v>
      </c>
      <c r="W848" s="304">
        <f t="shared" ca="1" si="381"/>
        <v>187.16537718822283</v>
      </c>
      <c r="Y848" s="314" t="str">
        <f t="shared" ca="1" si="399"/>
        <v/>
      </c>
      <c r="Z848" s="315" t="str">
        <f t="shared" ca="1" si="400"/>
        <v/>
      </c>
      <c r="AA848" s="316" t="str">
        <f t="shared" ca="1" si="401"/>
        <v/>
      </c>
      <c r="AC848" s="310" t="e">
        <f t="shared" ca="1" si="402"/>
        <v>#N/A</v>
      </c>
      <c r="AD848" s="323" t="e">
        <f t="shared" ca="1" si="403"/>
        <v>#N/A</v>
      </c>
      <c r="AE848" s="324">
        <f t="shared" ca="1" si="382"/>
        <v>3468.309218296482</v>
      </c>
      <c r="AG848" s="306">
        <f t="shared" ca="1" si="404"/>
        <v>-25.72602405350306</v>
      </c>
      <c r="AH848" s="304">
        <f t="shared" ca="1" si="405"/>
        <v>-16.859578743907822</v>
      </c>
    </row>
    <row r="849" spans="1:34" x14ac:dyDescent="0.2">
      <c r="A849" s="347">
        <f t="shared" ca="1" si="383"/>
        <v>0.1</v>
      </c>
      <c r="B849" s="304">
        <f t="shared" ca="1" si="384"/>
        <v>12.499999999999858</v>
      </c>
      <c r="D849" s="306">
        <f t="shared" ca="1" si="385"/>
        <v>-7.0474747469533652</v>
      </c>
      <c r="E849" s="307">
        <f t="shared" ca="1" si="386"/>
        <v>-24.612952291474624</v>
      </c>
      <c r="F849" s="304">
        <f t="shared" ca="1" si="387"/>
        <v>25.602037434769745</v>
      </c>
      <c r="G849" s="306">
        <f t="shared" ca="1" si="388"/>
        <v>83.432270920686989</v>
      </c>
      <c r="H849" s="307">
        <f t="shared" ca="1" si="389"/>
        <v>174.26530741560683</v>
      </c>
      <c r="I849" s="304">
        <f t="shared" ca="1" si="390"/>
        <v>193.20802571228469</v>
      </c>
      <c r="J849" s="306">
        <f t="shared" ca="1" si="391"/>
        <v>1356.4324249685285</v>
      </c>
      <c r="K849" s="307">
        <f t="shared" ca="1" si="392"/>
        <v>3485.8588137995002</v>
      </c>
      <c r="L849" s="304">
        <f t="shared" ca="1" si="377"/>
        <v>3740.4706379344379</v>
      </c>
      <c r="M849" s="306">
        <f t="shared" ca="1" si="393"/>
        <v>1.124279915443303</v>
      </c>
      <c r="N849" s="304">
        <f t="shared" ca="1" si="394"/>
        <v>64.416494146226327</v>
      </c>
      <c r="P849" s="310">
        <f t="shared" ca="1" si="395"/>
        <v>23</v>
      </c>
      <c r="Q849" s="304">
        <f t="shared" ca="1" si="396"/>
        <v>0</v>
      </c>
      <c r="R849" s="306">
        <f t="shared" ca="1" si="397"/>
        <v>0</v>
      </c>
      <c r="S849" s="307">
        <f t="shared" ca="1" si="398"/>
        <v>11.416040186296438</v>
      </c>
      <c r="T849" s="304">
        <f t="shared" ca="1" si="378"/>
        <v>111.99135422756807</v>
      </c>
      <c r="U849" s="311">
        <f t="shared" ca="1" si="379"/>
        <v>0</v>
      </c>
      <c r="V849" s="306">
        <f t="shared" ca="1" si="380"/>
        <v>0.86136185665943177</v>
      </c>
      <c r="W849" s="304">
        <f t="shared" ca="1" si="381"/>
        <v>182.03826462900193</v>
      </c>
      <c r="Y849" s="314" t="str">
        <f t="shared" ca="1" si="399"/>
        <v/>
      </c>
      <c r="Z849" s="315" t="str">
        <f t="shared" ca="1" si="400"/>
        <v/>
      </c>
      <c r="AA849" s="316" t="str">
        <f t="shared" ca="1" si="401"/>
        <v/>
      </c>
      <c r="AC849" s="310" t="e">
        <f t="shared" ca="1" si="402"/>
        <v>#N/A</v>
      </c>
      <c r="AD849" s="323" t="e">
        <f t="shared" ca="1" si="403"/>
        <v>#N/A</v>
      </c>
      <c r="AE849" s="324">
        <f t="shared" ca="1" si="382"/>
        <v>3485.8588137995002</v>
      </c>
      <c r="AG849" s="306">
        <f t="shared" ca="1" si="404"/>
        <v>-25.252368997990729</v>
      </c>
      <c r="AH849" s="304">
        <f t="shared" ca="1" si="405"/>
        <v>-16.394947296427006</v>
      </c>
    </row>
    <row r="850" spans="1:34" x14ac:dyDescent="0.2">
      <c r="A850" s="347">
        <f t="shared" ca="1" si="383"/>
        <v>0.1</v>
      </c>
      <c r="B850" s="304">
        <f t="shared" ca="1" si="384"/>
        <v>12.599999999999858</v>
      </c>
      <c r="D850" s="306">
        <f t="shared" ca="1" si="385"/>
        <v>-6.8858268818188808</v>
      </c>
      <c r="E850" s="307">
        <f t="shared" ca="1" si="386"/>
        <v>-24.192453277719512</v>
      </c>
      <c r="F850" s="304">
        <f t="shared" ca="1" si="387"/>
        <v>25.153318020512145</v>
      </c>
      <c r="G850" s="306">
        <f t="shared" ca="1" si="388"/>
        <v>82.743688232505107</v>
      </c>
      <c r="H850" s="307">
        <f t="shared" ca="1" si="389"/>
        <v>171.84606208783487</v>
      </c>
      <c r="I850" s="304">
        <f t="shared" ca="1" si="390"/>
        <v>190.72909321184852</v>
      </c>
      <c r="J850" s="306">
        <f t="shared" ca="1" si="391"/>
        <v>1364.7412229261881</v>
      </c>
      <c r="K850" s="307">
        <f t="shared" ca="1" si="392"/>
        <v>3503.1643822746723</v>
      </c>
      <c r="L850" s="304">
        <f t="shared" ca="1" si="377"/>
        <v>3759.6115882883373</v>
      </c>
      <c r="M850" s="306">
        <f t="shared" ca="1" si="393"/>
        <v>1.1220588501673423</v>
      </c>
      <c r="N850" s="304">
        <f t="shared" ca="1" si="394"/>
        <v>64.289236479890718</v>
      </c>
      <c r="P850" s="310">
        <f t="shared" ca="1" si="395"/>
        <v>23</v>
      </c>
      <c r="Q850" s="304">
        <f t="shared" ca="1" si="396"/>
        <v>0</v>
      </c>
      <c r="R850" s="306">
        <f t="shared" ca="1" si="397"/>
        <v>0</v>
      </c>
      <c r="S850" s="307">
        <f t="shared" ca="1" si="398"/>
        <v>11.416040186296438</v>
      </c>
      <c r="T850" s="304">
        <f t="shared" ca="1" si="378"/>
        <v>111.99135422756807</v>
      </c>
      <c r="U850" s="311">
        <f t="shared" ca="1" si="379"/>
        <v>0</v>
      </c>
      <c r="V850" s="306">
        <f t="shared" ca="1" si="380"/>
        <v>0.85982565168774538</v>
      </c>
      <c r="W850" s="304">
        <f t="shared" ca="1" si="381"/>
        <v>177.08061054367408</v>
      </c>
      <c r="Y850" s="314" t="str">
        <f t="shared" ca="1" si="399"/>
        <v/>
      </c>
      <c r="Z850" s="315" t="str">
        <f t="shared" ca="1" si="400"/>
        <v/>
      </c>
      <c r="AA850" s="316" t="str">
        <f t="shared" ca="1" si="401"/>
        <v/>
      </c>
      <c r="AC850" s="310" t="e">
        <f t="shared" ca="1" si="402"/>
        <v>#N/A</v>
      </c>
      <c r="AD850" s="323" t="e">
        <f t="shared" ca="1" si="403"/>
        <v>#N/A</v>
      </c>
      <c r="AE850" s="324">
        <f t="shared" ca="1" si="382"/>
        <v>3503.1643822746723</v>
      </c>
      <c r="AG850" s="306">
        <f t="shared" ca="1" si="404"/>
        <v>-24.794029460401298</v>
      </c>
      <c r="AH850" s="304">
        <f t="shared" ca="1" si="405"/>
        <v>-15.945832500442371</v>
      </c>
    </row>
    <row r="851" spans="1:34" x14ac:dyDescent="0.2">
      <c r="A851" s="347">
        <f t="shared" ca="1" si="383"/>
        <v>0.1</v>
      </c>
      <c r="B851" s="304">
        <f t="shared" ca="1" si="384"/>
        <v>12.699999999999857</v>
      </c>
      <c r="D851" s="306">
        <f t="shared" ca="1" si="385"/>
        <v>-6.7293552083145327</v>
      </c>
      <c r="E851" s="307">
        <f t="shared" ca="1" si="386"/>
        <v>-23.785847797473785</v>
      </c>
      <c r="F851" s="304">
        <f t="shared" ca="1" si="387"/>
        <v>24.719441275325348</v>
      </c>
      <c r="G851" s="306">
        <f t="shared" ca="1" si="388"/>
        <v>82.070752711673649</v>
      </c>
      <c r="H851" s="307">
        <f t="shared" ca="1" si="389"/>
        <v>169.4674773080875</v>
      </c>
      <c r="I851" s="304">
        <f t="shared" ca="1" si="390"/>
        <v>188.29454138616933</v>
      </c>
      <c r="J851" s="306">
        <f t="shared" ca="1" si="391"/>
        <v>1372.981944973397</v>
      </c>
      <c r="K851" s="307">
        <f t="shared" ca="1" si="392"/>
        <v>3520.2300592444685</v>
      </c>
      <c r="L851" s="304">
        <f t="shared" ca="1" si="377"/>
        <v>3778.5048751101604</v>
      </c>
      <c r="M851" s="306">
        <f t="shared" ca="1" si="393"/>
        <v>1.1197986360752554</v>
      </c>
      <c r="N851" s="304">
        <f t="shared" ca="1" si="394"/>
        <v>64.159735751618143</v>
      </c>
      <c r="P851" s="310">
        <f t="shared" ca="1" si="395"/>
        <v>23</v>
      </c>
      <c r="Q851" s="304">
        <f t="shared" ca="1" si="396"/>
        <v>0</v>
      </c>
      <c r="R851" s="306">
        <f t="shared" ca="1" si="397"/>
        <v>0</v>
      </c>
      <c r="S851" s="307">
        <f t="shared" ca="1" si="398"/>
        <v>11.416040186296438</v>
      </c>
      <c r="T851" s="304">
        <f t="shared" ca="1" si="378"/>
        <v>111.99135422756807</v>
      </c>
      <c r="U851" s="311">
        <f t="shared" ca="1" si="379"/>
        <v>0</v>
      </c>
      <c r="V851" s="306">
        <f t="shared" ca="1" si="380"/>
        <v>0.85831295555252773</v>
      </c>
      <c r="W851" s="304">
        <f t="shared" ca="1" si="381"/>
        <v>172.28515313602861</v>
      </c>
      <c r="Y851" s="314" t="str">
        <f t="shared" ca="1" si="399"/>
        <v/>
      </c>
      <c r="Z851" s="315" t="str">
        <f t="shared" ca="1" si="400"/>
        <v/>
      </c>
      <c r="AA851" s="316" t="str">
        <f t="shared" ca="1" si="401"/>
        <v/>
      </c>
      <c r="AC851" s="310" t="e">
        <f t="shared" ca="1" si="402"/>
        <v>#N/A</v>
      </c>
      <c r="AD851" s="323" t="e">
        <f t="shared" ca="1" si="403"/>
        <v>#N/A</v>
      </c>
      <c r="AE851" s="324">
        <f t="shared" ca="1" si="382"/>
        <v>3520.2300592444685</v>
      </c>
      <c r="AG851" s="306">
        <f t="shared" ca="1" si="404"/>
        <v>-24.350327831844993</v>
      </c>
      <c r="AH851" s="304">
        <f t="shared" ca="1" si="405"/>
        <v>-15.511561597009594</v>
      </c>
    </row>
    <row r="852" spans="1:34" x14ac:dyDescent="0.2">
      <c r="A852" s="347">
        <f t="shared" ca="1" si="383"/>
        <v>0.1</v>
      </c>
      <c r="B852" s="304">
        <f t="shared" ca="1" si="384"/>
        <v>12.799999999999857</v>
      </c>
      <c r="D852" s="306">
        <f t="shared" ca="1" si="385"/>
        <v>-6.5778361433332133</v>
      </c>
      <c r="E852" s="307">
        <f t="shared" ca="1" si="386"/>
        <v>-23.392540192763228</v>
      </c>
      <c r="F852" s="304">
        <f t="shared" ca="1" si="387"/>
        <v>24.299770883664394</v>
      </c>
      <c r="G852" s="306">
        <f t="shared" ca="1" si="388"/>
        <v>81.412969097340323</v>
      </c>
      <c r="H852" s="307">
        <f t="shared" ca="1" si="389"/>
        <v>167.12822328881117</v>
      </c>
      <c r="I852" s="304">
        <f t="shared" ca="1" si="390"/>
        <v>185.90297081251612</v>
      </c>
      <c r="J852" s="306">
        <f t="shared" ca="1" si="391"/>
        <v>1381.1561310638479</v>
      </c>
      <c r="K852" s="307">
        <f t="shared" ca="1" si="392"/>
        <v>3537.0598442743135</v>
      </c>
      <c r="L852" s="304">
        <f t="shared" ca="1" si="377"/>
        <v>3797.1548033169634</v>
      </c>
      <c r="M852" s="306">
        <f t="shared" ca="1" si="393"/>
        <v>1.1174986047723225</v>
      </c>
      <c r="N852" s="304">
        <f t="shared" ca="1" si="394"/>
        <v>64.027953665212124</v>
      </c>
      <c r="P852" s="310">
        <f t="shared" ca="1" si="395"/>
        <v>23</v>
      </c>
      <c r="Q852" s="304">
        <f t="shared" ca="1" si="396"/>
        <v>0</v>
      </c>
      <c r="R852" s="306">
        <f t="shared" ca="1" si="397"/>
        <v>0</v>
      </c>
      <c r="S852" s="307">
        <f t="shared" ca="1" si="398"/>
        <v>11.416040186296438</v>
      </c>
      <c r="T852" s="304">
        <f t="shared" ca="1" si="378"/>
        <v>111.99135422756807</v>
      </c>
      <c r="U852" s="311">
        <f t="shared" ca="1" si="379"/>
        <v>0</v>
      </c>
      <c r="V852" s="306">
        <f t="shared" ca="1" si="380"/>
        <v>0.85682331710899184</v>
      </c>
      <c r="W852" s="304">
        <f t="shared" ca="1" si="381"/>
        <v>167.64502188906556</v>
      </c>
      <c r="Y852" s="314" t="str">
        <f t="shared" ca="1" si="399"/>
        <v/>
      </c>
      <c r="Z852" s="315" t="str">
        <f t="shared" ca="1" si="400"/>
        <v/>
      </c>
      <c r="AA852" s="316" t="str">
        <f t="shared" ca="1" si="401"/>
        <v/>
      </c>
      <c r="AC852" s="310" t="e">
        <f t="shared" ca="1" si="402"/>
        <v>#N/A</v>
      </c>
      <c r="AD852" s="323" t="e">
        <f t="shared" ca="1" si="403"/>
        <v>#N/A</v>
      </c>
      <c r="AE852" s="324">
        <f t="shared" ca="1" si="382"/>
        <v>3537.0598442743135</v>
      </c>
      <c r="AG852" s="306">
        <f t="shared" ca="1" si="404"/>
        <v>-23.920623001787533</v>
      </c>
      <c r="AH852" s="304">
        <f t="shared" ca="1" si="405"/>
        <v>-15.091498481481862</v>
      </c>
    </row>
    <row r="853" spans="1:34" x14ac:dyDescent="0.2">
      <c r="A853" s="347">
        <f t="shared" ca="1" si="383"/>
        <v>0.1</v>
      </c>
      <c r="B853" s="304">
        <f t="shared" ca="1" si="384"/>
        <v>12.899999999999856</v>
      </c>
      <c r="D853" s="306">
        <f t="shared" ca="1" si="385"/>
        <v>-6.4310581496155219</v>
      </c>
      <c r="E853" s="307">
        <f t="shared" ca="1" si="386"/>
        <v>-23.011966889663345</v>
      </c>
      <c r="F853" s="304">
        <f t="shared" ca="1" si="387"/>
        <v>23.89370479968936</v>
      </c>
      <c r="G853" s="306">
        <f t="shared" ca="1" si="388"/>
        <v>80.769863282378765</v>
      </c>
      <c r="H853" s="307">
        <f t="shared" ca="1" si="389"/>
        <v>164.82702659984483</v>
      </c>
      <c r="I853" s="304">
        <f t="shared" ca="1" si="390"/>
        <v>183.55304277619618</v>
      </c>
      <c r="J853" s="306">
        <f t="shared" ca="1" si="391"/>
        <v>1389.2652726828337</v>
      </c>
      <c r="K853" s="307">
        <f t="shared" ca="1" si="392"/>
        <v>3553.6576067687465</v>
      </c>
      <c r="L853" s="304">
        <f t="shared" ca="1" si="377"/>
        <v>3815.5655392127501</v>
      </c>
      <c r="M853" s="306">
        <f t="shared" ca="1" si="393"/>
        <v>1.1151580700994645</v>
      </c>
      <c r="N853" s="304">
        <f t="shared" ca="1" si="394"/>
        <v>63.89385090665332</v>
      </c>
      <c r="P853" s="310">
        <f t="shared" ca="1" si="395"/>
        <v>23</v>
      </c>
      <c r="Q853" s="304">
        <f t="shared" ca="1" si="396"/>
        <v>0</v>
      </c>
      <c r="R853" s="306">
        <f t="shared" ca="1" si="397"/>
        <v>0</v>
      </c>
      <c r="S853" s="307">
        <f t="shared" ca="1" si="398"/>
        <v>11.416040186296438</v>
      </c>
      <c r="T853" s="304">
        <f t="shared" ca="1" si="378"/>
        <v>111.99135422756807</v>
      </c>
      <c r="U853" s="311">
        <f t="shared" ca="1" si="379"/>
        <v>0</v>
      </c>
      <c r="V853" s="306">
        <f t="shared" ca="1" si="380"/>
        <v>0.85535630041249311</v>
      </c>
      <c r="W853" s="304">
        <f t="shared" ca="1" si="381"/>
        <v>163.15371244236732</v>
      </c>
      <c r="Y853" s="314" t="str">
        <f t="shared" ca="1" si="399"/>
        <v/>
      </c>
      <c r="Z853" s="315" t="str">
        <f t="shared" ca="1" si="400"/>
        <v/>
      </c>
      <c r="AA853" s="316" t="str">
        <f t="shared" ca="1" si="401"/>
        <v/>
      </c>
      <c r="AC853" s="310" t="e">
        <f t="shared" ca="1" si="402"/>
        <v>#N/A</v>
      </c>
      <c r="AD853" s="323" t="e">
        <f t="shared" ca="1" si="403"/>
        <v>#N/A</v>
      </c>
      <c r="AE853" s="324">
        <f t="shared" ca="1" si="382"/>
        <v>3553.6576067687465</v>
      </c>
      <c r="AG853" s="306">
        <f t="shared" ca="1" si="404"/>
        <v>-23.504307972866727</v>
      </c>
      <c r="AH853" s="304">
        <f t="shared" ca="1" si="405"/>
        <v>-14.685041323724747</v>
      </c>
    </row>
    <row r="854" spans="1:34" x14ac:dyDescent="0.2">
      <c r="A854" s="347">
        <f t="shared" ca="1" si="383"/>
        <v>0.1</v>
      </c>
      <c r="B854" s="304">
        <f t="shared" ca="1" si="384"/>
        <v>12.999999999999856</v>
      </c>
      <c r="D854" s="306">
        <f t="shared" ca="1" si="385"/>
        <v>-6.2888209626246097</v>
      </c>
      <c r="E854" s="307">
        <f t="shared" ca="1" si="386"/>
        <v>-22.643594337831843</v>
      </c>
      <c r="F854" s="304">
        <f t="shared" ca="1" si="387"/>
        <v>23.500673046452032</v>
      </c>
      <c r="G854" s="306">
        <f t="shared" ca="1" si="388"/>
        <v>80.140981186116306</v>
      </c>
      <c r="H854" s="307">
        <f t="shared" ca="1" si="389"/>
        <v>162.56266716606166</v>
      </c>
      <c r="I854" s="304">
        <f t="shared" ca="1" si="390"/>
        <v>181.24347608015356</v>
      </c>
      <c r="J854" s="306">
        <f t="shared" ca="1" si="391"/>
        <v>1397.3108149062584</v>
      </c>
      <c r="K854" s="307">
        <f t="shared" ca="1" si="392"/>
        <v>3570.0270914570419</v>
      </c>
      <c r="L854" s="304">
        <f t="shared" ca="1" si="377"/>
        <v>3833.7411163498268</v>
      </c>
      <c r="M854" s="306">
        <f t="shared" ca="1" si="393"/>
        <v>1.1127763276639779</v>
      </c>
      <c r="N854" s="304">
        <f t="shared" ca="1" si="394"/>
        <v>63.75738711721273</v>
      </c>
      <c r="P854" s="310">
        <f t="shared" ca="1" si="395"/>
        <v>23</v>
      </c>
      <c r="Q854" s="304">
        <f t="shared" ca="1" si="396"/>
        <v>0</v>
      </c>
      <c r="R854" s="306">
        <f t="shared" ca="1" si="397"/>
        <v>0</v>
      </c>
      <c r="S854" s="307">
        <f t="shared" ca="1" si="398"/>
        <v>11.416040186296438</v>
      </c>
      <c r="T854" s="304">
        <f t="shared" ca="1" si="378"/>
        <v>111.99135422756807</v>
      </c>
      <c r="U854" s="311">
        <f t="shared" ca="1" si="379"/>
        <v>0</v>
      </c>
      <c r="V854" s="306">
        <f t="shared" ca="1" si="380"/>
        <v>0.85391148405849959</v>
      </c>
      <c r="W854" s="304">
        <f t="shared" ca="1" si="381"/>
        <v>158.80506333996595</v>
      </c>
      <c r="Y854" s="314" t="str">
        <f t="shared" ca="1" si="399"/>
        <v/>
      </c>
      <c r="Z854" s="315" t="str">
        <f t="shared" ca="1" si="400"/>
        <v/>
      </c>
      <c r="AA854" s="316" t="str">
        <f t="shared" ca="1" si="401"/>
        <v/>
      </c>
      <c r="AC854" s="310">
        <f t="shared" ca="1" si="402"/>
        <v>12.999999999999856</v>
      </c>
      <c r="AD854" s="323">
        <f t="shared" ca="1" si="403"/>
        <v>1397.3108149062584</v>
      </c>
      <c r="AE854" s="324">
        <f t="shared" ca="1" si="382"/>
        <v>3570.0270914570419</v>
      </c>
      <c r="AG854" s="306">
        <f t="shared" ca="1" si="404"/>
        <v>-23.100807654638018</v>
      </c>
      <c r="AH854" s="304">
        <f t="shared" ca="1" si="405"/>
        <v>-14.291620367473252</v>
      </c>
    </row>
    <row r="855" spans="1:34" x14ac:dyDescent="0.2">
      <c r="A855" s="347">
        <f t="shared" ca="1" si="383"/>
        <v>0.1</v>
      </c>
      <c r="B855" s="304">
        <f t="shared" ca="1" si="384"/>
        <v>13.099999999999856</v>
      </c>
      <c r="D855" s="306">
        <f t="shared" ca="1" si="385"/>
        <v>-6.1509348750114787</v>
      </c>
      <c r="E855" s="307">
        <f t="shared" ca="1" si="386"/>
        <v>-22.286917103428699</v>
      </c>
      <c r="F855" s="304">
        <f t="shared" ca="1" si="387"/>
        <v>23.120135678921418</v>
      </c>
      <c r="G855" s="306">
        <f t="shared" ca="1" si="388"/>
        <v>79.525887698615165</v>
      </c>
      <c r="H855" s="307">
        <f t="shared" ca="1" si="389"/>
        <v>160.33397545571879</v>
      </c>
      <c r="I855" s="304">
        <f t="shared" ca="1" si="390"/>
        <v>178.97304405884083</v>
      </c>
      <c r="J855" s="306">
        <f t="shared" ca="1" si="391"/>
        <v>1405.2941583504951</v>
      </c>
      <c r="K855" s="307">
        <f t="shared" ca="1" si="392"/>
        <v>3586.171923588131</v>
      </c>
      <c r="L855" s="304">
        <f t="shared" ca="1" si="377"/>
        <v>3851.6854410797646</v>
      </c>
      <c r="M855" s="306">
        <f t="shared" ca="1" si="393"/>
        <v>1.110352654355403</v>
      </c>
      <c r="N855" s="304">
        <f t="shared" ca="1" si="394"/>
        <v>63.618520865712874</v>
      </c>
      <c r="P855" s="310">
        <f t="shared" ca="1" si="395"/>
        <v>23</v>
      </c>
      <c r="Q855" s="304">
        <f t="shared" ca="1" si="396"/>
        <v>0</v>
      </c>
      <c r="R855" s="306">
        <f t="shared" ca="1" si="397"/>
        <v>0</v>
      </c>
      <c r="S855" s="307">
        <f t="shared" ca="1" si="398"/>
        <v>11.416040186296438</v>
      </c>
      <c r="T855" s="304">
        <f t="shared" ca="1" si="378"/>
        <v>111.99135422756807</v>
      </c>
      <c r="U855" s="311">
        <f t="shared" ca="1" si="379"/>
        <v>0</v>
      </c>
      <c r="V855" s="306">
        <f t="shared" ca="1" si="380"/>
        <v>0.85248846055836347</v>
      </c>
      <c r="W855" s="304">
        <f t="shared" ca="1" si="381"/>
        <v>154.59323449073898</v>
      </c>
      <c r="Y855" s="314" t="str">
        <f t="shared" ca="1" si="399"/>
        <v/>
      </c>
      <c r="Z855" s="315" t="str">
        <f t="shared" ca="1" si="400"/>
        <v/>
      </c>
      <c r="AA855" s="316" t="str">
        <f t="shared" ca="1" si="401"/>
        <v/>
      </c>
      <c r="AC855" s="310" t="e">
        <f t="shared" ca="1" si="402"/>
        <v>#N/A</v>
      </c>
      <c r="AD855" s="323" t="e">
        <f t="shared" ca="1" si="403"/>
        <v>#N/A</v>
      </c>
      <c r="AE855" s="324">
        <f t="shared" ca="1" si="382"/>
        <v>3586.171923588131</v>
      </c>
      <c r="AG855" s="306">
        <f t="shared" ca="1" si="404"/>
        <v>-22.709576820946399</v>
      </c>
      <c r="AH855" s="304">
        <f t="shared" ca="1" si="405"/>
        <v>-13.910695893536888</v>
      </c>
    </row>
    <row r="856" spans="1:34" x14ac:dyDescent="0.2">
      <c r="A856" s="347">
        <f t="shared" ca="1" si="383"/>
        <v>0.1</v>
      </c>
      <c r="B856" s="304">
        <f t="shared" ca="1" si="384"/>
        <v>13.199999999999855</v>
      </c>
      <c r="D856" s="306">
        <f t="shared" ca="1" si="385"/>
        <v>-6.0172200738081045</v>
      </c>
      <c r="E856" s="307">
        <f t="shared" ca="1" si="386"/>
        <v>-21.94145610246872</v>
      </c>
      <c r="F856" s="304">
        <f t="shared" ca="1" si="387"/>
        <v>22.751580897010236</v>
      </c>
      <c r="G856" s="306">
        <f t="shared" ca="1" si="388"/>
        <v>78.92416569123435</v>
      </c>
      <c r="H856" s="307">
        <f t="shared" ca="1" si="389"/>
        <v>158.13982984547192</v>
      </c>
      <c r="I856" s="304">
        <f t="shared" ca="1" si="390"/>
        <v>176.74057178138875</v>
      </c>
      <c r="J856" s="306">
        <f t="shared" ca="1" si="391"/>
        <v>1413.2166610199877</v>
      </c>
      <c r="K856" s="307">
        <f t="shared" ca="1" si="392"/>
        <v>3602.0956138531906</v>
      </c>
      <c r="L856" s="304">
        <f t="shared" ca="1" si="377"/>
        <v>3869.4022978135622</v>
      </c>
      <c r="M856" s="306">
        <f t="shared" ca="1" si="393"/>
        <v>1.1078863078461583</v>
      </c>
      <c r="N856" s="304">
        <f t="shared" ca="1" si="394"/>
        <v>63.47720961991633</v>
      </c>
      <c r="P856" s="310">
        <f t="shared" ca="1" si="395"/>
        <v>23</v>
      </c>
      <c r="Q856" s="304">
        <f t="shared" ca="1" si="396"/>
        <v>0</v>
      </c>
      <c r="R856" s="306">
        <f t="shared" ca="1" si="397"/>
        <v>0</v>
      </c>
      <c r="S856" s="307">
        <f t="shared" ca="1" si="398"/>
        <v>11.416040186296438</v>
      </c>
      <c r="T856" s="304">
        <f t="shared" ca="1" si="378"/>
        <v>111.99135422756807</v>
      </c>
      <c r="U856" s="311">
        <f t="shared" ca="1" si="379"/>
        <v>0</v>
      </c>
      <c r="V856" s="306">
        <f t="shared" ca="1" si="380"/>
        <v>0.8510868357485839</v>
      </c>
      <c r="W856" s="304">
        <f t="shared" ca="1" si="381"/>
        <v>150.51268719825961</v>
      </c>
      <c r="Y856" s="314" t="str">
        <f t="shared" ca="1" si="399"/>
        <v/>
      </c>
      <c r="Z856" s="315" t="str">
        <f t="shared" ca="1" si="400"/>
        <v/>
      </c>
      <c r="AA856" s="316" t="str">
        <f t="shared" ca="1" si="401"/>
        <v/>
      </c>
      <c r="AC856" s="310" t="e">
        <f t="shared" ca="1" si="402"/>
        <v>#N/A</v>
      </c>
      <c r="AD856" s="323" t="e">
        <f t="shared" ca="1" si="403"/>
        <v>#N/A</v>
      </c>
      <c r="AE856" s="324">
        <f t="shared" ca="1" si="382"/>
        <v>3602.0956138531906</v>
      </c>
      <c r="AG856" s="306">
        <f t="shared" ca="1" si="404"/>
        <v>-22.330098217078685</v>
      </c>
      <c r="AH856" s="304">
        <f t="shared" ca="1" si="405"/>
        <v>-13.541756333015476</v>
      </c>
    </row>
    <row r="857" spans="1:34" x14ac:dyDescent="0.2">
      <c r="A857" s="347">
        <f t="shared" ca="1" si="383"/>
        <v>0.1</v>
      </c>
      <c r="B857" s="304">
        <f t="shared" ca="1" si="384"/>
        <v>13.299999999999855</v>
      </c>
      <c r="D857" s="306">
        <f t="shared" ca="1" si="385"/>
        <v>-5.8875060259442291</v>
      </c>
      <c r="E857" s="307">
        <f t="shared" ca="1" si="386"/>
        <v>-21.606756962873</v>
      </c>
      <c r="F857" s="304">
        <f t="shared" ca="1" si="387"/>
        <v>22.394523296069298</v>
      </c>
      <c r="G857" s="306">
        <f t="shared" ca="1" si="388"/>
        <v>78.335415088639934</v>
      </c>
      <c r="H857" s="307">
        <f t="shared" ca="1" si="389"/>
        <v>155.97915414918461</v>
      </c>
      <c r="I857" s="304">
        <f t="shared" ca="1" si="390"/>
        <v>174.54493343034798</v>
      </c>
      <c r="J857" s="306">
        <f t="shared" ca="1" si="391"/>
        <v>1421.0796400589813</v>
      </c>
      <c r="K857" s="307">
        <f t="shared" ca="1" si="392"/>
        <v>3617.8015630529235</v>
      </c>
      <c r="L857" s="304">
        <f t="shared" ca="1" si="377"/>
        <v>3886.8953540092048</v>
      </c>
      <c r="M857" s="306">
        <f t="shared" ca="1" si="393"/>
        <v>1.1053765260765669</v>
      </c>
      <c r="N857" s="304">
        <f t="shared" ca="1" si="394"/>
        <v>63.333409717019869</v>
      </c>
      <c r="P857" s="310">
        <f t="shared" ca="1" si="395"/>
        <v>23</v>
      </c>
      <c r="Q857" s="304">
        <f t="shared" ca="1" si="396"/>
        <v>0</v>
      </c>
      <c r="R857" s="306">
        <f t="shared" ca="1" si="397"/>
        <v>0</v>
      </c>
      <c r="S857" s="307">
        <f t="shared" ca="1" si="398"/>
        <v>11.416040186296438</v>
      </c>
      <c r="T857" s="304">
        <f t="shared" ca="1" si="378"/>
        <v>111.99135422756807</v>
      </c>
      <c r="U857" s="311">
        <f t="shared" ca="1" si="379"/>
        <v>0</v>
      </c>
      <c r="V857" s="306">
        <f t="shared" ca="1" si="380"/>
        <v>0.84970622823143427</v>
      </c>
      <c r="W857" s="304">
        <f t="shared" ca="1" si="381"/>
        <v>146.55816563036439</v>
      </c>
      <c r="Y857" s="314" t="str">
        <f t="shared" ca="1" si="399"/>
        <v/>
      </c>
      <c r="Z857" s="315" t="str">
        <f t="shared" ca="1" si="400"/>
        <v/>
      </c>
      <c r="AA857" s="316" t="str">
        <f t="shared" ca="1" si="401"/>
        <v/>
      </c>
      <c r="AC857" s="310" t="e">
        <f t="shared" ca="1" si="402"/>
        <v>#N/A</v>
      </c>
      <c r="AD857" s="323" t="e">
        <f t="shared" ca="1" si="403"/>
        <v>#N/A</v>
      </c>
      <c r="AE857" s="324">
        <f t="shared" ca="1" si="382"/>
        <v>3617.8015630529235</v>
      </c>
      <c r="AG857" s="306">
        <f t="shared" ca="1" si="404"/>
        <v>-21.961880804154458</v>
      </c>
      <c r="AH857" s="304">
        <f t="shared" ca="1" si="405"/>
        <v>-13.184316517992965</v>
      </c>
    </row>
    <row r="858" spans="1:34" x14ac:dyDescent="0.2">
      <c r="A858" s="347">
        <f t="shared" ca="1" si="383"/>
        <v>0.1</v>
      </c>
      <c r="B858" s="304">
        <f t="shared" ca="1" si="384"/>
        <v>13.399999999999855</v>
      </c>
      <c r="D858" s="306">
        <f t="shared" ca="1" si="385"/>
        <v>-5.7616309080942978</v>
      </c>
      <c r="E858" s="307">
        <f t="shared" ca="1" si="386"/>
        <v>-21.282388504579124</v>
      </c>
      <c r="F858" s="304">
        <f t="shared" ca="1" si="387"/>
        <v>22.048502243484684</v>
      </c>
      <c r="G858" s="306">
        <f t="shared" ca="1" si="388"/>
        <v>77.759251997830503</v>
      </c>
      <c r="H858" s="307">
        <f t="shared" ca="1" si="389"/>
        <v>153.8509152987267</v>
      </c>
      <c r="I858" s="304">
        <f t="shared" ca="1" si="390"/>
        <v>172.3850498434191</v>
      </c>
      <c r="J858" s="306">
        <f t="shared" ca="1" si="391"/>
        <v>1428.884373413305</v>
      </c>
      <c r="K858" s="307">
        <f t="shared" ca="1" si="392"/>
        <v>3633.2930665253189</v>
      </c>
      <c r="L858" s="304">
        <f t="shared" ca="1" si="377"/>
        <v>3904.1681649034649</v>
      </c>
      <c r="M858" s="306">
        <f t="shared" ca="1" si="393"/>
        <v>1.1028225267238974</v>
      </c>
      <c r="N858" s="304">
        <f t="shared" ca="1" si="394"/>
        <v>63.18707633323276</v>
      </c>
      <c r="P858" s="310">
        <f t="shared" ca="1" si="395"/>
        <v>23</v>
      </c>
      <c r="Q858" s="304">
        <f t="shared" ca="1" si="396"/>
        <v>0</v>
      </c>
      <c r="R858" s="306">
        <f t="shared" ca="1" si="397"/>
        <v>0</v>
      </c>
      <c r="S858" s="307">
        <f t="shared" ca="1" si="398"/>
        <v>11.416040186296438</v>
      </c>
      <c r="T858" s="304">
        <f t="shared" ca="1" si="378"/>
        <v>111.99135422756807</v>
      </c>
      <c r="U858" s="311">
        <f t="shared" ca="1" si="379"/>
        <v>0</v>
      </c>
      <c r="V858" s="306">
        <f t="shared" ca="1" si="380"/>
        <v>0.84834626884497133</v>
      </c>
      <c r="W858" s="304">
        <f t="shared" ca="1" si="381"/>
        <v>142.72467961067832</v>
      </c>
      <c r="Y858" s="314" t="str">
        <f t="shared" ca="1" si="399"/>
        <v/>
      </c>
      <c r="Z858" s="315" t="str">
        <f t="shared" ca="1" si="400"/>
        <v/>
      </c>
      <c r="AA858" s="316" t="str">
        <f t="shared" ca="1" si="401"/>
        <v/>
      </c>
      <c r="AC858" s="310" t="e">
        <f t="shared" ca="1" si="402"/>
        <v>#N/A</v>
      </c>
      <c r="AD858" s="323" t="e">
        <f t="shared" ca="1" si="403"/>
        <v>#N/A</v>
      </c>
      <c r="AE858" s="324">
        <f t="shared" ca="1" si="382"/>
        <v>3633.2930665253189</v>
      </c>
      <c r="AG858" s="306">
        <f t="shared" ca="1" si="404"/>
        <v>-21.604458129381797</v>
      </c>
      <c r="AH858" s="304">
        <f t="shared" ca="1" si="405"/>
        <v>-12.83791605834478</v>
      </c>
    </row>
    <row r="859" spans="1:34" x14ac:dyDescent="0.2">
      <c r="A859" s="347">
        <f t="shared" ca="1" si="383"/>
        <v>0.1</v>
      </c>
      <c r="B859" s="304">
        <f t="shared" ca="1" si="384"/>
        <v>13.499999999999854</v>
      </c>
      <c r="D859" s="306">
        <f t="shared" ca="1" si="385"/>
        <v>-5.6394410772298</v>
      </c>
      <c r="E859" s="307">
        <f t="shared" ca="1" si="386"/>
        <v>-20.967941328052497</v>
      </c>
      <c r="F859" s="304">
        <f t="shared" ca="1" si="387"/>
        <v>21.713080371062016</v>
      </c>
      <c r="G859" s="306">
        <f t="shared" ca="1" si="388"/>
        <v>77.195307890107529</v>
      </c>
      <c r="H859" s="307">
        <f t="shared" ca="1" si="389"/>
        <v>151.75412116592145</v>
      </c>
      <c r="I859" s="304">
        <f t="shared" ca="1" si="390"/>
        <v>170.25988620661553</v>
      </c>
      <c r="J859" s="306">
        <f t="shared" ca="1" si="391"/>
        <v>1436.6321014077018</v>
      </c>
      <c r="K859" s="307">
        <f t="shared" ca="1" si="392"/>
        <v>3648.5733183485513</v>
      </c>
      <c r="L859" s="304">
        <f t="shared" ca="1" si="377"/>
        <v>3921.2241780036074</v>
      </c>
      <c r="M859" s="306">
        <f t="shared" ca="1" si="393"/>
        <v>1.1002235066550399</v>
      </c>
      <c r="N859" s="304">
        <f t="shared" ca="1" si="394"/>
        <v>63.038163452417429</v>
      </c>
      <c r="P859" s="310">
        <f t="shared" ca="1" si="395"/>
        <v>23</v>
      </c>
      <c r="Q859" s="304">
        <f t="shared" ca="1" si="396"/>
        <v>0</v>
      </c>
      <c r="R859" s="306">
        <f t="shared" ca="1" si="397"/>
        <v>0</v>
      </c>
      <c r="S859" s="307">
        <f t="shared" ca="1" si="398"/>
        <v>11.416040186296438</v>
      </c>
      <c r="T859" s="304">
        <f t="shared" ca="1" si="378"/>
        <v>111.99135422756807</v>
      </c>
      <c r="U859" s="311">
        <f t="shared" ca="1" si="379"/>
        <v>0</v>
      </c>
      <c r="V859" s="306">
        <f t="shared" ca="1" si="380"/>
        <v>0.84700660016059759</v>
      </c>
      <c r="W859" s="304">
        <f t="shared" ca="1" si="381"/>
        <v>139.00748862508507</v>
      </c>
      <c r="Y859" s="314" t="str">
        <f t="shared" ca="1" si="399"/>
        <v/>
      </c>
      <c r="Z859" s="315" t="str">
        <f t="shared" ca="1" si="400"/>
        <v/>
      </c>
      <c r="AA859" s="316" t="str">
        <f t="shared" ca="1" si="401"/>
        <v/>
      </c>
      <c r="AC859" s="310" t="e">
        <f t="shared" ca="1" si="402"/>
        <v>#N/A</v>
      </c>
      <c r="AD859" s="323" t="e">
        <f t="shared" ca="1" si="403"/>
        <v>#N/A</v>
      </c>
      <c r="AE859" s="324">
        <f t="shared" ca="1" si="382"/>
        <v>3648.5733183485513</v>
      </c>
      <c r="AG859" s="306">
        <f t="shared" ca="1" si="404"/>
        <v>-21.257386811852918</v>
      </c>
      <c r="AH859" s="304">
        <f t="shared" ca="1" si="405"/>
        <v>-12.502117834343458</v>
      </c>
    </row>
    <row r="860" spans="1:34" x14ac:dyDescent="0.2">
      <c r="A860" s="347">
        <f t="shared" ca="1" si="383"/>
        <v>0.1</v>
      </c>
      <c r="B860" s="304">
        <f t="shared" ca="1" si="384"/>
        <v>13.599999999999854</v>
      </c>
      <c r="D860" s="306">
        <f t="shared" ca="1" si="385"/>
        <v>-5.5207905785830729</v>
      </c>
      <c r="E860" s="307">
        <f t="shared" ca="1" si="386"/>
        <v>-20.663026502422134</v>
      </c>
      <c r="F860" s="304">
        <f t="shared" ca="1" si="387"/>
        <v>21.38784217382322</v>
      </c>
      <c r="G860" s="306">
        <f t="shared" ca="1" si="388"/>
        <v>76.643228832249221</v>
      </c>
      <c r="H860" s="307">
        <f t="shared" ca="1" si="389"/>
        <v>149.68781851567923</v>
      </c>
      <c r="I860" s="304">
        <f t="shared" ca="1" si="390"/>
        <v>168.16844988824579</v>
      </c>
      <c r="J860" s="306">
        <f t="shared" ca="1" si="391"/>
        <v>1444.3240282438196</v>
      </c>
      <c r="K860" s="307">
        <f t="shared" ca="1" si="392"/>
        <v>3663.6454153326313</v>
      </c>
      <c r="L860" s="304">
        <f t="shared" ca="1" si="377"/>
        <v>3938.0667373535284</v>
      </c>
      <c r="M860" s="306">
        <f t="shared" ca="1" si="393"/>
        <v>1.0975786413624378</v>
      </c>
      <c r="N860" s="304">
        <f t="shared" ca="1" si="394"/>
        <v>62.886623833770692</v>
      </c>
      <c r="P860" s="310">
        <f t="shared" ca="1" si="395"/>
        <v>23</v>
      </c>
      <c r="Q860" s="304">
        <f t="shared" ca="1" si="396"/>
        <v>0</v>
      </c>
      <c r="R860" s="306">
        <f t="shared" ca="1" si="397"/>
        <v>0</v>
      </c>
      <c r="S860" s="307">
        <f t="shared" ca="1" si="398"/>
        <v>11.416040186296438</v>
      </c>
      <c r="T860" s="304">
        <f t="shared" ca="1" si="378"/>
        <v>111.99135422756807</v>
      </c>
      <c r="U860" s="311">
        <f t="shared" ca="1" si="379"/>
        <v>0</v>
      </c>
      <c r="V860" s="306">
        <f t="shared" ca="1" si="380"/>
        <v>0.84568687600647219</v>
      </c>
      <c r="W860" s="304">
        <f t="shared" ca="1" si="381"/>
        <v>135.4020869458071</v>
      </c>
      <c r="Y860" s="314" t="str">
        <f t="shared" ca="1" si="399"/>
        <v/>
      </c>
      <c r="Z860" s="315" t="str">
        <f t="shared" ca="1" si="400"/>
        <v/>
      </c>
      <c r="AA860" s="316" t="str">
        <f t="shared" ca="1" si="401"/>
        <v/>
      </c>
      <c r="AC860" s="310" t="e">
        <f t="shared" ca="1" si="402"/>
        <v>#N/A</v>
      </c>
      <c r="AD860" s="323" t="e">
        <f t="shared" ca="1" si="403"/>
        <v>#N/A</v>
      </c>
      <c r="AE860" s="324">
        <f t="shared" ca="1" si="382"/>
        <v>3663.6454153326313</v>
      </c>
      <c r="AG860" s="306">
        <f t="shared" ca="1" si="404"/>
        <v>-20.920245134495698</v>
      </c>
      <c r="AH860" s="304">
        <f t="shared" ca="1" si="405"/>
        <v>-12.176506595688632</v>
      </c>
    </row>
    <row r="861" spans="1:34" x14ac:dyDescent="0.2">
      <c r="A861" s="347">
        <f t="shared" ca="1" si="383"/>
        <v>0.1</v>
      </c>
      <c r="B861" s="304">
        <f t="shared" ca="1" si="384"/>
        <v>13.699999999999854</v>
      </c>
      <c r="D861" s="306">
        <f t="shared" ca="1" si="385"/>
        <v>-5.4055406880266759</v>
      </c>
      <c r="E861" s="307">
        <f t="shared" ca="1" si="386"/>
        <v>-20.367274345258181</v>
      </c>
      <c r="F861" s="304">
        <f t="shared" ca="1" si="387"/>
        <v>21.072392706689101</v>
      </c>
      <c r="G861" s="306">
        <f t="shared" ca="1" si="388"/>
        <v>76.102674763446558</v>
      </c>
      <c r="H861" s="307">
        <f t="shared" ca="1" si="389"/>
        <v>147.6510910811534</v>
      </c>
      <c r="I861" s="304">
        <f t="shared" ca="1" si="390"/>
        <v>166.10978840395285</v>
      </c>
      <c r="J861" s="306">
        <f t="shared" ca="1" si="391"/>
        <v>1451.9613234236044</v>
      </c>
      <c r="K861" s="307">
        <f t="shared" ca="1" si="392"/>
        <v>3678.5123608124727</v>
      </c>
      <c r="L861" s="304">
        <f t="shared" ca="1" si="377"/>
        <v>3954.6990875878505</v>
      </c>
      <c r="M861" s="306">
        <f t="shared" ca="1" si="393"/>
        <v>1.0948870843828948</v>
      </c>
      <c r="N861" s="304">
        <f t="shared" ca="1" si="394"/>
        <v>62.7324089785239</v>
      </c>
      <c r="P861" s="310">
        <f t="shared" ca="1" si="395"/>
        <v>23</v>
      </c>
      <c r="Q861" s="304">
        <f t="shared" ca="1" si="396"/>
        <v>0</v>
      </c>
      <c r="R861" s="306">
        <f t="shared" ca="1" si="397"/>
        <v>0</v>
      </c>
      <c r="S861" s="307">
        <f t="shared" ca="1" si="398"/>
        <v>11.416040186296438</v>
      </c>
      <c r="T861" s="304">
        <f t="shared" ca="1" si="378"/>
        <v>111.99135422756807</v>
      </c>
      <c r="U861" s="311">
        <f t="shared" ca="1" si="379"/>
        <v>0</v>
      </c>
      <c r="V861" s="306">
        <f t="shared" ca="1" si="380"/>
        <v>0.84438676101519583</v>
      </c>
      <c r="W861" s="304">
        <f t="shared" ca="1" si="381"/>
        <v>131.90418978446453</v>
      </c>
      <c r="Y861" s="314" t="str">
        <f t="shared" ca="1" si="399"/>
        <v/>
      </c>
      <c r="Z861" s="315" t="str">
        <f t="shared" ca="1" si="400"/>
        <v/>
      </c>
      <c r="AA861" s="316" t="str">
        <f t="shared" ca="1" si="401"/>
        <v/>
      </c>
      <c r="AC861" s="310" t="e">
        <f t="shared" ca="1" si="402"/>
        <v>#N/A</v>
      </c>
      <c r="AD861" s="323" t="e">
        <f t="shared" ca="1" si="403"/>
        <v>#N/A</v>
      </c>
      <c r="AE861" s="324">
        <f t="shared" ca="1" si="382"/>
        <v>3678.5123608124727</v>
      </c>
      <c r="AG861" s="306">
        <f t="shared" ca="1" si="404"/>
        <v>-20.592631733644637</v>
      </c>
      <c r="AH861" s="304">
        <f t="shared" ca="1" si="405"/>
        <v>-11.860687658435257</v>
      </c>
    </row>
    <row r="862" spans="1:34" x14ac:dyDescent="0.2">
      <c r="A862" s="347">
        <f t="shared" ca="1" si="383"/>
        <v>0.1</v>
      </c>
      <c r="B862" s="304">
        <f t="shared" ca="1" si="384"/>
        <v>13.799999999999853</v>
      </c>
      <c r="D862" s="306">
        <f t="shared" ca="1" si="385"/>
        <v>-5.2935594861403086</v>
      </c>
      <c r="E862" s="307">
        <f t="shared" ca="1" si="386"/>
        <v>-20.080333286722034</v>
      </c>
      <c r="F862" s="304">
        <f t="shared" ca="1" si="387"/>
        <v>20.766356371283408</v>
      </c>
      <c r="G862" s="306">
        <f t="shared" ca="1" si="388"/>
        <v>75.573318814832533</v>
      </c>
      <c r="H862" s="307">
        <f t="shared" ca="1" si="389"/>
        <v>145.64305775248118</v>
      </c>
      <c r="I862" s="304">
        <f t="shared" ca="1" si="390"/>
        <v>164.08298750382653</v>
      </c>
      <c r="J862" s="306">
        <f t="shared" ca="1" si="391"/>
        <v>1459.5451231025183</v>
      </c>
      <c r="K862" s="307">
        <f t="shared" ca="1" si="392"/>
        <v>3693.1770682541546</v>
      </c>
      <c r="L862" s="304">
        <f t="shared" ca="1" si="377"/>
        <v>3971.1243777865607</v>
      </c>
      <c r="M862" s="306">
        <f t="shared" ca="1" si="393"/>
        <v>1.0921479666988771</v>
      </c>
      <c r="N862" s="304">
        <f t="shared" ca="1" si="394"/>
        <v>62.575469095640038</v>
      </c>
      <c r="P862" s="310">
        <f t="shared" ca="1" si="395"/>
        <v>23</v>
      </c>
      <c r="Q862" s="304">
        <f t="shared" ca="1" si="396"/>
        <v>0</v>
      </c>
      <c r="R862" s="306">
        <f t="shared" ca="1" si="397"/>
        <v>0</v>
      </c>
      <c r="S862" s="307">
        <f t="shared" ca="1" si="398"/>
        <v>11.416040186296438</v>
      </c>
      <c r="T862" s="304">
        <f t="shared" ca="1" si="378"/>
        <v>111.99135422756807</v>
      </c>
      <c r="U862" s="311">
        <f t="shared" ca="1" si="379"/>
        <v>0</v>
      </c>
      <c r="V862" s="306">
        <f t="shared" ca="1" si="380"/>
        <v>0.84310593019429936</v>
      </c>
      <c r="W862" s="304">
        <f t="shared" ca="1" si="381"/>
        <v>128.50972039333234</v>
      </c>
      <c r="Y862" s="314" t="str">
        <f t="shared" ca="1" si="399"/>
        <v/>
      </c>
      <c r="Z862" s="315" t="str">
        <f t="shared" ca="1" si="400"/>
        <v/>
      </c>
      <c r="AA862" s="316" t="str">
        <f t="shared" ca="1" si="401"/>
        <v/>
      </c>
      <c r="AC862" s="310" t="e">
        <f t="shared" ca="1" si="402"/>
        <v>#N/A</v>
      </c>
      <c r="AD862" s="323" t="e">
        <f t="shared" ca="1" si="403"/>
        <v>#N/A</v>
      </c>
      <c r="AE862" s="324">
        <f t="shared" ca="1" si="382"/>
        <v>3693.1770682541546</v>
      </c>
      <c r="AG862" s="306">
        <f t="shared" ca="1" si="404"/>
        <v>-20.274164378456724</v>
      </c>
      <c r="AH862" s="304">
        <f t="shared" ca="1" si="405"/>
        <v>-11.554285692056288</v>
      </c>
    </row>
    <row r="863" spans="1:34" x14ac:dyDescent="0.2">
      <c r="A863" s="347">
        <f t="shared" ca="1" si="383"/>
        <v>0.1</v>
      </c>
      <c r="B863" s="304">
        <f t="shared" ca="1" si="384"/>
        <v>13.899999999999853</v>
      </c>
      <c r="D863" s="306">
        <f t="shared" ca="1" si="385"/>
        <v>-5.18472146147906</v>
      </c>
      <c r="E863" s="307">
        <f t="shared" ca="1" si="386"/>
        <v>-19.801868811463642</v>
      </c>
      <c r="F863" s="304">
        <f t="shared" ca="1" si="387"/>
        <v>20.469375785781502</v>
      </c>
      <c r="G863" s="306">
        <f t="shared" ca="1" si="388"/>
        <v>75.054846668684633</v>
      </c>
      <c r="H863" s="307">
        <f t="shared" ca="1" si="389"/>
        <v>143.66287087133483</v>
      </c>
      <c r="I863" s="304">
        <f t="shared" ca="1" si="390"/>
        <v>162.08716937331462</v>
      </c>
      <c r="J863" s="306">
        <f t="shared" ca="1" si="391"/>
        <v>1467.0765313766942</v>
      </c>
      <c r="K863" s="307">
        <f t="shared" ca="1" si="392"/>
        <v>3707.6423646853455</v>
      </c>
      <c r="L863" s="304">
        <f t="shared" ca="1" si="377"/>
        <v>3987.3456651418892</v>
      </c>
      <c r="M863" s="306">
        <f t="shared" ca="1" si="393"/>
        <v>1.0893603961219365</v>
      </c>
      <c r="N863" s="304">
        <f t="shared" ca="1" si="394"/>
        <v>62.415753066486495</v>
      </c>
      <c r="P863" s="310">
        <f t="shared" ca="1" si="395"/>
        <v>23</v>
      </c>
      <c r="Q863" s="304">
        <f t="shared" ca="1" si="396"/>
        <v>0</v>
      </c>
      <c r="R863" s="306">
        <f t="shared" ca="1" si="397"/>
        <v>0</v>
      </c>
      <c r="S863" s="307">
        <f t="shared" ca="1" si="398"/>
        <v>11.416040186296438</v>
      </c>
      <c r="T863" s="304">
        <f t="shared" ca="1" si="378"/>
        <v>111.99135422756807</v>
      </c>
      <c r="U863" s="311">
        <f t="shared" ca="1" si="379"/>
        <v>0</v>
      </c>
      <c r="V863" s="306">
        <f t="shared" ca="1" si="380"/>
        <v>0.84184406851817073</v>
      </c>
      <c r="W863" s="304">
        <f t="shared" ca="1" si="381"/>
        <v>125.21479804109823</v>
      </c>
      <c r="Y863" s="314" t="str">
        <f t="shared" ca="1" si="399"/>
        <v/>
      </c>
      <c r="Z863" s="315" t="str">
        <f t="shared" ca="1" si="400"/>
        <v/>
      </c>
      <c r="AA863" s="316" t="str">
        <f t="shared" ca="1" si="401"/>
        <v/>
      </c>
      <c r="AC863" s="310" t="e">
        <f t="shared" ca="1" si="402"/>
        <v>#N/A</v>
      </c>
      <c r="AD863" s="323" t="e">
        <f t="shared" ca="1" si="403"/>
        <v>#N/A</v>
      </c>
      <c r="AE863" s="324">
        <f t="shared" ca="1" si="382"/>
        <v>3707.6423646853455</v>
      </c>
      <c r="AG863" s="306">
        <f t="shared" ca="1" si="404"/>
        <v>-19.964478833085131</v>
      </c>
      <c r="AH863" s="304">
        <f t="shared" ca="1" si="405"/>
        <v>-11.256943589563793</v>
      </c>
    </row>
    <row r="864" spans="1:34" x14ac:dyDescent="0.2">
      <c r="A864" s="347">
        <f t="shared" ca="1" si="383"/>
        <v>0.1</v>
      </c>
      <c r="B864" s="304">
        <f t="shared" ca="1" si="384"/>
        <v>13.999999999999853</v>
      </c>
      <c r="D864" s="306">
        <f t="shared" ca="1" si="385"/>
        <v>-5.078907140774775</v>
      </c>
      <c r="E864" s="307">
        <f t="shared" ca="1" si="386"/>
        <v>-19.531562472221548</v>
      </c>
      <c r="F864" s="304">
        <f t="shared" ca="1" si="387"/>
        <v>20.181110731347424</v>
      </c>
      <c r="G864" s="306">
        <f t="shared" ca="1" si="388"/>
        <v>74.546955954607157</v>
      </c>
      <c r="H864" s="307">
        <f t="shared" ca="1" si="389"/>
        <v>141.70971462411268</v>
      </c>
      <c r="I864" s="304">
        <f t="shared" ca="1" si="390"/>
        <v>160.12149094030318</v>
      </c>
      <c r="J864" s="306">
        <f t="shared" ca="1" si="391"/>
        <v>1474.5566215078588</v>
      </c>
      <c r="K864" s="307">
        <f t="shared" ca="1" si="392"/>
        <v>3721.910993960118</v>
      </c>
      <c r="L864" s="304">
        <f t="shared" ca="1" si="377"/>
        <v>4003.3659184483581</v>
      </c>
      <c r="M864" s="306">
        <f t="shared" ca="1" si="393"/>
        <v>1.0865234566578859</v>
      </c>
      <c r="N864" s="304">
        <f t="shared" ca="1" si="394"/>
        <v>62.253208408462285</v>
      </c>
      <c r="P864" s="310">
        <f t="shared" ca="1" si="395"/>
        <v>23</v>
      </c>
      <c r="Q864" s="304">
        <f t="shared" ca="1" si="396"/>
        <v>0</v>
      </c>
      <c r="R864" s="306">
        <f t="shared" ca="1" si="397"/>
        <v>0</v>
      </c>
      <c r="S864" s="307">
        <f t="shared" ca="1" si="398"/>
        <v>11.416040186296438</v>
      </c>
      <c r="T864" s="304">
        <f t="shared" ca="1" si="378"/>
        <v>111.99135422756807</v>
      </c>
      <c r="U864" s="311">
        <f t="shared" ca="1" si="379"/>
        <v>0</v>
      </c>
      <c r="V864" s="306">
        <f t="shared" ca="1" si="380"/>
        <v>0.84060087054015109</v>
      </c>
      <c r="W864" s="304">
        <f t="shared" ca="1" si="381"/>
        <v>122.01572679582118</v>
      </c>
      <c r="Y864" s="314" t="str">
        <f t="shared" ca="1" si="399"/>
        <v/>
      </c>
      <c r="Z864" s="315" t="str">
        <f t="shared" ca="1" si="400"/>
        <v/>
      </c>
      <c r="AA864" s="316" t="str">
        <f t="shared" ca="1" si="401"/>
        <v/>
      </c>
      <c r="AC864" s="310">
        <f t="shared" ca="1" si="402"/>
        <v>13.999999999999853</v>
      </c>
      <c r="AD864" s="323">
        <f t="shared" ca="1" si="403"/>
        <v>1474.5566215078588</v>
      </c>
      <c r="AE864" s="324">
        <f t="shared" ca="1" si="382"/>
        <v>3721.910993960118</v>
      </c>
      <c r="AG864" s="306">
        <f t="shared" ca="1" si="404"/>
        <v>-19.663227795143619</v>
      </c>
      <c r="AH864" s="304">
        <f t="shared" ca="1" si="405"/>
        <v>-10.96832141423287</v>
      </c>
    </row>
    <row r="865" spans="1:34" x14ac:dyDescent="0.2">
      <c r="A865" s="347">
        <f t="shared" ca="1" si="383"/>
        <v>0.1</v>
      </c>
      <c r="B865" s="304">
        <f t="shared" ca="1" si="384"/>
        <v>14.099999999999852</v>
      </c>
      <c r="D865" s="306">
        <f t="shared" ca="1" si="385"/>
        <v>-4.976002743999306</v>
      </c>
      <c r="E865" s="307">
        <f t="shared" ca="1" si="386"/>
        <v>-19.269110969605777</v>
      </c>
      <c r="F865" s="304">
        <f t="shared" ca="1" si="387"/>
        <v>19.901237169263378</v>
      </c>
      <c r="G865" s="306">
        <f t="shared" ca="1" si="388"/>
        <v>74.049355680207228</v>
      </c>
      <c r="H865" s="307">
        <f t="shared" ca="1" si="389"/>
        <v>139.78280352715211</v>
      </c>
      <c r="I865" s="304">
        <f t="shared" ca="1" si="390"/>
        <v>158.18514228132884</v>
      </c>
      <c r="J865" s="306">
        <f t="shared" ca="1" si="391"/>
        <v>1481.9864370895996</v>
      </c>
      <c r="K865" s="307">
        <f t="shared" ca="1" si="392"/>
        <v>3735.9856198676812</v>
      </c>
      <c r="L865" s="304">
        <f t="shared" ca="1" si="377"/>
        <v>4019.1880214261719</v>
      </c>
      <c r="M865" s="306">
        <f t="shared" ca="1" si="393"/>
        <v>1.0836362078533632</v>
      </c>
      <c r="N865" s="304">
        <f t="shared" ca="1" si="394"/>
        <v>62.08778123755895</v>
      </c>
      <c r="P865" s="310">
        <f t="shared" ca="1" si="395"/>
        <v>23</v>
      </c>
      <c r="Q865" s="304">
        <f t="shared" ca="1" si="396"/>
        <v>0</v>
      </c>
      <c r="R865" s="306">
        <f t="shared" ca="1" si="397"/>
        <v>0</v>
      </c>
      <c r="S865" s="307">
        <f t="shared" ca="1" si="398"/>
        <v>11.416040186296438</v>
      </c>
      <c r="T865" s="304">
        <f t="shared" ca="1" si="378"/>
        <v>111.99135422756807</v>
      </c>
      <c r="U865" s="311">
        <f t="shared" ca="1" si="379"/>
        <v>0</v>
      </c>
      <c r="V865" s="306">
        <f t="shared" ca="1" si="380"/>
        <v>0.83937604002361865</v>
      </c>
      <c r="W865" s="304">
        <f t="shared" ca="1" si="381"/>
        <v>118.90898505357599</v>
      </c>
      <c r="Y865" s="314" t="str">
        <f t="shared" ca="1" si="399"/>
        <v/>
      </c>
      <c r="Z865" s="315" t="str">
        <f t="shared" ca="1" si="400"/>
        <v/>
      </c>
      <c r="AA865" s="316" t="str">
        <f t="shared" ca="1" si="401"/>
        <v/>
      </c>
      <c r="AC865" s="310" t="e">
        <f t="shared" ca="1" si="402"/>
        <v>#N/A</v>
      </c>
      <c r="AD865" s="323" t="e">
        <f t="shared" ca="1" si="403"/>
        <v>#N/A</v>
      </c>
      <c r="AE865" s="324">
        <f t="shared" ca="1" si="382"/>
        <v>3735.9856198676812</v>
      </c>
      <c r="AG865" s="306">
        <f t="shared" ca="1" si="404"/>
        <v>-19.370079904554764</v>
      </c>
      <c r="AH865" s="304">
        <f t="shared" ca="1" si="405"/>
        <v>-10.688095417033146</v>
      </c>
    </row>
    <row r="866" spans="1:34" x14ac:dyDescent="0.2">
      <c r="A866" s="347">
        <f t="shared" ca="1" si="383"/>
        <v>0.1</v>
      </c>
      <c r="B866" s="304">
        <f t="shared" ca="1" si="384"/>
        <v>14.199999999999852</v>
      </c>
      <c r="D866" s="306">
        <f t="shared" ca="1" si="385"/>
        <v>-4.8758998623965741</v>
      </c>
      <c r="E866" s="307">
        <f t="shared" ca="1" si="386"/>
        <v>-19.014225293017986</v>
      </c>
      <c r="F866" s="304">
        <f t="shared" ca="1" si="387"/>
        <v>19.629446323362355</v>
      </c>
      <c r="G866" s="306">
        <f t="shared" ca="1" si="388"/>
        <v>73.561765693967573</v>
      </c>
      <c r="H866" s="307">
        <f t="shared" ca="1" si="389"/>
        <v>137.8813809978503</v>
      </c>
      <c r="I866" s="304">
        <f t="shared" ca="1" si="390"/>
        <v>156.27734512042537</v>
      </c>
      <c r="J866" s="306">
        <f t="shared" ca="1" si="391"/>
        <v>1489.3669931583083</v>
      </c>
      <c r="K866" s="307">
        <f t="shared" ca="1" si="392"/>
        <v>3749.8688290939313</v>
      </c>
      <c r="L866" s="304">
        <f t="shared" ca="1" si="377"/>
        <v>4034.8147758874525</v>
      </c>
      <c r="M866" s="306">
        <f t="shared" ca="1" si="393"/>
        <v>1.0806976841234308</v>
      </c>
      <c r="N866" s="304">
        <f t="shared" ca="1" si="394"/>
        <v>61.919416229834781</v>
      </c>
      <c r="P866" s="310">
        <f t="shared" ca="1" si="395"/>
        <v>23</v>
      </c>
      <c r="Q866" s="304">
        <f t="shared" ca="1" si="396"/>
        <v>0</v>
      </c>
      <c r="R866" s="306">
        <f t="shared" ca="1" si="397"/>
        <v>0</v>
      </c>
      <c r="S866" s="307">
        <f t="shared" ca="1" si="398"/>
        <v>11.416040186296438</v>
      </c>
      <c r="T866" s="304">
        <f t="shared" ca="1" si="378"/>
        <v>111.99135422756807</v>
      </c>
      <c r="U866" s="311">
        <f t="shared" ca="1" si="379"/>
        <v>0</v>
      </c>
      <c r="V866" s="306">
        <f t="shared" ca="1" si="380"/>
        <v>0.83816928959095116</v>
      </c>
      <c r="W866" s="304">
        <f t="shared" ca="1" si="381"/>
        <v>115.89121575650684</v>
      </c>
      <c r="Y866" s="314" t="str">
        <f t="shared" ca="1" si="399"/>
        <v/>
      </c>
      <c r="Z866" s="315" t="str">
        <f t="shared" ca="1" si="400"/>
        <v/>
      </c>
      <c r="AA866" s="316" t="str">
        <f t="shared" ca="1" si="401"/>
        <v/>
      </c>
      <c r="AC866" s="310" t="e">
        <f t="shared" ca="1" si="402"/>
        <v>#N/A</v>
      </c>
      <c r="AD866" s="323" t="e">
        <f t="shared" ca="1" si="403"/>
        <v>#N/A</v>
      </c>
      <c r="AE866" s="324">
        <f t="shared" ca="1" si="382"/>
        <v>3749.8688290939313</v>
      </c>
      <c r="AG866" s="306">
        <f t="shared" ca="1" si="404"/>
        <v>-19.084718817381312</v>
      </c>
      <c r="AH866" s="304">
        <f t="shared" ca="1" si="405"/>
        <v>-10.415957119379424</v>
      </c>
    </row>
    <row r="867" spans="1:34" x14ac:dyDescent="0.2">
      <c r="A867" s="347">
        <f t="shared" ca="1" si="383"/>
        <v>0.1</v>
      </c>
      <c r="B867" s="304">
        <f t="shared" ca="1" si="384"/>
        <v>14.299999999999851</v>
      </c>
      <c r="D867" s="306">
        <f t="shared" ca="1" si="385"/>
        <v>-4.7784951577516237</v>
      </c>
      <c r="E867" s="307">
        <f t="shared" ca="1" si="386"/>
        <v>-18.76662991809296</v>
      </c>
      <c r="F867" s="304">
        <f t="shared" ca="1" si="387"/>
        <v>19.365443822833431</v>
      </c>
      <c r="G867" s="306">
        <f t="shared" ca="1" si="388"/>
        <v>73.08391617819241</v>
      </c>
      <c r="H867" s="307">
        <f t="shared" ca="1" si="389"/>
        <v>136.004718006041</v>
      </c>
      <c r="I867" s="304">
        <f t="shared" ca="1" si="390"/>
        <v>154.39735141460099</v>
      </c>
      <c r="J867" s="306">
        <f t="shared" ca="1" si="391"/>
        <v>1496.6992772519163</v>
      </c>
      <c r="K867" s="307">
        <f t="shared" ca="1" si="392"/>
        <v>3763.5631340441259</v>
      </c>
      <c r="L867" s="304">
        <f t="shared" ca="1" si="377"/>
        <v>4050.2489047541821</v>
      </c>
      <c r="M867" s="306">
        <f t="shared" ca="1" si="393"/>
        <v>1.077706894059872</v>
      </c>
      <c r="N867" s="304">
        <f t="shared" ca="1" si="394"/>
        <v>61.748056581783196</v>
      </c>
      <c r="P867" s="310">
        <f t="shared" ca="1" si="395"/>
        <v>23</v>
      </c>
      <c r="Q867" s="304">
        <f t="shared" ca="1" si="396"/>
        <v>0</v>
      </c>
      <c r="R867" s="306">
        <f t="shared" ca="1" si="397"/>
        <v>0</v>
      </c>
      <c r="S867" s="307">
        <f t="shared" ca="1" si="398"/>
        <v>11.416040186296438</v>
      </c>
      <c r="T867" s="304">
        <f t="shared" ca="1" si="378"/>
        <v>111.99135422756807</v>
      </c>
      <c r="U867" s="311">
        <f t="shared" ca="1" si="379"/>
        <v>0</v>
      </c>
      <c r="V867" s="306">
        <f t="shared" ca="1" si="380"/>
        <v>0.83698034038934521</v>
      </c>
      <c r="W867" s="304">
        <f t="shared" ca="1" si="381"/>
        <v>112.95921724875792</v>
      </c>
      <c r="Y867" s="314" t="str">
        <f t="shared" ca="1" si="399"/>
        <v/>
      </c>
      <c r="Z867" s="315" t="str">
        <f t="shared" ca="1" si="400"/>
        <v/>
      </c>
      <c r="AA867" s="316" t="str">
        <f t="shared" ca="1" si="401"/>
        <v/>
      </c>
      <c r="AC867" s="310" t="e">
        <f t="shared" ca="1" si="402"/>
        <v>#N/A</v>
      </c>
      <c r="AD867" s="323" t="e">
        <f t="shared" ca="1" si="403"/>
        <v>#N/A</v>
      </c>
      <c r="AE867" s="324">
        <f t="shared" ca="1" si="382"/>
        <v>3763.5631340441259</v>
      </c>
      <c r="AG867" s="306">
        <f t="shared" ca="1" si="404"/>
        <v>-18.806842339698658</v>
      </c>
      <c r="AH867" s="304">
        <f t="shared" ca="1" si="405"/>
        <v>-10.151612456271842</v>
      </c>
    </row>
    <row r="868" spans="1:34" x14ac:dyDescent="0.2">
      <c r="A868" s="347">
        <f t="shared" ca="1" si="383"/>
        <v>0.1</v>
      </c>
      <c r="B868" s="304">
        <f t="shared" ca="1" si="384"/>
        <v>14.399999999999851</v>
      </c>
      <c r="D868" s="306">
        <f t="shared" ca="1" si="385"/>
        <v>-4.6836900813109059</v>
      </c>
      <c r="E868" s="307">
        <f t="shared" ca="1" si="386"/>
        <v>-18.526062056434483</v>
      </c>
      <c r="F868" s="304">
        <f t="shared" ca="1" si="387"/>
        <v>19.108948900884936</v>
      </c>
      <c r="G868" s="306">
        <f t="shared" ca="1" si="388"/>
        <v>72.615547170061319</v>
      </c>
      <c r="H868" s="307">
        <f t="shared" ca="1" si="389"/>
        <v>134.15211180039756</v>
      </c>
      <c r="I868" s="304">
        <f t="shared" ca="1" si="390"/>
        <v>152.54444202039539</v>
      </c>
      <c r="J868" s="306">
        <f t="shared" ca="1" si="391"/>
        <v>1503.9842504193291</v>
      </c>
      <c r="K868" s="307">
        <f t="shared" ca="1" si="392"/>
        <v>3777.0709755344478</v>
      </c>
      <c r="L868" s="304">
        <f t="shared" ca="1" si="377"/>
        <v>4065.4930549361584</v>
      </c>
      <c r="M868" s="306">
        <f t="shared" ca="1" si="393"/>
        <v>1.0746628197198591</v>
      </c>
      <c r="N868" s="304">
        <f t="shared" ca="1" si="394"/>
        <v>61.573643969576388</v>
      </c>
      <c r="P868" s="310">
        <f t="shared" ca="1" si="395"/>
        <v>23</v>
      </c>
      <c r="Q868" s="304">
        <f t="shared" ca="1" si="396"/>
        <v>0</v>
      </c>
      <c r="R868" s="306">
        <f t="shared" ca="1" si="397"/>
        <v>0</v>
      </c>
      <c r="S868" s="307">
        <f t="shared" ca="1" si="398"/>
        <v>11.416040186296438</v>
      </c>
      <c r="T868" s="304">
        <f t="shared" ca="1" si="378"/>
        <v>111.99135422756807</v>
      </c>
      <c r="U868" s="311">
        <f t="shared" ca="1" si="379"/>
        <v>0</v>
      </c>
      <c r="V868" s="306">
        <f t="shared" ca="1" si="380"/>
        <v>0.83580892177252741</v>
      </c>
      <c r="W868" s="304">
        <f t="shared" ca="1" si="381"/>
        <v>110.10993472305248</v>
      </c>
      <c r="Y868" s="314" t="str">
        <f t="shared" ca="1" si="399"/>
        <v/>
      </c>
      <c r="Z868" s="315" t="str">
        <f t="shared" ca="1" si="400"/>
        <v/>
      </c>
      <c r="AA868" s="316" t="str">
        <f t="shared" ca="1" si="401"/>
        <v/>
      </c>
      <c r="AC868" s="310" t="e">
        <f t="shared" ca="1" si="402"/>
        <v>#N/A</v>
      </c>
      <c r="AD868" s="323" t="e">
        <f t="shared" ca="1" si="403"/>
        <v>#N/A</v>
      </c>
      <c r="AE868" s="324">
        <f t="shared" ca="1" si="382"/>
        <v>3777.0709755344478</v>
      </c>
      <c r="AG868" s="306">
        <f t="shared" ca="1" si="404"/>
        <v>-18.536161616981591</v>
      </c>
      <c r="AH868" s="304">
        <f t="shared" ca="1" si="405"/>
        <v>-9.8947809753115319</v>
      </c>
    </row>
    <row r="869" spans="1:34" x14ac:dyDescent="0.2">
      <c r="A869" s="347">
        <f t="shared" ca="1" si="383"/>
        <v>0.1</v>
      </c>
      <c r="B869" s="304">
        <f t="shared" ca="1" si="384"/>
        <v>14.499999999999851</v>
      </c>
      <c r="D869" s="306">
        <f t="shared" ca="1" si="385"/>
        <v>-4.5913906109006017</v>
      </c>
      <c r="E869" s="307">
        <f t="shared" ca="1" si="386"/>
        <v>-18.292270953771471</v>
      </c>
      <c r="F869" s="304">
        <f t="shared" ca="1" si="387"/>
        <v>18.859693645127368</v>
      </c>
      <c r="G869" s="306">
        <f t="shared" ca="1" si="388"/>
        <v>72.156408108971263</v>
      </c>
      <c r="H869" s="307">
        <f t="shared" ca="1" si="389"/>
        <v>132.32288470502041</v>
      </c>
      <c r="I869" s="304">
        <f t="shared" ca="1" si="390"/>
        <v>150.71792543638114</v>
      </c>
      <c r="J869" s="306">
        <f t="shared" ca="1" si="391"/>
        <v>1511.2228481832808</v>
      </c>
      <c r="K869" s="307">
        <f t="shared" ca="1" si="392"/>
        <v>3790.3947253597189</v>
      </c>
      <c r="L869" s="304">
        <f t="shared" ca="1" si="377"/>
        <v>4080.5498000766961</v>
      </c>
      <c r="M869" s="306">
        <f t="shared" ca="1" si="393"/>
        <v>1.0715644158946875</v>
      </c>
      <c r="N869" s="304">
        <f t="shared" ca="1" si="394"/>
        <v>61.396118507166861</v>
      </c>
      <c r="P869" s="310">
        <f t="shared" ca="1" si="395"/>
        <v>23</v>
      </c>
      <c r="Q869" s="304">
        <f t="shared" ca="1" si="396"/>
        <v>0</v>
      </c>
      <c r="R869" s="306">
        <f t="shared" ca="1" si="397"/>
        <v>0</v>
      </c>
      <c r="S869" s="307">
        <f t="shared" ca="1" si="398"/>
        <v>11.416040186296438</v>
      </c>
      <c r="T869" s="304">
        <f t="shared" ca="1" si="378"/>
        <v>111.99135422756807</v>
      </c>
      <c r="U869" s="311">
        <f t="shared" ca="1" si="379"/>
        <v>0</v>
      </c>
      <c r="V869" s="306">
        <f t="shared" ca="1" si="380"/>
        <v>0.83465477099746221</v>
      </c>
      <c r="W869" s="304">
        <f t="shared" ca="1" si="381"/>
        <v>107.34045221460011</v>
      </c>
      <c r="Y869" s="314" t="str">
        <f t="shared" ca="1" si="399"/>
        <v/>
      </c>
      <c r="Z869" s="315" t="str">
        <f t="shared" ca="1" si="400"/>
        <v/>
      </c>
      <c r="AA869" s="316" t="str">
        <f t="shared" ca="1" si="401"/>
        <v/>
      </c>
      <c r="AC869" s="310" t="e">
        <f t="shared" ca="1" si="402"/>
        <v>#N/A</v>
      </c>
      <c r="AD869" s="323" t="e">
        <f t="shared" ca="1" si="403"/>
        <v>#N/A</v>
      </c>
      <c r="AE869" s="324">
        <f t="shared" ca="1" si="382"/>
        <v>3790.3947253597189</v>
      </c>
      <c r="AG869" s="306">
        <f t="shared" ca="1" si="404"/>
        <v>-18.272400374855167</v>
      </c>
      <c r="AH869" s="304">
        <f t="shared" ca="1" si="405"/>
        <v>-9.6451950874547556</v>
      </c>
    </row>
    <row r="870" spans="1:34" x14ac:dyDescent="0.2">
      <c r="A870" s="347">
        <f t="shared" ca="1" si="383"/>
        <v>0.1</v>
      </c>
      <c r="B870" s="304">
        <f t="shared" ca="1" si="384"/>
        <v>14.59999999999985</v>
      </c>
      <c r="D870" s="306">
        <f t="shared" ca="1" si="385"/>
        <v>-4.501507004910076</v>
      </c>
      <c r="E870" s="307">
        <f t="shared" ca="1" si="386"/>
        <v>-18.065017232980864</v>
      </c>
      <c r="F870" s="304">
        <f t="shared" ca="1" si="387"/>
        <v>18.617422295880548</v>
      </c>
      <c r="G870" s="306">
        <f t="shared" ca="1" si="388"/>
        <v>71.706257408480255</v>
      </c>
      <c r="H870" s="307">
        <f t="shared" ca="1" si="389"/>
        <v>130.51638298172233</v>
      </c>
      <c r="I870" s="304">
        <f t="shared" ca="1" si="390"/>
        <v>148.91713661685429</v>
      </c>
      <c r="J870" s="306">
        <f t="shared" ca="1" si="391"/>
        <v>1518.4159814591533</v>
      </c>
      <c r="K870" s="307">
        <f t="shared" ca="1" si="392"/>
        <v>3803.5366887440559</v>
      </c>
      <c r="L870" s="304">
        <f t="shared" ca="1" si="377"/>
        <v>4095.4216431733453</v>
      </c>
      <c r="M870" s="306">
        <f t="shared" ca="1" si="393"/>
        <v>1.0684106093582937</v>
      </c>
      <c r="N870" s="304">
        <f t="shared" ca="1" si="394"/>
        <v>61.215418703230725</v>
      </c>
      <c r="P870" s="310">
        <f t="shared" ca="1" si="395"/>
        <v>23</v>
      </c>
      <c r="Q870" s="304">
        <f t="shared" ca="1" si="396"/>
        <v>0</v>
      </c>
      <c r="R870" s="306">
        <f t="shared" ca="1" si="397"/>
        <v>0</v>
      </c>
      <c r="S870" s="307">
        <f t="shared" ca="1" si="398"/>
        <v>11.416040186296438</v>
      </c>
      <c r="T870" s="304">
        <f t="shared" ca="1" si="378"/>
        <v>111.99135422756807</v>
      </c>
      <c r="U870" s="311">
        <f t="shared" ca="1" si="379"/>
        <v>0</v>
      </c>
      <c r="V870" s="306">
        <f t="shared" ca="1" si="380"/>
        <v>0.83351763293521675</v>
      </c>
      <c r="W870" s="304">
        <f t="shared" ca="1" si="381"/>
        <v>104.64798510256219</v>
      </c>
      <c r="Y870" s="314" t="str">
        <f t="shared" ca="1" si="399"/>
        <v/>
      </c>
      <c r="Z870" s="315" t="str">
        <f t="shared" ca="1" si="400"/>
        <v/>
      </c>
      <c r="AA870" s="316" t="str">
        <f t="shared" ca="1" si="401"/>
        <v/>
      </c>
      <c r="AC870" s="310" t="e">
        <f t="shared" ca="1" si="402"/>
        <v>#N/A</v>
      </c>
      <c r="AD870" s="323" t="e">
        <f t="shared" ca="1" si="403"/>
        <v>#N/A</v>
      </c>
      <c r="AE870" s="324">
        <f t="shared" ca="1" si="382"/>
        <v>3803.5366887440559</v>
      </c>
      <c r="AG870" s="306">
        <f t="shared" ca="1" si="404"/>
        <v>-18.015294207401567</v>
      </c>
      <c r="AH870" s="304">
        <f t="shared" ca="1" si="405"/>
        <v>-9.4025993657108184</v>
      </c>
    </row>
    <row r="871" spans="1:34" x14ac:dyDescent="0.2">
      <c r="A871" s="347">
        <f t="shared" ca="1" si="383"/>
        <v>0.1</v>
      </c>
      <c r="B871" s="304">
        <f t="shared" ca="1" si="384"/>
        <v>14.69999999999985</v>
      </c>
      <c r="D871" s="306">
        <f t="shared" ca="1" si="385"/>
        <v>-4.4139535719169185</v>
      </c>
      <c r="E871" s="307">
        <f t="shared" ca="1" si="386"/>
        <v>-17.84407227871467</v>
      </c>
      <c r="F871" s="304">
        <f t="shared" ca="1" si="387"/>
        <v>18.381890588920157</v>
      </c>
      <c r="G871" s="306">
        <f t="shared" ca="1" si="388"/>
        <v>71.26486205128856</v>
      </c>
      <c r="H871" s="307">
        <f t="shared" ca="1" si="389"/>
        <v>128.73197575385086</v>
      </c>
      <c r="I871" s="304">
        <f t="shared" ca="1" si="390"/>
        <v>147.14143585230923</v>
      </c>
      <c r="J871" s="306">
        <f t="shared" ca="1" si="391"/>
        <v>1525.5645374321416</v>
      </c>
      <c r="K871" s="307">
        <f t="shared" ca="1" si="392"/>
        <v>3816.4991066808348</v>
      </c>
      <c r="L871" s="304">
        <f t="shared" ca="1" si="377"/>
        <v>4110.1110190804038</v>
      </c>
      <c r="M871" s="306">
        <f t="shared" ca="1" si="393"/>
        <v>1.0652002980952979</v>
      </c>
      <c r="N871" s="304">
        <f t="shared" ca="1" si="394"/>
        <v>61.031481416937751</v>
      </c>
      <c r="P871" s="310">
        <f t="shared" ca="1" si="395"/>
        <v>23</v>
      </c>
      <c r="Q871" s="304">
        <f t="shared" ca="1" si="396"/>
        <v>0</v>
      </c>
      <c r="R871" s="306">
        <f t="shared" ca="1" si="397"/>
        <v>0</v>
      </c>
      <c r="S871" s="307">
        <f t="shared" ca="1" si="398"/>
        <v>11.416040186296438</v>
      </c>
      <c r="T871" s="304">
        <f t="shared" ca="1" si="378"/>
        <v>111.99135422756807</v>
      </c>
      <c r="U871" s="311">
        <f t="shared" ca="1" si="379"/>
        <v>0</v>
      </c>
      <c r="V871" s="306">
        <f t="shared" ca="1" si="380"/>
        <v>0.83239725979520085</v>
      </c>
      <c r="W871" s="304">
        <f t="shared" ca="1" si="381"/>
        <v>102.02987308253552</v>
      </c>
      <c r="Y871" s="314" t="str">
        <f t="shared" ca="1" si="399"/>
        <v/>
      </c>
      <c r="Z871" s="315" t="str">
        <f t="shared" ca="1" si="400"/>
        <v/>
      </c>
      <c r="AA871" s="316" t="str">
        <f t="shared" ca="1" si="401"/>
        <v/>
      </c>
      <c r="AC871" s="310" t="e">
        <f t="shared" ca="1" si="402"/>
        <v>#N/A</v>
      </c>
      <c r="AD871" s="323" t="e">
        <f t="shared" ca="1" si="403"/>
        <v>#N/A</v>
      </c>
      <c r="AE871" s="324">
        <f t="shared" ca="1" si="382"/>
        <v>3816.4991066808348</v>
      </c>
      <c r="AG871" s="306">
        <f t="shared" ca="1" si="404"/>
        <v>-17.76458990952559</v>
      </c>
      <c r="AH871" s="304">
        <f t="shared" ca="1" si="405"/>
        <v>-9.1667498883000871</v>
      </c>
    </row>
    <row r="872" spans="1:34" x14ac:dyDescent="0.2">
      <c r="A872" s="347">
        <f t="shared" ca="1" si="383"/>
        <v>0.1</v>
      </c>
      <c r="B872" s="304">
        <f t="shared" ca="1" si="384"/>
        <v>14.79999999999985</v>
      </c>
      <c r="D872" s="306">
        <f t="shared" ca="1" si="385"/>
        <v>-4.3286484548294526</v>
      </c>
      <c r="E872" s="307">
        <f t="shared" ca="1" si="386"/>
        <v>-17.629217660633547</v>
      </c>
      <c r="F872" s="304">
        <f t="shared" ca="1" si="387"/>
        <v>18.152865139461902</v>
      </c>
      <c r="G872" s="306">
        <f t="shared" ca="1" si="388"/>
        <v>70.831997205805621</v>
      </c>
      <c r="H872" s="307">
        <f t="shared" ca="1" si="389"/>
        <v>126.9690539877875</v>
      </c>
      <c r="I872" s="304">
        <f t="shared" ca="1" si="390"/>
        <v>145.39020771261369</v>
      </c>
      <c r="J872" s="306">
        <f t="shared" ca="1" si="391"/>
        <v>1532.6693803949963</v>
      </c>
      <c r="K872" s="307">
        <f t="shared" ca="1" si="392"/>
        <v>3829.2841581679168</v>
      </c>
      <c r="L872" s="304">
        <f t="shared" ca="1" si="377"/>
        <v>4124.6202968996013</v>
      </c>
      <c r="M872" s="306">
        <f t="shared" ca="1" si="393"/>
        <v>1.0619323505083489</v>
      </c>
      <c r="N872" s="304">
        <f t="shared" ca="1" si="394"/>
        <v>60.844241812535614</v>
      </c>
      <c r="P872" s="310">
        <f t="shared" ca="1" si="395"/>
        <v>23</v>
      </c>
      <c r="Q872" s="304">
        <f t="shared" ca="1" si="396"/>
        <v>0</v>
      </c>
      <c r="R872" s="306">
        <f t="shared" ca="1" si="397"/>
        <v>0</v>
      </c>
      <c r="S872" s="307">
        <f t="shared" ca="1" si="398"/>
        <v>11.416040186296438</v>
      </c>
      <c r="T872" s="304">
        <f t="shared" ca="1" si="378"/>
        <v>111.99135422756807</v>
      </c>
      <c r="U872" s="311">
        <f t="shared" ca="1" si="379"/>
        <v>0</v>
      </c>
      <c r="V872" s="306">
        <f t="shared" ca="1" si="380"/>
        <v>0.831293410862045</v>
      </c>
      <c r="W872" s="304">
        <f t="shared" ca="1" si="381"/>
        <v>99.483573576453338</v>
      </c>
      <c r="Y872" s="314" t="str">
        <f t="shared" ca="1" si="399"/>
        <v/>
      </c>
      <c r="Z872" s="315" t="str">
        <f t="shared" ca="1" si="400"/>
        <v/>
      </c>
      <c r="AA872" s="316" t="str">
        <f t="shared" ca="1" si="401"/>
        <v/>
      </c>
      <c r="AC872" s="310" t="e">
        <f t="shared" ca="1" si="402"/>
        <v>#N/A</v>
      </c>
      <c r="AD872" s="323" t="e">
        <f t="shared" ca="1" si="403"/>
        <v>#N/A</v>
      </c>
      <c r="AE872" s="324">
        <f t="shared" ca="1" si="382"/>
        <v>3829.2841581679168</v>
      </c>
      <c r="AG872" s="306">
        <f t="shared" ca="1" si="404"/>
        <v>-17.520044850163963</v>
      </c>
      <c r="AH872" s="304">
        <f t="shared" ca="1" si="405"/>
        <v>-8.9374136230713273</v>
      </c>
    </row>
    <row r="873" spans="1:34" x14ac:dyDescent="0.2">
      <c r="A873" s="347">
        <f t="shared" ca="1" si="383"/>
        <v>0.1</v>
      </c>
      <c r="B873" s="304">
        <f t="shared" ca="1" si="384"/>
        <v>14.899999999999849</v>
      </c>
      <c r="D873" s="306">
        <f t="shared" ca="1" si="385"/>
        <v>-4.24551342851312</v>
      </c>
      <c r="E873" s="307">
        <f t="shared" ca="1" si="386"/>
        <v>-17.420244592490146</v>
      </c>
      <c r="F873" s="304">
        <f t="shared" ca="1" si="387"/>
        <v>17.930122864438697</v>
      </c>
      <c r="G873" s="306">
        <f t="shared" ca="1" si="388"/>
        <v>70.407445862954305</v>
      </c>
      <c r="H873" s="307">
        <f t="shared" ca="1" si="389"/>
        <v>125.22702952853849</v>
      </c>
      <c r="I873" s="304">
        <f t="shared" ca="1" si="390"/>
        <v>143.66286004909651</v>
      </c>
      <c r="J873" s="306">
        <f t="shared" ca="1" si="391"/>
        <v>1539.7313525484344</v>
      </c>
      <c r="K873" s="307">
        <f t="shared" ca="1" si="392"/>
        <v>3841.8939623437332</v>
      </c>
      <c r="L873" s="304">
        <f t="shared" ca="1" si="377"/>
        <v>4138.9517822649086</v>
      </c>
      <c r="M873" s="306">
        <f t="shared" ca="1" si="393"/>
        <v>1.0586056046045786</v>
      </c>
      <c r="N873" s="304">
        <f t="shared" ca="1" si="394"/>
        <v>60.653633312737142</v>
      </c>
      <c r="P873" s="310">
        <f t="shared" ca="1" si="395"/>
        <v>23</v>
      </c>
      <c r="Q873" s="304">
        <f t="shared" ca="1" si="396"/>
        <v>0</v>
      </c>
      <c r="R873" s="306">
        <f t="shared" ca="1" si="397"/>
        <v>0</v>
      </c>
      <c r="S873" s="307">
        <f t="shared" ca="1" si="398"/>
        <v>11.416040186296438</v>
      </c>
      <c r="T873" s="304">
        <f t="shared" ca="1" si="378"/>
        <v>111.99135422756807</v>
      </c>
      <c r="U873" s="311">
        <f t="shared" ca="1" si="379"/>
        <v>0</v>
      </c>
      <c r="V873" s="306">
        <f t="shared" ca="1" si="380"/>
        <v>0.83020585224443078</v>
      </c>
      <c r="W873" s="304">
        <f t="shared" ca="1" si="381"/>
        <v>97.006655548984099</v>
      </c>
      <c r="Y873" s="314" t="str">
        <f t="shared" ca="1" si="399"/>
        <v/>
      </c>
      <c r="Z873" s="315" t="str">
        <f t="shared" ca="1" si="400"/>
        <v/>
      </c>
      <c r="AA873" s="316" t="str">
        <f t="shared" ca="1" si="401"/>
        <v/>
      </c>
      <c r="AC873" s="310" t="e">
        <f t="shared" ca="1" si="402"/>
        <v>#N/A</v>
      </c>
      <c r="AD873" s="323" t="e">
        <f t="shared" ca="1" si="403"/>
        <v>#N/A</v>
      </c>
      <c r="AE873" s="324">
        <f t="shared" ca="1" si="382"/>
        <v>3841.8939623437332</v>
      </c>
      <c r="AG873" s="306">
        <f t="shared" ca="1" si="404"/>
        <v>-17.281426383380932</v>
      </c>
      <c r="AH873" s="304">
        <f t="shared" ca="1" si="405"/>
        <v>-8.7143678502350763</v>
      </c>
    </row>
    <row r="874" spans="1:34" x14ac:dyDescent="0.2">
      <c r="A874" s="347">
        <f t="shared" ca="1" si="383"/>
        <v>0.1</v>
      </c>
      <c r="B874" s="304">
        <f t="shared" ca="1" si="384"/>
        <v>14.999999999999849</v>
      </c>
      <c r="D874" s="306">
        <f t="shared" ca="1" si="385"/>
        <v>-4.1644737099497258</v>
      </c>
      <c r="E874" s="307">
        <f t="shared" ca="1" si="386"/>
        <v>-17.216953424525407</v>
      </c>
      <c r="F874" s="304">
        <f t="shared" ca="1" si="387"/>
        <v>17.713450440361402</v>
      </c>
      <c r="G874" s="306">
        <f t="shared" ca="1" si="388"/>
        <v>69.990998491959331</v>
      </c>
      <c r="H874" s="307">
        <f t="shared" ca="1" si="389"/>
        <v>123.50533418608596</v>
      </c>
      <c r="I874" s="304">
        <f t="shared" ca="1" si="390"/>
        <v>141.95882305203233</v>
      </c>
      <c r="J874" s="306">
        <f t="shared" ca="1" si="391"/>
        <v>1546.7512747661801</v>
      </c>
      <c r="K874" s="307">
        <f t="shared" ca="1" si="392"/>
        <v>3854.3305805294644</v>
      </c>
      <c r="L874" s="304">
        <f t="shared" ca="1" si="377"/>
        <v>4153.1077195270773</v>
      </c>
      <c r="M874" s="306">
        <f t="shared" ca="1" si="393"/>
        <v>1.0552188671610212</v>
      </c>
      <c r="N874" s="304">
        <f t="shared" ca="1" si="394"/>
        <v>60.459587550902377</v>
      </c>
      <c r="P874" s="310">
        <f t="shared" ca="1" si="395"/>
        <v>23</v>
      </c>
      <c r="Q874" s="304">
        <f t="shared" ca="1" si="396"/>
        <v>0</v>
      </c>
      <c r="R874" s="306">
        <f t="shared" ca="1" si="397"/>
        <v>0</v>
      </c>
      <c r="S874" s="307">
        <f t="shared" ca="1" si="398"/>
        <v>11.416040186296438</v>
      </c>
      <c r="T874" s="304">
        <f t="shared" ca="1" si="378"/>
        <v>111.99135422756807</v>
      </c>
      <c r="U874" s="311">
        <f t="shared" ca="1" si="379"/>
        <v>0</v>
      </c>
      <c r="V874" s="306">
        <f t="shared" ca="1" si="380"/>
        <v>0.82913435663523072</v>
      </c>
      <c r="W874" s="304">
        <f t="shared" ca="1" si="381"/>
        <v>94.596793701950162</v>
      </c>
      <c r="Y874" s="314" t="str">
        <f t="shared" ca="1" si="399"/>
        <v/>
      </c>
      <c r="Z874" s="315" t="str">
        <f t="shared" ca="1" si="400"/>
        <v/>
      </c>
      <c r="AA874" s="316" t="str">
        <f t="shared" ca="1" si="401"/>
        <v/>
      </c>
      <c r="AC874" s="310">
        <f t="shared" ca="1" si="402"/>
        <v>14.999999999999849</v>
      </c>
      <c r="AD874" s="323">
        <f t="shared" ca="1" si="403"/>
        <v>1546.7512747661801</v>
      </c>
      <c r="AE874" s="324">
        <f t="shared" ca="1" si="382"/>
        <v>3854.3305805294644</v>
      </c>
      <c r="AG874" s="306">
        <f t="shared" ca="1" si="404"/>
        <v>-17.048511294627396</v>
      </c>
      <c r="AH874" s="304">
        <f t="shared" ca="1" si="405"/>
        <v>-8.4973996207046234</v>
      </c>
    </row>
    <row r="875" spans="1:34" x14ac:dyDescent="0.2">
      <c r="A875" s="347">
        <f t="shared" ca="1" si="383"/>
        <v>0.1</v>
      </c>
      <c r="B875" s="304">
        <f t="shared" ca="1" si="384"/>
        <v>15.099999999999849</v>
      </c>
      <c r="D875" s="306">
        <f t="shared" ca="1" si="385"/>
        <v>-4.0854577800536767</v>
      </c>
      <c r="E875" s="307">
        <f t="shared" ca="1" si="386"/>
        <v>-17.019153166841029</v>
      </c>
      <c r="F875" s="304">
        <f t="shared" ca="1" si="387"/>
        <v>17.502643794267087</v>
      </c>
      <c r="G875" s="306">
        <f t="shared" ca="1" si="388"/>
        <v>69.58245271395397</v>
      </c>
      <c r="H875" s="307">
        <f t="shared" ca="1" si="389"/>
        <v>121.80341886940185</v>
      </c>
      <c r="I875" s="304">
        <f t="shared" ca="1" si="390"/>
        <v>140.27754836025829</v>
      </c>
      <c r="J875" s="306">
        <f t="shared" ca="1" si="391"/>
        <v>1553.7299473264759</v>
      </c>
      <c r="K875" s="307">
        <f t="shared" ca="1" si="392"/>
        <v>3866.5960181822388</v>
      </c>
      <c r="L875" s="304">
        <f t="shared" ca="1" si="377"/>
        <v>4167.09029384316</v>
      </c>
      <c r="M875" s="306">
        <f t="shared" ca="1" si="393"/>
        <v>1.0517709128688939</v>
      </c>
      <c r="N875" s="304">
        <f t="shared" ca="1" si="394"/>
        <v>60.262034322009463</v>
      </c>
      <c r="P875" s="310">
        <f t="shared" ca="1" si="395"/>
        <v>23</v>
      </c>
      <c r="Q875" s="304">
        <f t="shared" ca="1" si="396"/>
        <v>0</v>
      </c>
      <c r="R875" s="306">
        <f t="shared" ca="1" si="397"/>
        <v>0</v>
      </c>
      <c r="S875" s="307">
        <f t="shared" ca="1" si="398"/>
        <v>11.416040186296438</v>
      </c>
      <c r="T875" s="304">
        <f t="shared" ca="1" si="378"/>
        <v>111.99135422756807</v>
      </c>
      <c r="U875" s="311">
        <f t="shared" ca="1" si="379"/>
        <v>0</v>
      </c>
      <c r="V875" s="306">
        <f t="shared" ca="1" si="380"/>
        <v>0.82807870308235143</v>
      </c>
      <c r="W875" s="304">
        <f t="shared" ca="1" si="381"/>
        <v>92.251763020519078</v>
      </c>
      <c r="Y875" s="314" t="str">
        <f t="shared" ca="1" si="399"/>
        <v/>
      </c>
      <c r="Z875" s="315" t="str">
        <f t="shared" ca="1" si="400"/>
        <v/>
      </c>
      <c r="AA875" s="316" t="str">
        <f t="shared" ca="1" si="401"/>
        <v/>
      </c>
      <c r="AC875" s="310" t="e">
        <f t="shared" ca="1" si="402"/>
        <v>#N/A</v>
      </c>
      <c r="AD875" s="323" t="e">
        <f t="shared" ca="1" si="403"/>
        <v>#N/A</v>
      </c>
      <c r="AE875" s="324">
        <f t="shared" ca="1" si="382"/>
        <v>3866.5960181822388</v>
      </c>
      <c r="AG875" s="306">
        <f t="shared" ca="1" si="404"/>
        <v>-16.821085279654259</v>
      </c>
      <c r="AH875" s="304">
        <f t="shared" ca="1" si="405"/>
        <v>-8.2863052475500272</v>
      </c>
    </row>
    <row r="876" spans="1:34" x14ac:dyDescent="0.2">
      <c r="A876" s="347">
        <f t="shared" ca="1" si="383"/>
        <v>0.1</v>
      </c>
      <c r="B876" s="304">
        <f t="shared" ca="1" si="384"/>
        <v>15.199999999999848</v>
      </c>
      <c r="D876" s="306">
        <f t="shared" ca="1" si="385"/>
        <v>-4.0083972163380999</v>
      </c>
      <c r="E876" s="307">
        <f t="shared" ca="1" si="386"/>
        <v>-16.826661041594235</v>
      </c>
      <c r="F876" s="304">
        <f t="shared" ca="1" si="387"/>
        <v>17.297507625454372</v>
      </c>
      <c r="G876" s="306">
        <f t="shared" ca="1" si="388"/>
        <v>69.181612992320154</v>
      </c>
      <c r="H876" s="307">
        <f t="shared" ca="1" si="389"/>
        <v>120.12075276524243</v>
      </c>
      <c r="I876" s="304">
        <f t="shared" ca="1" si="390"/>
        <v>138.6185082198898</v>
      </c>
      <c r="J876" s="306">
        <f t="shared" ca="1" si="391"/>
        <v>1560.6681506117895</v>
      </c>
      <c r="K876" s="307">
        <f t="shared" ca="1" si="392"/>
        <v>3878.6922267639711</v>
      </c>
      <c r="L876" s="304">
        <f t="shared" ca="1" si="377"/>
        <v>4180.901633175944</v>
      </c>
      <c r="M876" s="306">
        <f t="shared" ca="1" si="393"/>
        <v>1.0482604834566953</v>
      </c>
      <c r="N876" s="304">
        <f t="shared" ca="1" si="394"/>
        <v>60.060901532411897</v>
      </c>
      <c r="P876" s="310">
        <f t="shared" ca="1" si="395"/>
        <v>23</v>
      </c>
      <c r="Q876" s="304">
        <f t="shared" ca="1" si="396"/>
        <v>0</v>
      </c>
      <c r="R876" s="306">
        <f t="shared" ca="1" si="397"/>
        <v>0</v>
      </c>
      <c r="S876" s="307">
        <f t="shared" ca="1" si="398"/>
        <v>11.416040186296438</v>
      </c>
      <c r="T876" s="304">
        <f t="shared" ca="1" si="378"/>
        <v>111.99135422756807</v>
      </c>
      <c r="U876" s="311">
        <f t="shared" ca="1" si="379"/>
        <v>0</v>
      </c>
      <c r="V876" s="306">
        <f t="shared" ca="1" si="380"/>
        <v>0.82703867676971432</v>
      </c>
      <c r="W876" s="304">
        <f t="shared" ca="1" si="381"/>
        <v>89.969433646958507</v>
      </c>
      <c r="Y876" s="314" t="str">
        <f t="shared" ca="1" si="399"/>
        <v/>
      </c>
      <c r="Z876" s="315" t="str">
        <f t="shared" ca="1" si="400"/>
        <v/>
      </c>
      <c r="AA876" s="316" t="str">
        <f t="shared" ca="1" si="401"/>
        <v/>
      </c>
      <c r="AC876" s="310" t="e">
        <f t="shared" ca="1" si="402"/>
        <v>#N/A</v>
      </c>
      <c r="AD876" s="323" t="e">
        <f t="shared" ca="1" si="403"/>
        <v>#N/A</v>
      </c>
      <c r="AE876" s="324">
        <f t="shared" ca="1" si="382"/>
        <v>3878.6922267639711</v>
      </c>
      <c r="AG876" s="306">
        <f t="shared" ca="1" si="404"/>
        <v>-16.598942453766245</v>
      </c>
      <c r="AH876" s="304">
        <f t="shared" ca="1" si="405"/>
        <v>-8.0808898282660255</v>
      </c>
    </row>
    <row r="877" spans="1:34" x14ac:dyDescent="0.2">
      <c r="A877" s="347">
        <f t="shared" ca="1" si="383"/>
        <v>0.1</v>
      </c>
      <c r="B877" s="304">
        <f t="shared" ca="1" si="384"/>
        <v>15.299999999999848</v>
      </c>
      <c r="D877" s="306">
        <f t="shared" ca="1" si="385"/>
        <v>-3.9332265356864591</v>
      </c>
      <c r="E877" s="307">
        <f t="shared" ca="1" si="386"/>
        <v>-16.639302062028133</v>
      </c>
      <c r="F877" s="304">
        <f t="shared" ca="1" si="387"/>
        <v>17.097854955883847</v>
      </c>
      <c r="G877" s="306">
        <f t="shared" ca="1" si="388"/>
        <v>68.788290338751509</v>
      </c>
      <c r="H877" s="307">
        <f t="shared" ca="1" si="389"/>
        <v>118.45682255903962</v>
      </c>
      <c r="I877" s="304">
        <f t="shared" ca="1" si="390"/>
        <v>136.98119468931557</v>
      </c>
      <c r="J877" s="306">
        <f t="shared" ca="1" si="391"/>
        <v>1567.5666457783432</v>
      </c>
      <c r="K877" s="307">
        <f t="shared" ca="1" si="392"/>
        <v>3890.6211055301851</v>
      </c>
      <c r="L877" s="304">
        <f t="shared" ca="1" si="377"/>
        <v>4194.5438102079333</v>
      </c>
      <c r="M877" s="306">
        <f t="shared" ca="1" si="393"/>
        <v>1.0446862867921349</v>
      </c>
      <c r="N877" s="304">
        <f t="shared" ca="1" si="394"/>
        <v>59.856115148382848</v>
      </c>
      <c r="P877" s="310">
        <f t="shared" ca="1" si="395"/>
        <v>23</v>
      </c>
      <c r="Q877" s="304">
        <f t="shared" ca="1" si="396"/>
        <v>0</v>
      </c>
      <c r="R877" s="306">
        <f t="shared" ca="1" si="397"/>
        <v>0</v>
      </c>
      <c r="S877" s="307">
        <f t="shared" ca="1" si="398"/>
        <v>11.416040186296438</v>
      </c>
      <c r="T877" s="304">
        <f t="shared" ca="1" si="378"/>
        <v>111.99135422756807</v>
      </c>
      <c r="U877" s="311">
        <f t="shared" ca="1" si="379"/>
        <v>0</v>
      </c>
      <c r="V877" s="306">
        <f t="shared" ca="1" si="380"/>
        <v>0.82601406880784334</v>
      </c>
      <c r="W877" s="304">
        <f t="shared" ca="1" si="381"/>
        <v>87.747766059608537</v>
      </c>
      <c r="Y877" s="314" t="str">
        <f t="shared" ca="1" si="399"/>
        <v/>
      </c>
      <c r="Z877" s="315" t="str">
        <f t="shared" ca="1" si="400"/>
        <v/>
      </c>
      <c r="AA877" s="316" t="str">
        <f t="shared" ca="1" si="401"/>
        <v/>
      </c>
      <c r="AC877" s="310" t="e">
        <f t="shared" ca="1" si="402"/>
        <v>#N/A</v>
      </c>
      <c r="AD877" s="323" t="e">
        <f t="shared" ca="1" si="403"/>
        <v>#N/A</v>
      </c>
      <c r="AE877" s="324">
        <f t="shared" ca="1" si="382"/>
        <v>3890.6211055301851</v>
      </c>
      <c r="AG877" s="306">
        <f t="shared" ca="1" si="404"/>
        <v>-16.381884889280766</v>
      </c>
      <c r="AH877" s="304">
        <f t="shared" ca="1" si="405"/>
        <v>-7.8809667957332366</v>
      </c>
    </row>
    <row r="878" spans="1:34" x14ac:dyDescent="0.2">
      <c r="A878" s="347">
        <f t="shared" ca="1" si="383"/>
        <v>0.1</v>
      </c>
      <c r="B878" s="304">
        <f t="shared" ca="1" si="384"/>
        <v>15.399999999999848</v>
      </c>
      <c r="D878" s="306">
        <f t="shared" ca="1" si="385"/>
        <v>-3.859883046542687</v>
      </c>
      <c r="E878" s="307">
        <f t="shared" ca="1" si="386"/>
        <v>-16.456908636503425</v>
      </c>
      <c r="F878" s="304">
        <f t="shared" ca="1" si="387"/>
        <v>16.9035067072844</v>
      </c>
      <c r="G878" s="306">
        <f t="shared" ca="1" si="388"/>
        <v>68.402302034097247</v>
      </c>
      <c r="H878" s="307">
        <f t="shared" ca="1" si="389"/>
        <v>116.81113169538928</v>
      </c>
      <c r="I878" s="304">
        <f t="shared" ca="1" si="390"/>
        <v>135.36511888784881</v>
      </c>
      <c r="J878" s="306">
        <f t="shared" ca="1" si="391"/>
        <v>1574.4261753969856</v>
      </c>
      <c r="K878" s="307">
        <f t="shared" ca="1" si="392"/>
        <v>3902.3845032429067</v>
      </c>
      <c r="L878" s="304">
        <f t="shared" ca="1" si="377"/>
        <v>4208.0188441742475</v>
      </c>
      <c r="M878" s="306">
        <f t="shared" ca="1" si="393"/>
        <v>1.0410469959629833</v>
      </c>
      <c r="N878" s="304">
        <f t="shared" ca="1" si="394"/>
        <v>59.647599143451799</v>
      </c>
      <c r="P878" s="310">
        <f t="shared" ca="1" si="395"/>
        <v>23</v>
      </c>
      <c r="Q878" s="304">
        <f t="shared" ca="1" si="396"/>
        <v>0</v>
      </c>
      <c r="R878" s="306">
        <f t="shared" ca="1" si="397"/>
        <v>0</v>
      </c>
      <c r="S878" s="307">
        <f t="shared" ca="1" si="398"/>
        <v>11.416040186296438</v>
      </c>
      <c r="T878" s="304">
        <f t="shared" ca="1" si="378"/>
        <v>111.99135422756807</v>
      </c>
      <c r="U878" s="311">
        <f t="shared" ca="1" si="379"/>
        <v>0</v>
      </c>
      <c r="V878" s="306">
        <f t="shared" ca="1" si="380"/>
        <v>0.82500467603355765</v>
      </c>
      <c r="W878" s="304">
        <f t="shared" ca="1" si="381"/>
        <v>85.584806536428061</v>
      </c>
      <c r="Y878" s="314" t="str">
        <f t="shared" ca="1" si="399"/>
        <v/>
      </c>
      <c r="Z878" s="315" t="str">
        <f t="shared" ca="1" si="400"/>
        <v/>
      </c>
      <c r="AA878" s="316" t="str">
        <f t="shared" ca="1" si="401"/>
        <v/>
      </c>
      <c r="AC878" s="310" t="e">
        <f t="shared" ca="1" si="402"/>
        <v>#N/A</v>
      </c>
      <c r="AD878" s="323" t="e">
        <f t="shared" ca="1" si="403"/>
        <v>#N/A</v>
      </c>
      <c r="AE878" s="324">
        <f t="shared" ca="1" si="382"/>
        <v>3902.3845032429067</v>
      </c>
      <c r="AG878" s="306">
        <f t="shared" ca="1" si="404"/>
        <v>-16.169722179219541</v>
      </c>
      <c r="AH878" s="304">
        <f t="shared" ca="1" si="405"/>
        <v>-7.6863574959151784</v>
      </c>
    </row>
    <row r="879" spans="1:34" x14ac:dyDescent="0.2">
      <c r="A879" s="347">
        <f t="shared" ca="1" si="383"/>
        <v>0.1</v>
      </c>
      <c r="B879" s="304">
        <f t="shared" ca="1" si="384"/>
        <v>15.499999999999847</v>
      </c>
      <c r="D879" s="306">
        <f t="shared" ca="1" si="385"/>
        <v>-3.7883067098852403</v>
      </c>
      <c r="E879" s="307">
        <f t="shared" ca="1" si="386"/>
        <v>-16.279320195837062</v>
      </c>
      <c r="F879" s="304">
        <f t="shared" ca="1" si="387"/>
        <v>16.714291303155811</v>
      </c>
      <c r="G879" s="306">
        <f t="shared" ca="1" si="388"/>
        <v>68.023471363108726</v>
      </c>
      <c r="H879" s="307">
        <f t="shared" ca="1" si="389"/>
        <v>115.18319967580557</v>
      </c>
      <c r="I879" s="304">
        <f t="shared" ca="1" si="390"/>
        <v>133.76981028559536</v>
      </c>
      <c r="J879" s="306">
        <f t="shared" ca="1" si="391"/>
        <v>1581.2474640668459</v>
      </c>
      <c r="K879" s="307">
        <f t="shared" ca="1" si="392"/>
        <v>3913.9842198114666</v>
      </c>
      <c r="L879" s="304">
        <f t="shared" ca="1" si="377"/>
        <v>4221.3287026185253</v>
      </c>
      <c r="M879" s="306">
        <f t="shared" ca="1" si="393"/>
        <v>1.0373412483370041</v>
      </c>
      <c r="N879" s="304">
        <f t="shared" ca="1" si="394"/>
        <v>59.435275444542562</v>
      </c>
      <c r="P879" s="310">
        <f t="shared" ca="1" si="395"/>
        <v>23</v>
      </c>
      <c r="Q879" s="304">
        <f t="shared" ca="1" si="396"/>
        <v>0</v>
      </c>
      <c r="R879" s="306">
        <f t="shared" ca="1" si="397"/>
        <v>0</v>
      </c>
      <c r="S879" s="307">
        <f t="shared" ca="1" si="398"/>
        <v>11.416040186296438</v>
      </c>
      <c r="T879" s="304">
        <f t="shared" ca="1" si="378"/>
        <v>111.99135422756807</v>
      </c>
      <c r="U879" s="311">
        <f t="shared" ca="1" si="379"/>
        <v>0</v>
      </c>
      <c r="V879" s="306">
        <f t="shared" ca="1" si="380"/>
        <v>0.82401030081830118</v>
      </c>
      <c r="W879" s="304">
        <f t="shared" ca="1" si="381"/>
        <v>83.478682884036616</v>
      </c>
      <c r="Y879" s="314" t="str">
        <f t="shared" ca="1" si="399"/>
        <v/>
      </c>
      <c r="Z879" s="315" t="str">
        <f t="shared" ca="1" si="400"/>
        <v/>
      </c>
      <c r="AA879" s="316" t="str">
        <f t="shared" ca="1" si="401"/>
        <v/>
      </c>
      <c r="AC879" s="310" t="e">
        <f t="shared" ca="1" si="402"/>
        <v>#N/A</v>
      </c>
      <c r="AD879" s="323" t="e">
        <f t="shared" ca="1" si="403"/>
        <v>#N/A</v>
      </c>
      <c r="AE879" s="324">
        <f t="shared" ca="1" si="382"/>
        <v>3913.9842198114666</v>
      </c>
      <c r="AG879" s="306">
        <f t="shared" ca="1" si="404"/>
        <v>-15.962271025410088</v>
      </c>
      <c r="AH879" s="304">
        <f t="shared" ca="1" si="405"/>
        <v>-7.4968907904828654</v>
      </c>
    </row>
    <row r="880" spans="1:34" x14ac:dyDescent="0.2">
      <c r="A880" s="347">
        <f t="shared" ca="1" si="383"/>
        <v>0.1</v>
      </c>
      <c r="B880" s="304">
        <f t="shared" ca="1" si="384"/>
        <v>15.599999999999847</v>
      </c>
      <c r="D880" s="306">
        <f t="shared" ca="1" si="385"/>
        <v>-3.7184400083987934</v>
      </c>
      <c r="E880" s="307">
        <f t="shared" ca="1" si="386"/>
        <v>-16.106382842381429</v>
      </c>
      <c r="F880" s="304">
        <f t="shared" ca="1" si="387"/>
        <v>16.530044293994486</v>
      </c>
      <c r="G880" s="306">
        <f t="shared" ca="1" si="388"/>
        <v>67.65162736226884</v>
      </c>
      <c r="H880" s="307">
        <f t="shared" ca="1" si="389"/>
        <v>113.57256139156742</v>
      </c>
      <c r="I880" s="304">
        <f t="shared" ca="1" si="390"/>
        <v>132.19481603226592</v>
      </c>
      <c r="J880" s="306">
        <f t="shared" ca="1" si="391"/>
        <v>1588.0312190031148</v>
      </c>
      <c r="K880" s="307">
        <f t="shared" ca="1" si="392"/>
        <v>3925.422007864835</v>
      </c>
      <c r="L880" s="304">
        <f t="shared" ca="1" si="377"/>
        <v>4234.4753030757083</v>
      </c>
      <c r="M880" s="306">
        <f t="shared" ca="1" si="393"/>
        <v>1.0335676446012232</v>
      </c>
      <c r="N880" s="304">
        <f t="shared" ca="1" si="394"/>
        <v>59.219063876927514</v>
      </c>
      <c r="P880" s="310">
        <f t="shared" ca="1" si="395"/>
        <v>23</v>
      </c>
      <c r="Q880" s="304">
        <f t="shared" ca="1" si="396"/>
        <v>0</v>
      </c>
      <c r="R880" s="306">
        <f t="shared" ca="1" si="397"/>
        <v>0</v>
      </c>
      <c r="S880" s="307">
        <f t="shared" ca="1" si="398"/>
        <v>11.416040186296438</v>
      </c>
      <c r="T880" s="304">
        <f t="shared" ca="1" si="378"/>
        <v>111.99135422756807</v>
      </c>
      <c r="U880" s="311">
        <f t="shared" ca="1" si="379"/>
        <v>0</v>
      </c>
      <c r="V880" s="306">
        <f t="shared" ca="1" si="380"/>
        <v>0.82303075088466882</v>
      </c>
      <c r="W880" s="304">
        <f t="shared" ca="1" si="381"/>
        <v>81.427600414599652</v>
      </c>
      <c r="Y880" s="314" t="str">
        <f t="shared" ca="1" si="399"/>
        <v/>
      </c>
      <c r="Z880" s="315" t="str">
        <f t="shared" ca="1" si="400"/>
        <v/>
      </c>
      <c r="AA880" s="316" t="str">
        <f t="shared" ca="1" si="401"/>
        <v/>
      </c>
      <c r="AC880" s="310" t="e">
        <f t="shared" ca="1" si="402"/>
        <v>#N/A</v>
      </c>
      <c r="AD880" s="323" t="e">
        <f t="shared" ca="1" si="403"/>
        <v>#N/A</v>
      </c>
      <c r="AE880" s="324">
        <f t="shared" ca="1" si="382"/>
        <v>3925.422007864835</v>
      </c>
      <c r="AG880" s="306">
        <f t="shared" ca="1" si="404"/>
        <v>-15.759354849311245</v>
      </c>
      <c r="AH880" s="304">
        <f t="shared" ca="1" si="405"/>
        <v>-7.3124026826957547</v>
      </c>
    </row>
    <row r="881" spans="1:34" x14ac:dyDescent="0.2">
      <c r="A881" s="347">
        <f t="shared" ca="1" si="383"/>
        <v>0.1</v>
      </c>
      <c r="B881" s="304">
        <f t="shared" ca="1" si="384"/>
        <v>15.699999999999847</v>
      </c>
      <c r="D881" s="306">
        <f t="shared" ca="1" si="385"/>
        <v>-3.6502278233010856</v>
      </c>
      <c r="E881" s="307">
        <f t="shared" ca="1" si="386"/>
        <v>-15.937949019394688</v>
      </c>
      <c r="F881" s="304">
        <f t="shared" ca="1" si="387"/>
        <v>16.350608004194385</v>
      </c>
      <c r="G881" s="306">
        <f t="shared" ca="1" si="388"/>
        <v>67.286604579938725</v>
      </c>
      <c r="H881" s="307">
        <f t="shared" ca="1" si="389"/>
        <v>111.97876648962794</v>
      </c>
      <c r="I881" s="304">
        <f t="shared" ca="1" si="390"/>
        <v>130.63970032281784</v>
      </c>
      <c r="J881" s="306">
        <f t="shared" ca="1" si="391"/>
        <v>1594.778130600225</v>
      </c>
      <c r="K881" s="307">
        <f t="shared" ca="1" si="392"/>
        <v>3936.6995742588947</v>
      </c>
      <c r="L881" s="304">
        <f t="shared" ca="1" si="377"/>
        <v>4247.4605146853237</v>
      </c>
      <c r="M881" s="306">
        <f t="shared" ca="1" si="393"/>
        <v>1.0297247477808864</v>
      </c>
      <c r="N881" s="304">
        <f t="shared" ca="1" si="394"/>
        <v>58.998882108017973</v>
      </c>
      <c r="P881" s="310">
        <f t="shared" ca="1" si="395"/>
        <v>23</v>
      </c>
      <c r="Q881" s="304">
        <f t="shared" ca="1" si="396"/>
        <v>0</v>
      </c>
      <c r="R881" s="306">
        <f t="shared" ca="1" si="397"/>
        <v>0</v>
      </c>
      <c r="S881" s="307">
        <f t="shared" ca="1" si="398"/>
        <v>11.416040186296438</v>
      </c>
      <c r="T881" s="304">
        <f t="shared" ca="1" si="378"/>
        <v>111.99135422756807</v>
      </c>
      <c r="U881" s="311">
        <f t="shared" ca="1" si="379"/>
        <v>0</v>
      </c>
      <c r="V881" s="306">
        <f t="shared" ca="1" si="380"/>
        <v>0.82206583913071041</v>
      </c>
      <c r="W881" s="304">
        <f t="shared" ca="1" si="381"/>
        <v>79.429838154221031</v>
      </c>
      <c r="Y881" s="314" t="str">
        <f t="shared" ca="1" si="399"/>
        <v/>
      </c>
      <c r="Z881" s="315" t="str">
        <f t="shared" ca="1" si="400"/>
        <v/>
      </c>
      <c r="AA881" s="316" t="str">
        <f t="shared" ca="1" si="401"/>
        <v/>
      </c>
      <c r="AC881" s="310" t="e">
        <f t="shared" ca="1" si="402"/>
        <v>#N/A</v>
      </c>
      <c r="AD881" s="323" t="e">
        <f t="shared" ca="1" si="403"/>
        <v>#N/A</v>
      </c>
      <c r="AE881" s="324">
        <f t="shared" ca="1" si="382"/>
        <v>3936.6995742588947</v>
      </c>
      <c r="AG881" s="306">
        <f t="shared" ca="1" si="404"/>
        <v>-15.560803424002209</v>
      </c>
      <c r="AH881" s="304">
        <f t="shared" ca="1" si="405"/>
        <v>-7.1327359649927953</v>
      </c>
    </row>
    <row r="882" spans="1:34" x14ac:dyDescent="0.2">
      <c r="A882" s="347">
        <f t="shared" ca="1" si="383"/>
        <v>0.1</v>
      </c>
      <c r="B882" s="304">
        <f t="shared" ca="1" si="384"/>
        <v>15.799999999999846</v>
      </c>
      <c r="D882" s="306">
        <f t="shared" ca="1" si="385"/>
        <v>-3.5836173183231095</v>
      </c>
      <c r="E882" s="307">
        <f t="shared" ca="1" si="386"/>
        <v>-15.773877199360616</v>
      </c>
      <c r="F882" s="304">
        <f t="shared" ca="1" si="387"/>
        <v>16.175831199190167</v>
      </c>
      <c r="G882" s="306">
        <f t="shared" ca="1" si="388"/>
        <v>66.928242848106407</v>
      </c>
      <c r="H882" s="307">
        <f t="shared" ca="1" si="389"/>
        <v>110.40137876969189</v>
      </c>
      <c r="I882" s="304">
        <f t="shared" ca="1" si="390"/>
        <v>129.10404379795423</v>
      </c>
      <c r="J882" s="306">
        <f t="shared" ca="1" si="391"/>
        <v>1601.4888729716272</v>
      </c>
      <c r="K882" s="307">
        <f t="shared" ca="1" si="392"/>
        <v>3947.8185815218608</v>
      </c>
      <c r="L882" s="304">
        <f t="shared" ca="1" si="377"/>
        <v>4260.2861597387109</v>
      </c>
      <c r="M882" s="306">
        <f t="shared" ca="1" si="393"/>
        <v>1.0258110822385755</v>
      </c>
      <c r="N882" s="304">
        <f t="shared" ca="1" si="394"/>
        <v>58.774645590017784</v>
      </c>
      <c r="P882" s="310">
        <f t="shared" ca="1" si="395"/>
        <v>23</v>
      </c>
      <c r="Q882" s="304">
        <f t="shared" ca="1" si="396"/>
        <v>0</v>
      </c>
      <c r="R882" s="306">
        <f t="shared" ca="1" si="397"/>
        <v>0</v>
      </c>
      <c r="S882" s="307">
        <f t="shared" ca="1" si="398"/>
        <v>11.416040186296438</v>
      </c>
      <c r="T882" s="304">
        <f t="shared" ca="1" si="378"/>
        <v>111.99135422756807</v>
      </c>
      <c r="U882" s="311">
        <f t="shared" ca="1" si="379"/>
        <v>0</v>
      </c>
      <c r="V882" s="306">
        <f t="shared" ca="1" si="380"/>
        <v>0.82111538346162372</v>
      </c>
      <c r="W882" s="304">
        <f t="shared" ca="1" si="381"/>
        <v>77.48374526770823</v>
      </c>
      <c r="Y882" s="314" t="str">
        <f t="shared" ca="1" si="399"/>
        <v/>
      </c>
      <c r="Z882" s="315" t="str">
        <f t="shared" ca="1" si="400"/>
        <v/>
      </c>
      <c r="AA882" s="316" t="str">
        <f t="shared" ca="1" si="401"/>
        <v/>
      </c>
      <c r="AC882" s="310" t="e">
        <f t="shared" ca="1" si="402"/>
        <v>#N/A</v>
      </c>
      <c r="AD882" s="323" t="e">
        <f t="shared" ca="1" si="403"/>
        <v>#N/A</v>
      </c>
      <c r="AE882" s="324">
        <f t="shared" ca="1" si="382"/>
        <v>3947.8185815218608</v>
      </c>
      <c r="AG882" s="306">
        <f t="shared" ca="1" si="404"/>
        <v>-15.366452525890146</v>
      </c>
      <c r="AH882" s="304">
        <f t="shared" ca="1" si="405"/>
        <v>-6.9577398868625959</v>
      </c>
    </row>
    <row r="883" spans="1:34" x14ac:dyDescent="0.2">
      <c r="A883" s="347">
        <f t="shared" ca="1" si="383"/>
        <v>0.1</v>
      </c>
      <c r="B883" s="304">
        <f t="shared" ca="1" si="384"/>
        <v>15.899999999999846</v>
      </c>
      <c r="D883" s="306">
        <f t="shared" ca="1" si="385"/>
        <v>-3.5185578303776981</v>
      </c>
      <c r="E883" s="307">
        <f t="shared" ca="1" si="386"/>
        <v>-15.614031590014829</v>
      </c>
      <c r="F883" s="304">
        <f t="shared" ca="1" si="387"/>
        <v>16.005568771514909</v>
      </c>
      <c r="G883" s="306">
        <f t="shared" ca="1" si="388"/>
        <v>66.576387065068644</v>
      </c>
      <c r="H883" s="307">
        <f t="shared" ca="1" si="389"/>
        <v>108.8399756106904</v>
      </c>
      <c r="I883" s="304">
        <f t="shared" ca="1" si="390"/>
        <v>127.58744297764385</v>
      </c>
      <c r="J883" s="306">
        <f t="shared" ca="1" si="391"/>
        <v>1608.1641044672861</v>
      </c>
      <c r="K883" s="307">
        <f t="shared" ca="1" si="392"/>
        <v>3958.7806492408799</v>
      </c>
      <c r="L883" s="304">
        <f t="shared" ca="1" si="377"/>
        <v>4272.9540151634101</v>
      </c>
      <c r="M883" s="306">
        <f t="shared" ca="1" si="393"/>
        <v>1.0218251326540644</v>
      </c>
      <c r="N883" s="304">
        <f t="shared" ca="1" si="394"/>
        <v>58.546267501473366</v>
      </c>
      <c r="P883" s="310">
        <f t="shared" ca="1" si="395"/>
        <v>23</v>
      </c>
      <c r="Q883" s="304">
        <f t="shared" ca="1" si="396"/>
        <v>0</v>
      </c>
      <c r="R883" s="306">
        <f t="shared" ca="1" si="397"/>
        <v>0</v>
      </c>
      <c r="S883" s="307">
        <f t="shared" ca="1" si="398"/>
        <v>11.416040186296438</v>
      </c>
      <c r="T883" s="304">
        <f t="shared" ca="1" si="378"/>
        <v>111.99135422756807</v>
      </c>
      <c r="U883" s="311">
        <f t="shared" ca="1" si="379"/>
        <v>0</v>
      </c>
      <c r="V883" s="306">
        <f t="shared" ca="1" si="380"/>
        <v>0.8201792066284701</v>
      </c>
      <c r="W883" s="304">
        <f t="shared" ca="1" si="381"/>
        <v>75.587737685684715</v>
      </c>
      <c r="Y883" s="314" t="str">
        <f t="shared" ca="1" si="399"/>
        <v/>
      </c>
      <c r="Z883" s="315" t="str">
        <f t="shared" ca="1" si="400"/>
        <v/>
      </c>
      <c r="AA883" s="316" t="str">
        <f t="shared" ca="1" si="401"/>
        <v/>
      </c>
      <c r="AC883" s="310" t="e">
        <f t="shared" ca="1" si="402"/>
        <v>#N/A</v>
      </c>
      <c r="AD883" s="323" t="e">
        <f t="shared" ca="1" si="403"/>
        <v>#N/A</v>
      </c>
      <c r="AE883" s="324">
        <f t="shared" ca="1" si="382"/>
        <v>3958.7806492408799</v>
      </c>
      <c r="AG883" s="306">
        <f t="shared" ca="1" si="404"/>
        <v>-15.176143604797245</v>
      </c>
      <c r="AH883" s="304">
        <f t="shared" ca="1" si="405"/>
        <v>-6.7872698416669905</v>
      </c>
    </row>
    <row r="884" spans="1:34" x14ac:dyDescent="0.2">
      <c r="A884" s="347">
        <f t="shared" ca="1" si="383"/>
        <v>0.1</v>
      </c>
      <c r="B884" s="304">
        <f t="shared" ca="1" si="384"/>
        <v>15.999999999999845</v>
      </c>
      <c r="D884" s="306">
        <f t="shared" ca="1" si="385"/>
        <v>-3.4550007664858908</v>
      </c>
      <c r="E884" s="307">
        <f t="shared" ca="1" si="386"/>
        <v>-15.458281856924962</v>
      </c>
      <c r="F884" s="304">
        <f t="shared" ca="1" si="387"/>
        <v>15.83968144454154</v>
      </c>
      <c r="G884" s="306">
        <f t="shared" ca="1" si="388"/>
        <v>66.230886988420053</v>
      </c>
      <c r="H884" s="307">
        <f t="shared" ca="1" si="389"/>
        <v>107.2941474249979</v>
      </c>
      <c r="I884" s="304">
        <f t="shared" ca="1" si="390"/>
        <v>126.08950972594847</v>
      </c>
      <c r="J884" s="306">
        <f t="shared" ca="1" si="391"/>
        <v>1614.8044681699605</v>
      </c>
      <c r="K884" s="307">
        <f t="shared" ca="1" si="392"/>
        <v>3969.5873553926644</v>
      </c>
      <c r="L884" s="304">
        <f t="shared" ca="1" si="377"/>
        <v>4285.4658139477669</v>
      </c>
      <c r="M884" s="306">
        <f t="shared" ca="1" si="393"/>
        <v>1.0177653429856501</v>
      </c>
      <c r="N884" s="304">
        <f t="shared" ca="1" si="394"/>
        <v>58.31365868776242</v>
      </c>
      <c r="P884" s="310">
        <f t="shared" ca="1" si="395"/>
        <v>23</v>
      </c>
      <c r="Q884" s="304">
        <f t="shared" ca="1" si="396"/>
        <v>0</v>
      </c>
      <c r="R884" s="306">
        <f t="shared" ca="1" si="397"/>
        <v>0</v>
      </c>
      <c r="S884" s="307">
        <f t="shared" ca="1" si="398"/>
        <v>11.416040186296438</v>
      </c>
      <c r="T884" s="304">
        <f t="shared" ca="1" si="378"/>
        <v>111.99135422756807</v>
      </c>
      <c r="U884" s="311">
        <f t="shared" ca="1" si="379"/>
        <v>0</v>
      </c>
      <c r="V884" s="306">
        <f t="shared" ca="1" si="380"/>
        <v>0.81925713607355899</v>
      </c>
      <c r="W884" s="304">
        <f t="shared" ca="1" si="381"/>
        <v>73.74029492103881</v>
      </c>
      <c r="Y884" s="314" t="str">
        <f t="shared" ca="1" si="399"/>
        <v/>
      </c>
      <c r="Z884" s="315" t="str">
        <f t="shared" ca="1" si="400"/>
        <v/>
      </c>
      <c r="AA884" s="316" t="str">
        <f t="shared" ca="1" si="401"/>
        <v/>
      </c>
      <c r="AC884" s="310">
        <f t="shared" ca="1" si="402"/>
        <v>15.999999999999845</v>
      </c>
      <c r="AD884" s="323">
        <f t="shared" ca="1" si="403"/>
        <v>1614.8044681699605</v>
      </c>
      <c r="AE884" s="324">
        <f t="shared" ca="1" si="382"/>
        <v>3969.5873553926644</v>
      </c>
      <c r="AG884" s="306">
        <f t="shared" ca="1" si="404"/>
        <v>-14.989723471185771</v>
      </c>
      <c r="AH884" s="304">
        <f t="shared" ca="1" si="405"/>
        <v>-6.621187071189409</v>
      </c>
    </row>
    <row r="885" spans="1:34" x14ac:dyDescent="0.2">
      <c r="A885" s="347">
        <f t="shared" ca="1" si="383"/>
        <v>0.1</v>
      </c>
      <c r="B885" s="304">
        <f t="shared" ca="1" si="384"/>
        <v>16.099999999999845</v>
      </c>
      <c r="D885" s="306">
        <f t="shared" ca="1" si="385"/>
        <v>-3.3928995065615641</v>
      </c>
      <c r="E885" s="307">
        <f t="shared" ca="1" si="386"/>
        <v>-15.306502861555643</v>
      </c>
      <c r="F885" s="304">
        <f t="shared" ca="1" si="387"/>
        <v>15.678035492766202</v>
      </c>
      <c r="G885" s="306">
        <f t="shared" ca="1" si="388"/>
        <v>65.891597037763901</v>
      </c>
      <c r="H885" s="307">
        <f t="shared" ca="1" si="389"/>
        <v>105.76349713884234</v>
      </c>
      <c r="I885" s="304">
        <f t="shared" ca="1" si="390"/>
        <v>124.60987074555919</v>
      </c>
      <c r="J885" s="306">
        <f t="shared" ca="1" si="391"/>
        <v>1621.4105923712698</v>
      </c>
      <c r="K885" s="307">
        <f t="shared" ca="1" si="392"/>
        <v>3980.2402376208565</v>
      </c>
      <c r="L885" s="304">
        <f t="shared" ca="1" si="377"/>
        <v>4297.8232465086185</v>
      </c>
      <c r="M885" s="306">
        <f t="shared" ca="1" si="393"/>
        <v>1.0136301154138376</v>
      </c>
      <c r="N885" s="304">
        <f t="shared" ca="1" si="394"/>
        <v>58.076727600571431</v>
      </c>
      <c r="P885" s="310">
        <f t="shared" ca="1" si="395"/>
        <v>23</v>
      </c>
      <c r="Q885" s="304">
        <f t="shared" ca="1" si="396"/>
        <v>0</v>
      </c>
      <c r="R885" s="306">
        <f t="shared" ca="1" si="397"/>
        <v>0</v>
      </c>
      <c r="S885" s="307">
        <f t="shared" ca="1" si="398"/>
        <v>11.416040186296438</v>
      </c>
      <c r="T885" s="304">
        <f t="shared" ca="1" si="378"/>
        <v>111.99135422756807</v>
      </c>
      <c r="U885" s="311">
        <f t="shared" ca="1" si="379"/>
        <v>0</v>
      </c>
      <c r="V885" s="306">
        <f t="shared" ca="1" si="380"/>
        <v>0.81834900378218334</v>
      </c>
      <c r="W885" s="304">
        <f t="shared" ca="1" si="381"/>
        <v>71.939957062635528</v>
      </c>
      <c r="Y885" s="314" t="str">
        <f t="shared" ca="1" si="399"/>
        <v/>
      </c>
      <c r="Z885" s="315" t="str">
        <f t="shared" ca="1" si="400"/>
        <v/>
      </c>
      <c r="AA885" s="316" t="str">
        <f t="shared" ca="1" si="401"/>
        <v/>
      </c>
      <c r="AC885" s="310" t="e">
        <f t="shared" ca="1" si="402"/>
        <v>#N/A</v>
      </c>
      <c r="AD885" s="323" t="e">
        <f t="shared" ca="1" si="403"/>
        <v>#N/A</v>
      </c>
      <c r="AE885" s="324">
        <f t="shared" ca="1" si="382"/>
        <v>3980.2402376208565</v>
      </c>
      <c r="AG885" s="306">
        <f t="shared" ca="1" si="404"/>
        <v>-14.807043999369508</v>
      </c>
      <c r="AH885" s="304">
        <f t="shared" ca="1" si="405"/>
        <v>-6.4593583867683844</v>
      </c>
    </row>
    <row r="886" spans="1:34" x14ac:dyDescent="0.2">
      <c r="A886" s="347">
        <f t="shared" ca="1" si="383"/>
        <v>0.1</v>
      </c>
      <c r="B886" s="304">
        <f t="shared" ca="1" si="384"/>
        <v>16.199999999999847</v>
      </c>
      <c r="D886" s="306">
        <f t="shared" ca="1" si="385"/>
        <v>-3.3322093116838092</v>
      </c>
      <c r="E886" s="307">
        <f t="shared" ca="1" si="386"/>
        <v>-15.158574413825658</v>
      </c>
      <c r="F886" s="304">
        <f t="shared" ca="1" si="387"/>
        <v>15.520502477573404</v>
      </c>
      <c r="G886" s="306">
        <f t="shared" ca="1" si="388"/>
        <v>65.558376106595517</v>
      </c>
      <c r="H886" s="307">
        <f t="shared" ca="1" si="389"/>
        <v>104.24763969745977</v>
      </c>
      <c r="I886" s="304">
        <f t="shared" ca="1" si="390"/>
        <v>123.14816710055096</v>
      </c>
      <c r="J886" s="306">
        <f t="shared" ca="1" si="391"/>
        <v>1627.9830910284877</v>
      </c>
      <c r="K886" s="307">
        <f t="shared" ca="1" si="392"/>
        <v>3990.7407944626716</v>
      </c>
      <c r="L886" s="304">
        <f t="shared" ca="1" si="377"/>
        <v>4310.0279620047968</v>
      </c>
      <c r="M886" s="306">
        <f t="shared" ca="1" si="393"/>
        <v>1.0094178092684345</v>
      </c>
      <c r="N886" s="304">
        <f t="shared" ca="1" si="394"/>
        <v>57.835380236422807</v>
      </c>
      <c r="P886" s="310">
        <f t="shared" ca="1" si="395"/>
        <v>23</v>
      </c>
      <c r="Q886" s="304">
        <f t="shared" ca="1" si="396"/>
        <v>0</v>
      </c>
      <c r="R886" s="306">
        <f t="shared" ca="1" si="397"/>
        <v>0</v>
      </c>
      <c r="S886" s="307">
        <f t="shared" ca="1" si="398"/>
        <v>11.416040186296438</v>
      </c>
      <c r="T886" s="304">
        <f t="shared" ca="1" si="378"/>
        <v>111.99135422756807</v>
      </c>
      <c r="U886" s="311">
        <f t="shared" ca="1" si="379"/>
        <v>0</v>
      </c>
      <c r="V886" s="306">
        <f t="shared" ca="1" si="380"/>
        <v>0.81745464614038688</v>
      </c>
      <c r="W886" s="304">
        <f t="shared" ca="1" si="381"/>
        <v>70.185321935078264</v>
      </c>
      <c r="Y886" s="314" t="str">
        <f t="shared" ca="1" si="399"/>
        <v/>
      </c>
      <c r="Z886" s="315" t="str">
        <f t="shared" ca="1" si="400"/>
        <v/>
      </c>
      <c r="AA886" s="316" t="str">
        <f t="shared" ca="1" si="401"/>
        <v/>
      </c>
      <c r="AC886" s="310" t="e">
        <f t="shared" ca="1" si="402"/>
        <v>#N/A</v>
      </c>
      <c r="AD886" s="323" t="e">
        <f t="shared" ca="1" si="403"/>
        <v>#N/A</v>
      </c>
      <c r="AE886" s="324">
        <f t="shared" ca="1" si="382"/>
        <v>3990.7407944626716</v>
      </c>
      <c r="AG886" s="306">
        <f t="shared" ca="1" si="404"/>
        <v>-14.627961845642897</v>
      </c>
      <c r="AH886" s="304">
        <f t="shared" ca="1" si="405"/>
        <v>-6.3016559059585875</v>
      </c>
    </row>
    <row r="887" spans="1:34" x14ac:dyDescent="0.2">
      <c r="A887" s="347">
        <f t="shared" ca="1" si="383"/>
        <v>0.1</v>
      </c>
      <c r="B887" s="304">
        <f t="shared" ca="1" si="384"/>
        <v>16.299999999999848</v>
      </c>
      <c r="D887" s="306">
        <f t="shared" ca="1" si="385"/>
        <v>-3.2728872375129465</v>
      </c>
      <c r="E887" s="307">
        <f t="shared" ca="1" si="386"/>
        <v>-15.014381038235303</v>
      </c>
      <c r="F887" s="304">
        <f t="shared" ca="1" si="387"/>
        <v>15.366958997498331</v>
      </c>
      <c r="G887" s="306">
        <f t="shared" ca="1" si="388"/>
        <v>65.231087382844223</v>
      </c>
      <c r="H887" s="307">
        <f t="shared" ca="1" si="389"/>
        <v>102.74620159363624</v>
      </c>
      <c r="I887" s="304">
        <f t="shared" ca="1" si="390"/>
        <v>121.70405376596294</v>
      </c>
      <c r="J887" s="306">
        <f t="shared" ca="1" si="391"/>
        <v>1634.5225642029598</v>
      </c>
      <c r="K887" s="307">
        <f t="shared" ca="1" si="392"/>
        <v>4001.0904865272264</v>
      </c>
      <c r="L887" s="304">
        <f t="shared" ca="1" si="377"/>
        <v>4322.0815695989932</v>
      </c>
      <c r="M887" s="306">
        <f t="shared" ca="1" si="393"/>
        <v>1.0051267399402988</v>
      </c>
      <c r="N887" s="304">
        <f t="shared" ca="1" si="394"/>
        <v>57.589520074322593</v>
      </c>
      <c r="P887" s="310">
        <f t="shared" ca="1" si="395"/>
        <v>23</v>
      </c>
      <c r="Q887" s="304">
        <f t="shared" ca="1" si="396"/>
        <v>0</v>
      </c>
      <c r="R887" s="306">
        <f t="shared" ca="1" si="397"/>
        <v>0</v>
      </c>
      <c r="S887" s="307">
        <f t="shared" ca="1" si="398"/>
        <v>11.416040186296438</v>
      </c>
      <c r="T887" s="304">
        <f t="shared" ca="1" si="378"/>
        <v>111.99135422756807</v>
      </c>
      <c r="U887" s="311">
        <f t="shared" ca="1" si="379"/>
        <v>0</v>
      </c>
      <c r="V887" s="306">
        <f t="shared" ca="1" si="380"/>
        <v>0.81657390379848216</v>
      </c>
      <c r="W887" s="304">
        <f t="shared" ca="1" si="381"/>
        <v>68.475042414101196</v>
      </c>
      <c r="Y887" s="314" t="str">
        <f t="shared" ca="1" si="399"/>
        <v/>
      </c>
      <c r="Z887" s="315" t="str">
        <f t="shared" ca="1" si="400"/>
        <v/>
      </c>
      <c r="AA887" s="316" t="str">
        <f t="shared" ca="1" si="401"/>
        <v/>
      </c>
      <c r="AC887" s="310" t="e">
        <f t="shared" ca="1" si="402"/>
        <v>#N/A</v>
      </c>
      <c r="AD887" s="323" t="e">
        <f t="shared" ca="1" si="403"/>
        <v>#N/A</v>
      </c>
      <c r="AE887" s="324">
        <f t="shared" ca="1" si="382"/>
        <v>4001.0904865272264</v>
      </c>
      <c r="AG887" s="306">
        <f t="shared" ca="1" si="404"/>
        <v>-14.452338180335881</v>
      </c>
      <c r="AH887" s="304">
        <f t="shared" ca="1" si="405"/>
        <v>-6.1479568037371806</v>
      </c>
    </row>
    <row r="888" spans="1:34" x14ac:dyDescent="0.2">
      <c r="A888" s="347">
        <f t="shared" ca="1" si="383"/>
        <v>0.1</v>
      </c>
      <c r="B888" s="304">
        <f t="shared" ca="1" si="384"/>
        <v>16.399999999999849</v>
      </c>
      <c r="D888" s="306">
        <f t="shared" ca="1" si="385"/>
        <v>-3.214892052530594</v>
      </c>
      <c r="E888" s="307">
        <f t="shared" ca="1" si="386"/>
        <v>-14.873811752706748</v>
      </c>
      <c r="F888" s="304">
        <f t="shared" ca="1" si="387"/>
        <v>15.217286452070939</v>
      </c>
      <c r="G888" s="306">
        <f t="shared" ca="1" si="388"/>
        <v>64.909598177591164</v>
      </c>
      <c r="H888" s="307">
        <f t="shared" ca="1" si="389"/>
        <v>101.25882041836557</v>
      </c>
      <c r="I888" s="304">
        <f t="shared" ca="1" si="390"/>
        <v>120.27719920290444</v>
      </c>
      <c r="J888" s="306">
        <f t="shared" ca="1" si="391"/>
        <v>1641.0295984809816</v>
      </c>
      <c r="K888" s="307">
        <f t="shared" ca="1" si="392"/>
        <v>4011.2907376278263</v>
      </c>
      <c r="L888" s="304">
        <f t="shared" ca="1" si="377"/>
        <v>4333.9856396704226</v>
      </c>
      <c r="M888" s="306">
        <f t="shared" ca="1" si="393"/>
        <v>1.0007551777791934</v>
      </c>
      <c r="N888" s="304">
        <f t="shared" ca="1" si="394"/>
        <v>57.339048012612167</v>
      </c>
      <c r="P888" s="310">
        <f t="shared" ca="1" si="395"/>
        <v>23</v>
      </c>
      <c r="Q888" s="304">
        <f t="shared" ca="1" si="396"/>
        <v>0</v>
      </c>
      <c r="R888" s="306">
        <f t="shared" ca="1" si="397"/>
        <v>0</v>
      </c>
      <c r="S888" s="307">
        <f t="shared" ca="1" si="398"/>
        <v>11.416040186296438</v>
      </c>
      <c r="T888" s="304">
        <f t="shared" ca="1" si="378"/>
        <v>111.99135422756807</v>
      </c>
      <c r="U888" s="311">
        <f t="shared" ca="1" si="379"/>
        <v>0</v>
      </c>
      <c r="V888" s="306">
        <f t="shared" ca="1" si="380"/>
        <v>0.81570662154003426</v>
      </c>
      <c r="W888" s="304">
        <f t="shared" ca="1" si="381"/>
        <v>66.807823887903865</v>
      </c>
      <c r="Y888" s="314" t="str">
        <f t="shared" ca="1" si="399"/>
        <v/>
      </c>
      <c r="Z888" s="315" t="str">
        <f t="shared" ca="1" si="400"/>
        <v/>
      </c>
      <c r="AA888" s="316" t="str">
        <f t="shared" ca="1" si="401"/>
        <v/>
      </c>
      <c r="AC888" s="310" t="e">
        <f t="shared" ca="1" si="402"/>
        <v>#N/A</v>
      </c>
      <c r="AD888" s="323" t="e">
        <f t="shared" ca="1" si="403"/>
        <v>#N/A</v>
      </c>
      <c r="AE888" s="324">
        <f t="shared" ca="1" si="382"/>
        <v>4011.2907376278263</v>
      </c>
      <c r="AG888" s="306">
        <f t="shared" ca="1" si="404"/>
        <v>-14.280038432873376</v>
      </c>
      <c r="AH888" s="304">
        <f t="shared" ca="1" si="405"/>
        <v>-5.9981430773428004</v>
      </c>
    </row>
    <row r="889" spans="1:34" x14ac:dyDescent="0.2">
      <c r="A889" s="347">
        <f t="shared" ca="1" si="383"/>
        <v>0.1</v>
      </c>
      <c r="B889" s="304">
        <f t="shared" ca="1" si="384"/>
        <v>16.499999999999851</v>
      </c>
      <c r="D889" s="306">
        <f t="shared" ca="1" si="385"/>
        <v>-3.1581841608066665</v>
      </c>
      <c r="E889" s="307">
        <f t="shared" ca="1" si="386"/>
        <v>-14.736759859340058</v>
      </c>
      <c r="F889" s="304">
        <f t="shared" ca="1" si="387"/>
        <v>15.071370818390292</v>
      </c>
      <c r="G889" s="306">
        <f t="shared" ca="1" si="388"/>
        <v>64.593779761510504</v>
      </c>
      <c r="H889" s="307">
        <f t="shared" ca="1" si="389"/>
        <v>99.785144432431565</v>
      </c>
      <c r="I889" s="304">
        <f t="shared" ca="1" si="390"/>
        <v>118.86728495797215</v>
      </c>
      <c r="J889" s="306">
        <f t="shared" ca="1" si="391"/>
        <v>1647.5047673779366</v>
      </c>
      <c r="K889" s="307">
        <f t="shared" ca="1" si="392"/>
        <v>4021.3429358703661</v>
      </c>
      <c r="L889" s="304">
        <f t="shared" ca="1" si="377"/>
        <v>4345.7417049805808</v>
      </c>
      <c r="M889" s="306">
        <f t="shared" ca="1" si="393"/>
        <v>0.99630134697943928</v>
      </c>
      <c r="N889" s="304">
        <f t="shared" ca="1" si="394"/>
        <v>57.083862305120881</v>
      </c>
      <c r="P889" s="310">
        <f t="shared" ca="1" si="395"/>
        <v>23</v>
      </c>
      <c r="Q889" s="304">
        <f t="shared" ca="1" si="396"/>
        <v>0</v>
      </c>
      <c r="R889" s="306">
        <f t="shared" ca="1" si="397"/>
        <v>0</v>
      </c>
      <c r="S889" s="307">
        <f t="shared" ca="1" si="398"/>
        <v>11.416040186296438</v>
      </c>
      <c r="T889" s="304">
        <f t="shared" ca="1" si="378"/>
        <v>111.99135422756807</v>
      </c>
      <c r="U889" s="311">
        <f t="shared" ca="1" si="379"/>
        <v>0</v>
      </c>
      <c r="V889" s="306">
        <f t="shared" ca="1" si="380"/>
        <v>0.81485264815605885</v>
      </c>
      <c r="W889" s="304">
        <f t="shared" ca="1" si="381"/>
        <v>65.182421855415086</v>
      </c>
      <c r="Y889" s="314" t="str">
        <f t="shared" ca="1" si="399"/>
        <v/>
      </c>
      <c r="Z889" s="315" t="str">
        <f t="shared" ca="1" si="400"/>
        <v/>
      </c>
      <c r="AA889" s="316" t="str">
        <f t="shared" ca="1" si="401"/>
        <v/>
      </c>
      <c r="AC889" s="310" t="e">
        <f t="shared" ca="1" si="402"/>
        <v>#N/A</v>
      </c>
      <c r="AD889" s="323" t="e">
        <f t="shared" ca="1" si="403"/>
        <v>#N/A</v>
      </c>
      <c r="AE889" s="324">
        <f t="shared" ca="1" si="382"/>
        <v>4021.3429358703661</v>
      </c>
      <c r="AG889" s="306">
        <f t="shared" ca="1" si="404"/>
        <v>-14.110932048983917</v>
      </c>
      <c r="AH889" s="304">
        <f t="shared" ca="1" si="405"/>
        <v>-5.8521013238985002</v>
      </c>
    </row>
    <row r="890" spans="1:34" x14ac:dyDescent="0.2">
      <c r="A890" s="347">
        <f t="shared" ca="1" si="383"/>
        <v>0.1</v>
      </c>
      <c r="B890" s="304">
        <f t="shared" ca="1" si="384"/>
        <v>16.599999999999852</v>
      </c>
      <c r="D890" s="306">
        <f t="shared" ca="1" si="385"/>
        <v>-3.1027255290169968</v>
      </c>
      <c r="E890" s="307">
        <f t="shared" ca="1" si="386"/>
        <v>-14.603122746342807</v>
      </c>
      <c r="F890" s="304">
        <f t="shared" ca="1" si="387"/>
        <v>14.929102439636766</v>
      </c>
      <c r="G890" s="306">
        <f t="shared" ca="1" si="388"/>
        <v>64.28350720860881</v>
      </c>
      <c r="H890" s="307">
        <f t="shared" ca="1" si="389"/>
        <v>98.324832157797289</v>
      </c>
      <c r="I890" s="304">
        <f t="shared" ca="1" si="390"/>
        <v>117.47400528584299</v>
      </c>
      <c r="J890" s="306">
        <f t="shared" ca="1" si="391"/>
        <v>1653.9486317264425</v>
      </c>
      <c r="K890" s="307">
        <f t="shared" ca="1" si="392"/>
        <v>4031.2484346998776</v>
      </c>
      <c r="L890" s="304">
        <f t="shared" ca="1" si="377"/>
        <v>4357.3512617942552</v>
      </c>
      <c r="M890" s="306">
        <f t="shared" ca="1" si="393"/>
        <v>0.99176342445530408</v>
      </c>
      <c r="N890" s="304">
        <f t="shared" ca="1" si="394"/>
        <v>56.82385849673058</v>
      </c>
      <c r="P890" s="310">
        <f t="shared" ca="1" si="395"/>
        <v>23</v>
      </c>
      <c r="Q890" s="304">
        <f t="shared" ca="1" si="396"/>
        <v>0</v>
      </c>
      <c r="R890" s="306">
        <f t="shared" ca="1" si="397"/>
        <v>0</v>
      </c>
      <c r="S890" s="307">
        <f t="shared" ca="1" si="398"/>
        <v>11.416040186296438</v>
      </c>
      <c r="T890" s="304">
        <f t="shared" ca="1" si="378"/>
        <v>111.99135422756807</v>
      </c>
      <c r="U890" s="311">
        <f t="shared" ca="1" si="379"/>
        <v>0</v>
      </c>
      <c r="V890" s="306">
        <f t="shared" ca="1" si="380"/>
        <v>0.81401183632418117</v>
      </c>
      <c r="W890" s="304">
        <f t="shared" ca="1" si="381"/>
        <v>63.597639653094681</v>
      </c>
      <c r="Y890" s="314" t="str">
        <f t="shared" ca="1" si="399"/>
        <v/>
      </c>
      <c r="Z890" s="315" t="str">
        <f t="shared" ca="1" si="400"/>
        <v/>
      </c>
      <c r="AA890" s="316" t="str">
        <f t="shared" ca="1" si="401"/>
        <v/>
      </c>
      <c r="AC890" s="310" t="e">
        <f t="shared" ca="1" si="402"/>
        <v>#N/A</v>
      </c>
      <c r="AD890" s="323" t="e">
        <f t="shared" ca="1" si="403"/>
        <v>#N/A</v>
      </c>
      <c r="AE890" s="324">
        <f t="shared" ca="1" si="382"/>
        <v>4031.2484346998776</v>
      </c>
      <c r="AG890" s="306">
        <f t="shared" ca="1" si="404"/>
        <v>-13.944892259263408</v>
      </c>
      <c r="AH890" s="304">
        <f t="shared" ca="1" si="405"/>
        <v>-5.7097225300291621</v>
      </c>
    </row>
    <row r="891" spans="1:34" x14ac:dyDescent="0.2">
      <c r="A891" s="347">
        <f t="shared" ca="1" si="383"/>
        <v>0.1</v>
      </c>
      <c r="B891" s="304">
        <f t="shared" ca="1" si="384"/>
        <v>16.699999999999854</v>
      </c>
      <c r="D891" s="306">
        <f t="shared" ca="1" si="385"/>
        <v>-3.0484796174544244</v>
      </c>
      <c r="E891" s="307">
        <f t="shared" ca="1" si="386"/>
        <v>-14.472801700441932</v>
      </c>
      <c r="F891" s="304">
        <f t="shared" ca="1" si="387"/>
        <v>14.79037582478383</v>
      </c>
      <c r="G891" s="306">
        <f t="shared" ca="1" si="388"/>
        <v>63.978659246863366</v>
      </c>
      <c r="H891" s="307">
        <f t="shared" ca="1" si="389"/>
        <v>96.877551987753094</v>
      </c>
      <c r="I891" s="304">
        <f t="shared" ca="1" si="390"/>
        <v>116.09706679398089</v>
      </c>
      <c r="J891" s="306">
        <f t="shared" ca="1" si="391"/>
        <v>1660.361740049216</v>
      </c>
      <c r="K891" s="307">
        <f t="shared" ca="1" si="392"/>
        <v>4041.0085539071551</v>
      </c>
      <c r="L891" s="304">
        <f t="shared" ca="1" si="377"/>
        <v>4368.8157709578527</v>
      </c>
      <c r="M891" s="306">
        <f t="shared" ca="1" si="393"/>
        <v>0.98713953870836002</v>
      </c>
      <c r="N891" s="304">
        <f t="shared" ca="1" si="394"/>
        <v>56.558929358479986</v>
      </c>
      <c r="P891" s="310">
        <f t="shared" ca="1" si="395"/>
        <v>23</v>
      </c>
      <c r="Q891" s="304">
        <f t="shared" ca="1" si="396"/>
        <v>0</v>
      </c>
      <c r="R891" s="306">
        <f t="shared" ca="1" si="397"/>
        <v>0</v>
      </c>
      <c r="S891" s="307">
        <f t="shared" ca="1" si="398"/>
        <v>11.416040186296438</v>
      </c>
      <c r="T891" s="304">
        <f t="shared" ca="1" si="378"/>
        <v>111.99135422756807</v>
      </c>
      <c r="U891" s="311">
        <f t="shared" ca="1" si="379"/>
        <v>0</v>
      </c>
      <c r="V891" s="306">
        <f t="shared" ca="1" si="380"/>
        <v>0.81318404249253107</v>
      </c>
      <c r="W891" s="304">
        <f t="shared" ca="1" si="381"/>
        <v>62.052326302457928</v>
      </c>
      <c r="Y891" s="314" t="str">
        <f t="shared" ca="1" si="399"/>
        <v/>
      </c>
      <c r="Z891" s="315" t="str">
        <f t="shared" ca="1" si="400"/>
        <v/>
      </c>
      <c r="AA891" s="316" t="str">
        <f t="shared" ca="1" si="401"/>
        <v/>
      </c>
      <c r="AC891" s="310" t="e">
        <f t="shared" ca="1" si="402"/>
        <v>#N/A</v>
      </c>
      <c r="AD891" s="323" t="e">
        <f t="shared" ca="1" si="403"/>
        <v>#N/A</v>
      </c>
      <c r="AE891" s="324">
        <f t="shared" ca="1" si="382"/>
        <v>4041.0085539071551</v>
      </c>
      <c r="AG891" s="306">
        <f t="shared" ca="1" si="404"/>
        <v>-13.781795858356364</v>
      </c>
      <c r="AH891" s="304">
        <f t="shared" ca="1" si="405"/>
        <v>-5.5709018727383137</v>
      </c>
    </row>
    <row r="892" spans="1:34" x14ac:dyDescent="0.2">
      <c r="A892" s="347">
        <f t="shared" ca="1" si="383"/>
        <v>0.1</v>
      </c>
      <c r="B892" s="304">
        <f t="shared" ca="1" si="384"/>
        <v>16.799999999999855</v>
      </c>
      <c r="D892" s="306">
        <f t="shared" ca="1" si="385"/>
        <v>-2.9954113147939041</v>
      </c>
      <c r="E892" s="307">
        <f t="shared" ca="1" si="386"/>
        <v>-14.345701729133644</v>
      </c>
      <c r="F892" s="304">
        <f t="shared" ca="1" si="387"/>
        <v>14.65508945882158</v>
      </c>
      <c r="G892" s="306">
        <f t="shared" ca="1" si="388"/>
        <v>63.679118115383979</v>
      </c>
      <c r="H892" s="307">
        <f t="shared" ca="1" si="389"/>
        <v>95.442981814839726</v>
      </c>
      <c r="I892" s="304">
        <f t="shared" ca="1" si="390"/>
        <v>114.73618810846406</v>
      </c>
      <c r="J892" s="306">
        <f t="shared" ca="1" si="391"/>
        <v>1666.7446289173283</v>
      </c>
      <c r="K892" s="307">
        <f t="shared" ca="1" si="392"/>
        <v>4050.6245805972849</v>
      </c>
      <c r="L892" s="304">
        <f t="shared" ca="1" si="377"/>
        <v>4380.13665893699</v>
      </c>
      <c r="M892" s="306">
        <f t="shared" ca="1" si="393"/>
        <v>0.98242776868934356</v>
      </c>
      <c r="N892" s="304">
        <f t="shared" ca="1" si="394"/>
        <v>56.288964822354068</v>
      </c>
      <c r="P892" s="310">
        <f t="shared" ca="1" si="395"/>
        <v>23</v>
      </c>
      <c r="Q892" s="304">
        <f t="shared" ca="1" si="396"/>
        <v>0</v>
      </c>
      <c r="R892" s="306">
        <f t="shared" ca="1" si="397"/>
        <v>0</v>
      </c>
      <c r="S892" s="307">
        <f t="shared" ca="1" si="398"/>
        <v>11.416040186296438</v>
      </c>
      <c r="T892" s="304">
        <f t="shared" ca="1" si="378"/>
        <v>111.99135422756807</v>
      </c>
      <c r="U892" s="311">
        <f t="shared" ca="1" si="379"/>
        <v>0</v>
      </c>
      <c r="V892" s="306">
        <f t="shared" ca="1" si="380"/>
        <v>0.81236912676814621</v>
      </c>
      <c r="W892" s="304">
        <f t="shared" ca="1" si="381"/>
        <v>60.545374471038066</v>
      </c>
      <c r="Y892" s="314" t="str">
        <f t="shared" ca="1" si="399"/>
        <v/>
      </c>
      <c r="Z892" s="315" t="str">
        <f t="shared" ca="1" si="400"/>
        <v/>
      </c>
      <c r="AA892" s="316" t="str">
        <f t="shared" ca="1" si="401"/>
        <v/>
      </c>
      <c r="AC892" s="310" t="e">
        <f t="shared" ca="1" si="402"/>
        <v>#N/A</v>
      </c>
      <c r="AD892" s="323" t="e">
        <f t="shared" ca="1" si="403"/>
        <v>#N/A</v>
      </c>
      <c r="AE892" s="324">
        <f t="shared" ca="1" si="382"/>
        <v>4050.6245805972849</v>
      </c>
      <c r="AG892" s="306">
        <f t="shared" ca="1" si="404"/>
        <v>-13.621522994070439</v>
      </c>
      <c r="AH892" s="304">
        <f t="shared" ca="1" si="405"/>
        <v>-5.4355385308597777</v>
      </c>
    </row>
    <row r="893" spans="1:34" x14ac:dyDescent="0.2">
      <c r="A893" s="347">
        <f t="shared" ca="1" si="383"/>
        <v>0.1</v>
      </c>
      <c r="B893" s="304">
        <f t="shared" ca="1" si="384"/>
        <v>16.899999999999856</v>
      </c>
      <c r="D893" s="306">
        <f t="shared" ca="1" si="385"/>
        <v>-2.943486876388536</v>
      </c>
      <c r="E893" s="307">
        <f t="shared" ca="1" si="386"/>
        <v>-14.221731392170465</v>
      </c>
      <c r="F893" s="304">
        <f t="shared" ca="1" si="387"/>
        <v>14.523145622850389</v>
      </c>
      <c r="G893" s="306">
        <f t="shared" ca="1" si="388"/>
        <v>63.384769427745127</v>
      </c>
      <c r="H893" s="307">
        <f t="shared" ca="1" si="389"/>
        <v>94.020808675622675</v>
      </c>
      <c r="I893" s="304">
        <f t="shared" ca="1" si="390"/>
        <v>113.39109956000276</v>
      </c>
      <c r="J893" s="306">
        <f t="shared" ca="1" si="391"/>
        <v>1673.0978232944849</v>
      </c>
      <c r="K893" s="307">
        <f t="shared" ca="1" si="392"/>
        <v>4060.097770121808</v>
      </c>
      <c r="L893" s="304">
        <f t="shared" ca="1" si="377"/>
        <v>4391.3153188151746</v>
      </c>
      <c r="M893" s="306">
        <f t="shared" ca="1" si="393"/>
        <v>0.97762614265740055</v>
      </c>
      <c r="N893" s="304">
        <f t="shared" ca="1" si="394"/>
        <v>56.013851915923588</v>
      </c>
      <c r="P893" s="310">
        <f t="shared" ca="1" si="395"/>
        <v>23</v>
      </c>
      <c r="Q893" s="304">
        <f t="shared" ca="1" si="396"/>
        <v>0</v>
      </c>
      <c r="R893" s="306">
        <f t="shared" ca="1" si="397"/>
        <v>0</v>
      </c>
      <c r="S893" s="307">
        <f t="shared" ca="1" si="398"/>
        <v>11.416040186296438</v>
      </c>
      <c r="T893" s="304">
        <f t="shared" ca="1" si="378"/>
        <v>111.99135422756807</v>
      </c>
      <c r="U893" s="311">
        <f t="shared" ca="1" si="379"/>
        <v>0</v>
      </c>
      <c r="V893" s="306">
        <f t="shared" ca="1" si="380"/>
        <v>0.81156695280968227</v>
      </c>
      <c r="W893" s="304">
        <f t="shared" ca="1" si="381"/>
        <v>59.075718539994739</v>
      </c>
      <c r="Y893" s="314" t="str">
        <f t="shared" ca="1" si="399"/>
        <v/>
      </c>
      <c r="Z893" s="315" t="str">
        <f t="shared" ca="1" si="400"/>
        <v/>
      </c>
      <c r="AA893" s="316" t="str">
        <f t="shared" ca="1" si="401"/>
        <v/>
      </c>
      <c r="AC893" s="310" t="e">
        <f t="shared" ca="1" si="402"/>
        <v>#N/A</v>
      </c>
      <c r="AD893" s="323" t="e">
        <f t="shared" ca="1" si="403"/>
        <v>#N/A</v>
      </c>
      <c r="AE893" s="324">
        <f t="shared" ca="1" si="382"/>
        <v>4060.097770121808</v>
      </c>
      <c r="AG893" s="306">
        <f t="shared" ca="1" si="404"/>
        <v>-13.463956965789503</v>
      </c>
      <c r="AH893" s="304">
        <f t="shared" ca="1" si="405"/>
        <v>-5.3035355064460434</v>
      </c>
    </row>
    <row r="894" spans="1:34" x14ac:dyDescent="0.2">
      <c r="A894" s="347">
        <f t="shared" ca="1" si="383"/>
        <v>0.1</v>
      </c>
      <c r="B894" s="304">
        <f t="shared" ca="1" si="384"/>
        <v>16.999999999999858</v>
      </c>
      <c r="D894" s="306">
        <f t="shared" ca="1" si="385"/>
        <v>-2.8926738658885576</v>
      </c>
      <c r="E894" s="307">
        <f t="shared" ca="1" si="386"/>
        <v>-14.100802641724734</v>
      </c>
      <c r="F894" s="304">
        <f t="shared" ca="1" si="387"/>
        <v>14.394450223446045</v>
      </c>
      <c r="G894" s="306">
        <f t="shared" ca="1" si="388"/>
        <v>63.095502041156273</v>
      </c>
      <c r="H894" s="307">
        <f t="shared" ca="1" si="389"/>
        <v>92.610728411450197</v>
      </c>
      <c r="I894" s="304">
        <f t="shared" ca="1" si="390"/>
        <v>112.06154288927554</v>
      </c>
      <c r="J894" s="306">
        <f t="shared" ca="1" si="391"/>
        <v>1679.4218368679299</v>
      </c>
      <c r="K894" s="307">
        <f t="shared" ca="1" si="392"/>
        <v>4069.4293469761615</v>
      </c>
      <c r="L894" s="304">
        <f t="shared" ca="1" si="377"/>
        <v>4402.3531112553519</v>
      </c>
      <c r="M894" s="306">
        <f t="shared" ca="1" si="393"/>
        <v>0.97273263703997059</v>
      </c>
      <c r="N894" s="304">
        <f t="shared" ca="1" si="394"/>
        <v>55.733474697021293</v>
      </c>
      <c r="P894" s="310">
        <f t="shared" ca="1" si="395"/>
        <v>23</v>
      </c>
      <c r="Q894" s="304">
        <f t="shared" ca="1" si="396"/>
        <v>0</v>
      </c>
      <c r="R894" s="306">
        <f t="shared" ca="1" si="397"/>
        <v>0</v>
      </c>
      <c r="S894" s="307">
        <f t="shared" ca="1" si="398"/>
        <v>11.416040186296438</v>
      </c>
      <c r="T894" s="304">
        <f t="shared" ca="1" si="378"/>
        <v>111.99135422756807</v>
      </c>
      <c r="U894" s="311">
        <f t="shared" ca="1" si="379"/>
        <v>0</v>
      </c>
      <c r="V894" s="306">
        <f t="shared" ca="1" si="380"/>
        <v>0.81077738772422803</v>
      </c>
      <c r="W894" s="304">
        <f t="shared" ca="1" si="381"/>
        <v>57.642332772029874</v>
      </c>
      <c r="Y894" s="314" t="str">
        <f t="shared" ca="1" si="399"/>
        <v/>
      </c>
      <c r="Z894" s="315" t="str">
        <f t="shared" ca="1" si="400"/>
        <v/>
      </c>
      <c r="AA894" s="316" t="str">
        <f t="shared" ca="1" si="401"/>
        <v/>
      </c>
      <c r="AC894" s="310">
        <f t="shared" ca="1" si="402"/>
        <v>16.999999999999858</v>
      </c>
      <c r="AD894" s="323">
        <f t="shared" ca="1" si="403"/>
        <v>1679.4218368679299</v>
      </c>
      <c r="AE894" s="324">
        <f t="shared" ca="1" si="382"/>
        <v>4069.4293469761615</v>
      </c>
      <c r="AG894" s="306">
        <f t="shared" ca="1" si="404"/>
        <v>-13.308984031597213</v>
      </c>
      <c r="AH894" s="304">
        <f t="shared" ca="1" si="405"/>
        <v>-5.1747994554984063</v>
      </c>
    </row>
    <row r="895" spans="1:34" x14ac:dyDescent="0.2">
      <c r="A895" s="347">
        <f t="shared" ca="1" si="383"/>
        <v>0.1</v>
      </c>
      <c r="B895" s="304">
        <f t="shared" ca="1" si="384"/>
        <v>17.099999999999859</v>
      </c>
      <c r="D895" s="306">
        <f t="shared" ca="1" si="385"/>
        <v>-2.842941099989281</v>
      </c>
      <c r="E895" s="307">
        <f t="shared" ca="1" si="386"/>
        <v>-13.982830670704843</v>
      </c>
      <c r="F895" s="304">
        <f t="shared" ca="1" si="387"/>
        <v>14.268912630737224</v>
      </c>
      <c r="G895" s="306">
        <f t="shared" ca="1" si="388"/>
        <v>62.811207931157348</v>
      </c>
      <c r="H895" s="307">
        <f t="shared" ca="1" si="389"/>
        <v>91.212445344379717</v>
      </c>
      <c r="I895" s="304">
        <f t="shared" ca="1" si="390"/>
        <v>110.74727097076723</v>
      </c>
      <c r="J895" s="306">
        <f t="shared" ca="1" si="391"/>
        <v>1685.7171723665456</v>
      </c>
      <c r="K895" s="307">
        <f t="shared" ca="1" si="392"/>
        <v>4078.6205056639528</v>
      </c>
      <c r="L895" s="304">
        <f t="shared" ca="1" si="377"/>
        <v>4413.2513654259419</v>
      </c>
      <c r="M895" s="306">
        <f t="shared" ca="1" si="393"/>
        <v>0.96774517529697701</v>
      </c>
      <c r="N895" s="304">
        <f t="shared" ca="1" si="394"/>
        <v>55.447714188664797</v>
      </c>
      <c r="P895" s="310">
        <f t="shared" ca="1" si="395"/>
        <v>23</v>
      </c>
      <c r="Q895" s="304">
        <f t="shared" ca="1" si="396"/>
        <v>0</v>
      </c>
      <c r="R895" s="306">
        <f t="shared" ca="1" si="397"/>
        <v>0</v>
      </c>
      <c r="S895" s="307">
        <f t="shared" ca="1" si="398"/>
        <v>11.416040186296438</v>
      </c>
      <c r="T895" s="304">
        <f t="shared" ca="1" si="378"/>
        <v>111.99135422756807</v>
      </c>
      <c r="U895" s="311">
        <f t="shared" ca="1" si="379"/>
        <v>0</v>
      </c>
      <c r="V895" s="306">
        <f t="shared" ca="1" si="380"/>
        <v>0.81000030196804085</v>
      </c>
      <c r="W895" s="304">
        <f t="shared" ca="1" si="381"/>
        <v>56.244229573695272</v>
      </c>
      <c r="Y895" s="314" t="str">
        <f t="shared" ca="1" si="399"/>
        <v/>
      </c>
      <c r="Z895" s="315" t="str">
        <f t="shared" ca="1" si="400"/>
        <v/>
      </c>
      <c r="AA895" s="316" t="str">
        <f t="shared" ca="1" si="401"/>
        <v/>
      </c>
      <c r="AC895" s="310" t="e">
        <f t="shared" ca="1" si="402"/>
        <v>#N/A</v>
      </c>
      <c r="AD895" s="323" t="e">
        <f t="shared" ca="1" si="403"/>
        <v>#N/A</v>
      </c>
      <c r="AE895" s="324">
        <f t="shared" ca="1" si="382"/>
        <v>4078.6205056639528</v>
      </c>
      <c r="AG895" s="306">
        <f t="shared" ca="1" si="404"/>
        <v>-13.156493223566876</v>
      </c>
      <c r="AH895" s="304">
        <f t="shared" ca="1" si="405"/>
        <v>-5.0492405274836409</v>
      </c>
    </row>
    <row r="896" spans="1:34" x14ac:dyDescent="0.2">
      <c r="A896" s="347">
        <f t="shared" ca="1" si="383"/>
        <v>0.1</v>
      </c>
      <c r="B896" s="304">
        <f t="shared" ca="1" si="384"/>
        <v>17.199999999999861</v>
      </c>
      <c r="D896" s="306">
        <f t="shared" ca="1" si="385"/>
        <v>-2.7942585961269457</v>
      </c>
      <c r="E896" s="307">
        <f t="shared" ca="1" si="386"/>
        <v>-13.86773376873499</v>
      </c>
      <c r="F896" s="304">
        <f t="shared" ca="1" si="387"/>
        <v>14.146445524673048</v>
      </c>
      <c r="G896" s="306">
        <f t="shared" ca="1" si="388"/>
        <v>62.531782071544654</v>
      </c>
      <c r="H896" s="307">
        <f t="shared" ca="1" si="389"/>
        <v>89.825671967506224</v>
      </c>
      <c r="I896" s="304">
        <f t="shared" ca="1" si="390"/>
        <v>109.44804755434053</v>
      </c>
      <c r="J896" s="306">
        <f t="shared" ca="1" si="391"/>
        <v>1691.9843218666806</v>
      </c>
      <c r="K896" s="307">
        <f t="shared" ca="1" si="392"/>
        <v>4087.6724115295469</v>
      </c>
      <c r="L896" s="304">
        <f t="shared" ca="1" si="377"/>
        <v>4424.0113798929624</v>
      </c>
      <c r="M896" s="306">
        <f t="shared" ca="1" si="393"/>
        <v>0.96266162679344169</v>
      </c>
      <c r="N896" s="304">
        <f t="shared" ca="1" si="394"/>
        <v>55.156448314462175</v>
      </c>
      <c r="P896" s="310">
        <f t="shared" ca="1" si="395"/>
        <v>23</v>
      </c>
      <c r="Q896" s="304">
        <f t="shared" ca="1" si="396"/>
        <v>0</v>
      </c>
      <c r="R896" s="306">
        <f t="shared" ca="1" si="397"/>
        <v>0</v>
      </c>
      <c r="S896" s="307">
        <f t="shared" ca="1" si="398"/>
        <v>11.416040186296438</v>
      </c>
      <c r="T896" s="304">
        <f t="shared" ca="1" si="378"/>
        <v>111.99135422756807</v>
      </c>
      <c r="U896" s="311">
        <f t="shared" ca="1" si="379"/>
        <v>0</v>
      </c>
      <c r="V896" s="306">
        <f t="shared" ca="1" si="380"/>
        <v>0.80923556925102424</v>
      </c>
      <c r="W896" s="304">
        <f t="shared" ca="1" si="381"/>
        <v>54.880457846564092</v>
      </c>
      <c r="Y896" s="314" t="str">
        <f t="shared" ca="1" si="399"/>
        <v/>
      </c>
      <c r="Z896" s="315" t="str">
        <f t="shared" ca="1" si="400"/>
        <v/>
      </c>
      <c r="AA896" s="316" t="str">
        <f t="shared" ca="1" si="401"/>
        <v/>
      </c>
      <c r="AC896" s="310" t="e">
        <f t="shared" ca="1" si="402"/>
        <v>#N/A</v>
      </c>
      <c r="AD896" s="323" t="e">
        <f t="shared" ca="1" si="403"/>
        <v>#N/A</v>
      </c>
      <c r="AE896" s="324">
        <f t="shared" ca="1" si="382"/>
        <v>4087.6724115295469</v>
      </c>
      <c r="AG896" s="306">
        <f t="shared" ca="1" si="404"/>
        <v>-13.00637617071499</v>
      </c>
      <c r="AH896" s="304">
        <f t="shared" ca="1" si="405"/>
        <v>-4.926772213119011</v>
      </c>
    </row>
    <row r="897" spans="1:34" x14ac:dyDescent="0.2">
      <c r="A897" s="347">
        <f t="shared" ca="1" si="383"/>
        <v>0.1</v>
      </c>
      <c r="B897" s="304">
        <f t="shared" ca="1" si="384"/>
        <v>17.299999999999862</v>
      </c>
      <c r="D897" s="306">
        <f t="shared" ca="1" si="385"/>
        <v>-2.7465975229533495</v>
      </c>
      <c r="E897" s="307">
        <f t="shared" ca="1" si="386"/>
        <v>-13.755433185340825</v>
      </c>
      <c r="F897" s="304">
        <f t="shared" ca="1" si="387"/>
        <v>14.026964748992174</v>
      </c>
      <c r="G897" s="306">
        <f t="shared" ca="1" si="388"/>
        <v>62.257122319249319</v>
      </c>
      <c r="H897" s="307">
        <f t="shared" ca="1" si="389"/>
        <v>88.450128648972139</v>
      </c>
      <c r="I897" s="304">
        <f t="shared" ca="1" si="390"/>
        <v>108.16364702382077</v>
      </c>
      <c r="J897" s="306">
        <f t="shared" ca="1" si="391"/>
        <v>1698.2237670862203</v>
      </c>
      <c r="K897" s="307">
        <f t="shared" ca="1" si="392"/>
        <v>4096.5862015603707</v>
      </c>
      <c r="L897" s="304">
        <f t="shared" ca="1" si="377"/>
        <v>4434.6344234797234</v>
      </c>
      <c r="M897" s="306">
        <f t="shared" ca="1" si="393"/>
        <v>0.95747980568513313</v>
      </c>
      <c r="N897" s="304">
        <f t="shared" ca="1" si="394"/>
        <v>54.859551834764297</v>
      </c>
      <c r="P897" s="310">
        <f t="shared" ca="1" si="395"/>
        <v>23</v>
      </c>
      <c r="Q897" s="304">
        <f t="shared" ca="1" si="396"/>
        <v>0</v>
      </c>
      <c r="R897" s="306">
        <f t="shared" ca="1" si="397"/>
        <v>0</v>
      </c>
      <c r="S897" s="307">
        <f t="shared" ca="1" si="398"/>
        <v>11.416040186296438</v>
      </c>
      <c r="T897" s="304">
        <f t="shared" ca="1" si="378"/>
        <v>111.99135422756807</v>
      </c>
      <c r="U897" s="311">
        <f t="shared" ca="1" si="379"/>
        <v>0</v>
      </c>
      <c r="V897" s="306">
        <f t="shared" ca="1" si="380"/>
        <v>0.80848306644478196</v>
      </c>
      <c r="W897" s="304">
        <f t="shared" ca="1" si="381"/>
        <v>53.550101422103133</v>
      </c>
      <c r="Y897" s="314" t="str">
        <f t="shared" ca="1" si="399"/>
        <v/>
      </c>
      <c r="Z897" s="315" t="str">
        <f t="shared" ca="1" si="400"/>
        <v/>
      </c>
      <c r="AA897" s="316" t="str">
        <f t="shared" ca="1" si="401"/>
        <v/>
      </c>
      <c r="AC897" s="310" t="e">
        <f t="shared" ca="1" si="402"/>
        <v>#N/A</v>
      </c>
      <c r="AD897" s="323" t="e">
        <f t="shared" ca="1" si="403"/>
        <v>#N/A</v>
      </c>
      <c r="AE897" s="324">
        <f t="shared" ca="1" si="382"/>
        <v>4096.5862015603707</v>
      </c>
      <c r="AG897" s="306">
        <f t="shared" ca="1" si="404"/>
        <v>-12.858526929155115</v>
      </c>
      <c r="AH897" s="304">
        <f t="shared" ca="1" si="405"/>
        <v>-4.8073111999414104</v>
      </c>
    </row>
    <row r="898" spans="1:34" x14ac:dyDescent="0.2">
      <c r="A898" s="347">
        <f t="shared" ca="1" si="383"/>
        <v>0.1</v>
      </c>
      <c r="B898" s="304">
        <f t="shared" ca="1" si="384"/>
        <v>17.399999999999864</v>
      </c>
      <c r="D898" s="306">
        <f t="shared" ca="1" si="385"/>
        <v>-2.6999301534313327</v>
      </c>
      <c r="E898" s="307">
        <f t="shared" ca="1" si="386"/>
        <v>-13.645852999912957</v>
      </c>
      <c r="F898" s="304">
        <f t="shared" ca="1" si="387"/>
        <v>13.910389172436593</v>
      </c>
      <c r="G898" s="306">
        <f t="shared" ca="1" si="388"/>
        <v>61.987129303906187</v>
      </c>
      <c r="H898" s="307">
        <f t="shared" ca="1" si="389"/>
        <v>87.085543348980849</v>
      </c>
      <c r="I898" s="304">
        <f t="shared" ca="1" si="390"/>
        <v>106.89385417191396</v>
      </c>
      <c r="J898" s="306">
        <f t="shared" ca="1" si="391"/>
        <v>1704.435979667378</v>
      </c>
      <c r="K898" s="307">
        <f t="shared" ca="1" si="392"/>
        <v>4105.3629851602682</v>
      </c>
      <c r="L898" s="304">
        <f t="shared" ca="1" si="377"/>
        <v>4445.1217360955061</v>
      </c>
      <c r="M898" s="306">
        <f t="shared" ca="1" si="393"/>
        <v>0.95219746982239484</v>
      </c>
      <c r="N898" s="304">
        <f t="shared" ca="1" si="394"/>
        <v>54.556896283858791</v>
      </c>
      <c r="P898" s="310">
        <f t="shared" ca="1" si="395"/>
        <v>23</v>
      </c>
      <c r="Q898" s="304">
        <f t="shared" ca="1" si="396"/>
        <v>0</v>
      </c>
      <c r="R898" s="306">
        <f t="shared" ca="1" si="397"/>
        <v>0</v>
      </c>
      <c r="S898" s="307">
        <f t="shared" ca="1" si="398"/>
        <v>11.416040186296438</v>
      </c>
      <c r="T898" s="304">
        <f t="shared" ca="1" si="378"/>
        <v>111.99135422756807</v>
      </c>
      <c r="U898" s="311">
        <f t="shared" ca="1" si="379"/>
        <v>0</v>
      </c>
      <c r="V898" s="306">
        <f t="shared" ca="1" si="380"/>
        <v>0.80774267349408346</v>
      </c>
      <c r="W898" s="304">
        <f t="shared" ca="1" si="381"/>
        <v>52.252277575414617</v>
      </c>
      <c r="Y898" s="314" t="str">
        <f t="shared" ca="1" si="399"/>
        <v/>
      </c>
      <c r="Z898" s="315" t="str">
        <f t="shared" ca="1" si="400"/>
        <v/>
      </c>
      <c r="AA898" s="316" t="str">
        <f t="shared" ca="1" si="401"/>
        <v/>
      </c>
      <c r="AC898" s="310" t="e">
        <f t="shared" ca="1" si="402"/>
        <v>#N/A</v>
      </c>
      <c r="AD898" s="323" t="e">
        <f t="shared" ca="1" si="403"/>
        <v>#N/A</v>
      </c>
      <c r="AE898" s="324">
        <f t="shared" ca="1" si="382"/>
        <v>4105.3629851602682</v>
      </c>
      <c r="AG898" s="306">
        <f t="shared" ca="1" si="404"/>
        <v>-12.712841819026664</v>
      </c>
      <c r="AH898" s="304">
        <f t="shared" ca="1" si="405"/>
        <v>-4.6907772352083592</v>
      </c>
    </row>
    <row r="899" spans="1:34" x14ac:dyDescent="0.2">
      <c r="A899" s="347">
        <f t="shared" ca="1" si="383"/>
        <v>0.1</v>
      </c>
      <c r="B899" s="304">
        <f t="shared" ca="1" si="384"/>
        <v>17.499999999999865</v>
      </c>
      <c r="D899" s="306">
        <f t="shared" ca="1" si="385"/>
        <v>-2.6542298204032853</v>
      </c>
      <c r="E899" s="307">
        <f t="shared" ca="1" si="386"/>
        <v>-13.538919998047437</v>
      </c>
      <c r="F899" s="304">
        <f t="shared" ca="1" si="387"/>
        <v>13.796640556782179</v>
      </c>
      <c r="G899" s="306">
        <f t="shared" ca="1" si="388"/>
        <v>61.721706321865859</v>
      </c>
      <c r="H899" s="307">
        <f t="shared" ca="1" si="389"/>
        <v>85.731651349176104</v>
      </c>
      <c r="I899" s="304">
        <f t="shared" ca="1" si="390"/>
        <v>105.63846399081797</v>
      </c>
      <c r="J899" s="306">
        <f t="shared" ca="1" si="391"/>
        <v>1710.6214214486665</v>
      </c>
      <c r="K899" s="307">
        <f t="shared" ca="1" si="392"/>
        <v>4114.0038448951764</v>
      </c>
      <c r="L899" s="304">
        <f t="shared" ca="1" si="377"/>
        <v>4455.4745295345756</v>
      </c>
      <c r="M899" s="306">
        <f t="shared" ca="1" si="393"/>
        <v>0.9468123196778887</v>
      </c>
      <c r="N899" s="304">
        <f t="shared" ca="1" si="394"/>
        <v>54.24834990853433</v>
      </c>
      <c r="P899" s="310">
        <f t="shared" ca="1" si="395"/>
        <v>23</v>
      </c>
      <c r="Q899" s="304">
        <f t="shared" ca="1" si="396"/>
        <v>0</v>
      </c>
      <c r="R899" s="306">
        <f t="shared" ca="1" si="397"/>
        <v>0</v>
      </c>
      <c r="S899" s="307">
        <f t="shared" ca="1" si="398"/>
        <v>11.416040186296438</v>
      </c>
      <c r="T899" s="304">
        <f t="shared" ca="1" si="378"/>
        <v>111.99135422756807</v>
      </c>
      <c r="U899" s="311">
        <f t="shared" ca="1" si="379"/>
        <v>0</v>
      </c>
      <c r="V899" s="306">
        <f t="shared" ca="1" si="380"/>
        <v>0.80701427333159681</v>
      </c>
      <c r="W899" s="304">
        <f t="shared" ca="1" si="381"/>
        <v>50.986135613330823</v>
      </c>
      <c r="Y899" s="314" t="str">
        <f t="shared" ca="1" si="399"/>
        <v/>
      </c>
      <c r="Z899" s="315" t="str">
        <f t="shared" ca="1" si="400"/>
        <v/>
      </c>
      <c r="AA899" s="316" t="str">
        <f t="shared" ca="1" si="401"/>
        <v/>
      </c>
      <c r="AC899" s="310" t="e">
        <f t="shared" ca="1" si="402"/>
        <v>#N/A</v>
      </c>
      <c r="AD899" s="323" t="e">
        <f t="shared" ca="1" si="403"/>
        <v>#N/A</v>
      </c>
      <c r="AE899" s="324">
        <f t="shared" ca="1" si="382"/>
        <v>4114.0038448951764</v>
      </c>
      <c r="AG899" s="306">
        <f t="shared" ca="1" si="404"/>
        <v>-12.569219267808808</v>
      </c>
      <c r="AH899" s="304">
        <f t="shared" ca="1" si="405"/>
        <v>-4.5770929957076616</v>
      </c>
    </row>
    <row r="900" spans="1:34" x14ac:dyDescent="0.2">
      <c r="A900" s="347">
        <f t="shared" ca="1" si="383"/>
        <v>0.1</v>
      </c>
      <c r="B900" s="304">
        <f t="shared" ca="1" si="384"/>
        <v>17.599999999999866</v>
      </c>
      <c r="D900" s="306">
        <f t="shared" ca="1" si="385"/>
        <v>-2.6094708744945123</v>
      </c>
      <c r="E900" s="307">
        <f t="shared" ca="1" si="386"/>
        <v>-13.434563553887671</v>
      </c>
      <c r="F900" s="304">
        <f t="shared" ca="1" si="387"/>
        <v>13.685643431285284</v>
      </c>
      <c r="G900" s="306">
        <f t="shared" ca="1" si="388"/>
        <v>61.460759234416408</v>
      </c>
      <c r="H900" s="307">
        <f t="shared" ca="1" si="389"/>
        <v>84.388194993787337</v>
      </c>
      <c r="I900" s="304">
        <f t="shared" ca="1" si="390"/>
        <v>104.39728147792152</v>
      </c>
      <c r="J900" s="306">
        <f t="shared" ca="1" si="391"/>
        <v>1716.7805447264807</v>
      </c>
      <c r="K900" s="307">
        <f t="shared" ca="1" si="392"/>
        <v>4122.5098372123248</v>
      </c>
      <c r="L900" s="304">
        <f t="shared" ref="L900:L963" ca="1" si="406">SQRT(pos_x^2+pos_z^2)</f>
        <v>4465.6939882468141</v>
      </c>
      <c r="M900" s="306">
        <f t="shared" ca="1" si="393"/>
        <v>0.94132199730462485</v>
      </c>
      <c r="N900" s="304">
        <f t="shared" ca="1" si="394"/>
        <v>53.933777608380055</v>
      </c>
      <c r="P900" s="310">
        <f t="shared" ca="1" si="395"/>
        <v>23</v>
      </c>
      <c r="Q900" s="304">
        <f t="shared" ca="1" si="396"/>
        <v>0</v>
      </c>
      <c r="R900" s="306">
        <f t="shared" ca="1" si="397"/>
        <v>0</v>
      </c>
      <c r="S900" s="307">
        <f t="shared" ca="1" si="398"/>
        <v>11.416040186296438</v>
      </c>
      <c r="T900" s="304">
        <f t="shared" ref="T900:T963" ca="1" si="407">m*g</f>
        <v>111.99135422756807</v>
      </c>
      <c r="U900" s="311">
        <f t="shared" ref="U900:U963" ca="1" si="408">IF(pos_xz&lt;L_rampe,Poids*COS(Beta),0)</f>
        <v>0</v>
      </c>
      <c r="V900" s="306">
        <f t="shared" ref="V900:V963" ca="1" si="409">Rho_moyen*(20000-Alt_rampe-pos_z)/(20000+Alt_rampe+pos_z)</f>
        <v>0.80629775179573926</v>
      </c>
      <c r="W900" s="304">
        <f t="shared" ref="W900:W963" ca="1" si="410">1/2*Rho*Sref*Cx*vit_xz^2</f>
        <v>49.750855532631853</v>
      </c>
      <c r="Y900" s="314" t="str">
        <f t="shared" ca="1" si="399"/>
        <v/>
      </c>
      <c r="Z900" s="315" t="str">
        <f t="shared" ca="1" si="400"/>
        <v/>
      </c>
      <c r="AA900" s="316" t="str">
        <f t="shared" ca="1" si="401"/>
        <v/>
      </c>
      <c r="AC900" s="310" t="e">
        <f t="shared" ca="1" si="402"/>
        <v>#N/A</v>
      </c>
      <c r="AD900" s="323" t="e">
        <f t="shared" ca="1" si="403"/>
        <v>#N/A</v>
      </c>
      <c r="AE900" s="324">
        <f t="shared" ref="AE900:AE963" ca="1" si="411">IF(t&lt;T_para, pos_z, NA())</f>
        <v>4122.5098372123248</v>
      </c>
      <c r="AG900" s="306">
        <f t="shared" ca="1" si="404"/>
        <v>-12.42755965966496</v>
      </c>
      <c r="AH900" s="304">
        <f t="shared" ca="1" si="405"/>
        <v>-4.4661839640800709</v>
      </c>
    </row>
    <row r="901" spans="1:34" x14ac:dyDescent="0.2">
      <c r="A901" s="347">
        <f t="shared" ref="A901:A964" ca="1" si="412">IF(B900+0.01&lt;=T_ini+ROUNDUP(Temps_fin_propu,0), 0.01, IF(K900&gt;0, 0.1, 0.0001))</f>
        <v>0.1</v>
      </c>
      <c r="B901" s="304">
        <f t="shared" ref="B901:B964" ca="1" si="413">B900+pas</f>
        <v>17.699999999999868</v>
      </c>
      <c r="D901" s="306">
        <f t="shared" ref="D901:D964" ca="1" si="414">IF(AND(L900&lt;L_rampe,Poussee&lt;Poids*SIN(M900)),0,(-W900+Poussee)/m*COS(M900)-U900/m*SIN(M900))</f>
        <v>-2.5656286442220133</v>
      </c>
      <c r="E901" s="307">
        <f t="shared" ref="E901:E964" ca="1" si="415">IF(AND(L900&lt;L_rampe,Poussee&lt;Poids*SIN(M900)),0,(-W900+Poussee)/m*SIN(M900)+U900/m*COS(M900)-Poids/m)</f>
        <v>-13.332715518115734</v>
      </c>
      <c r="F901" s="304">
        <f t="shared" ref="F901:F964" ca="1" si="416">SQRT(acc_x^2+acc_z^2)</f>
        <v>13.577324973169663</v>
      </c>
      <c r="G901" s="306">
        <f t="shared" ref="G901:G964" ca="1" si="417">G900+acc_x*pas</f>
        <v>61.204196369994207</v>
      </c>
      <c r="H901" s="307">
        <f t="shared" ref="H901:H964" ca="1" si="418">H900+acc_z*pas</f>
        <v>83.05492344197576</v>
      </c>
      <c r="I901" s="304">
        <f t="shared" ref="I901:I964" ca="1" si="419">SQRT(vit_x^2+vit_z^2)</f>
        <v>103.17012145601684</v>
      </c>
      <c r="J901" s="306">
        <f t="shared" ref="J901:J964" ca="1" si="420">J900+0.5*(vit_x+G900)*pas*(K900&gt;=0)</f>
        <v>1722.9137925067012</v>
      </c>
      <c r="K901" s="307">
        <f t="shared" ref="K901:K964" ca="1" si="421">K900+0.5*(vit_z+H900)*pas</f>
        <v>4130.8819931341131</v>
      </c>
      <c r="L901" s="304">
        <f t="shared" ca="1" si="406"/>
        <v>4475.7812700811783</v>
      </c>
      <c r="M901" s="306">
        <f t="shared" ref="M901:M964" ca="1" si="422">IF(AND(L900&gt;L_rampe,G901&gt;0),ATAN2(G901,H901),$M$4)</f>
        <v>0.93572408533134144</v>
      </c>
      <c r="N901" s="304">
        <f t="shared" ref="N901:N964" ca="1" si="423">DEGREES(Beta)</f>
        <v>53.613040878225171</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11.416040186296438</v>
      </c>
      <c r="T901" s="304">
        <f t="shared" ca="1" si="407"/>
        <v>111.99135422756807</v>
      </c>
      <c r="U901" s="311">
        <f t="shared" ca="1" si="408"/>
        <v>0</v>
      </c>
      <c r="V901" s="306">
        <f t="shared" ca="1" si="409"/>
        <v>0.80559299755151181</v>
      </c>
      <c r="W901" s="304">
        <f t="shared" ca="1" si="410"/>
        <v>48.54564674442625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f t="shared" ca="1" si="411"/>
        <v>4130.8819931341131</v>
      </c>
      <c r="AG901" s="306">
        <f t="shared" ref="AG901:AG964" ca="1" si="433">IF(AND(L900&lt;L_rampe,Poussee&lt;Poids*SIN(M900)),0,(-W900+Poussee)/m-Poids*SIN(M900)/m)</f>
        <v>-12.28776519049676</v>
      </c>
      <c r="AH901" s="304">
        <f t="shared" ref="AH901:AH964" ca="1" si="434">IF(AND(L900&lt;L_rampe,Poussee&lt;Poids*SIN(M900)), g*SIN(M900), (-W900+Poussee)/m)</f>
        <v>-4.3579783112844748</v>
      </c>
    </row>
    <row r="902" spans="1:34" x14ac:dyDescent="0.2">
      <c r="A902" s="347">
        <f t="shared" ca="1" si="412"/>
        <v>0.1</v>
      </c>
      <c r="B902" s="304">
        <f t="shared" ca="1" si="413"/>
        <v>17.799999999999869</v>
      </c>
      <c r="D902" s="306">
        <f t="shared" ca="1" si="414"/>
        <v>-2.5226793981874045</v>
      </c>
      <c r="E902" s="307">
        <f t="shared" ca="1" si="415"/>
        <v>-13.233310111262625</v>
      </c>
      <c r="F902" s="304">
        <f t="shared" ca="1" si="416"/>
        <v>13.471614893801144</v>
      </c>
      <c r="G902" s="306">
        <f t="shared" ca="1" si="417"/>
        <v>60.951928430175464</v>
      </c>
      <c r="H902" s="307">
        <f t="shared" ca="1" si="418"/>
        <v>81.731592430849503</v>
      </c>
      <c r="I902" s="304">
        <f t="shared" ca="1" si="419"/>
        <v>101.95680840748071</v>
      </c>
      <c r="J902" s="306">
        <f t="shared" ca="1" si="420"/>
        <v>1729.0215987467097</v>
      </c>
      <c r="K902" s="307">
        <f t="shared" ca="1" si="421"/>
        <v>4139.1213189277541</v>
      </c>
      <c r="L902" s="304">
        <f t="shared" ca="1" si="406"/>
        <v>4485.7375070031521</v>
      </c>
      <c r="M902" s="306">
        <f t="shared" ca="1" si="422"/>
        <v>0.93001610600305573</v>
      </c>
      <c r="N902" s="304">
        <f t="shared" ca="1" si="423"/>
        <v>53.285997753166477</v>
      </c>
      <c r="P902" s="310">
        <f t="shared" ca="1" si="424"/>
        <v>23</v>
      </c>
      <c r="Q902" s="304">
        <f t="shared" ca="1" si="425"/>
        <v>0</v>
      </c>
      <c r="R902" s="306">
        <f t="shared" ca="1" si="426"/>
        <v>0</v>
      </c>
      <c r="S902" s="307">
        <f t="shared" ca="1" si="427"/>
        <v>11.416040186296438</v>
      </c>
      <c r="T902" s="304">
        <f t="shared" ca="1" si="407"/>
        <v>111.99135422756807</v>
      </c>
      <c r="U902" s="311">
        <f t="shared" ca="1" si="408"/>
        <v>0</v>
      </c>
      <c r="V902" s="306">
        <f t="shared" ca="1" si="409"/>
        <v>0.80489990201418615</v>
      </c>
      <c r="W902" s="304">
        <f t="shared" ca="1" si="410"/>
        <v>47.369746860983383</v>
      </c>
      <c r="Y902" s="314" t="str">
        <f t="shared" ca="1" si="428"/>
        <v/>
      </c>
      <c r="Z902" s="315" t="str">
        <f t="shared" ca="1" si="429"/>
        <v/>
      </c>
      <c r="AA902" s="316" t="str">
        <f t="shared" ca="1" si="430"/>
        <v/>
      </c>
      <c r="AC902" s="310" t="e">
        <f t="shared" ca="1" si="431"/>
        <v>#N/A</v>
      </c>
      <c r="AD902" s="323" t="e">
        <f t="shared" ca="1" si="432"/>
        <v>#N/A</v>
      </c>
      <c r="AE902" s="324">
        <f t="shared" ca="1" si="411"/>
        <v>4139.1213189277541</v>
      </c>
      <c r="AG902" s="306">
        <f t="shared" ca="1" si="433"/>
        <v>-12.149739728419586</v>
      </c>
      <c r="AH902" s="304">
        <f t="shared" ca="1" si="434"/>
        <v>-4.2524067848586737</v>
      </c>
    </row>
    <row r="903" spans="1:34" x14ac:dyDescent="0.2">
      <c r="A903" s="347">
        <f t="shared" ca="1" si="412"/>
        <v>0.1</v>
      </c>
      <c r="B903" s="304">
        <f t="shared" ca="1" si="413"/>
        <v>17.899999999999871</v>
      </c>
      <c r="D903" s="306">
        <f t="shared" ca="1" si="414"/>
        <v>-2.480600309240284</v>
      </c>
      <c r="E903" s="307">
        <f t="shared" ca="1" si="415"/>
        <v>-13.136283822027426</v>
      </c>
      <c r="F903" s="304">
        <f t="shared" ca="1" si="416"/>
        <v>13.368445330219311</v>
      </c>
      <c r="G903" s="306">
        <f t="shared" ca="1" si="417"/>
        <v>60.703868399251434</v>
      </c>
      <c r="H903" s="307">
        <f t="shared" ca="1" si="418"/>
        <v>80.417964048646766</v>
      </c>
      <c r="I903" s="304">
        <f t="shared" ca="1" si="419"/>
        <v>100.75717632190315</v>
      </c>
      <c r="J903" s="306">
        <f t="shared" ca="1" si="420"/>
        <v>1735.1043885881811</v>
      </c>
      <c r="K903" s="307">
        <f t="shared" ca="1" si="421"/>
        <v>4147.2287967517286</v>
      </c>
      <c r="L903" s="304">
        <f t="shared" ca="1" si="406"/>
        <v>4495.5638057872966</v>
      </c>
      <c r="M903" s="306">
        <f t="shared" ca="1" si="422"/>
        <v>0.92419552027541862</v>
      </c>
      <c r="N903" s="304">
        <f t="shared" ca="1" si="423"/>
        <v>52.95250275667879</v>
      </c>
      <c r="P903" s="310">
        <f t="shared" ca="1" si="424"/>
        <v>23</v>
      </c>
      <c r="Q903" s="304">
        <f t="shared" ca="1" si="425"/>
        <v>0</v>
      </c>
      <c r="R903" s="306">
        <f t="shared" ca="1" si="426"/>
        <v>0</v>
      </c>
      <c r="S903" s="307">
        <f t="shared" ca="1" si="427"/>
        <v>11.416040186296438</v>
      </c>
      <c r="T903" s="304">
        <f t="shared" ca="1" si="407"/>
        <v>111.99135422756807</v>
      </c>
      <c r="U903" s="311">
        <f t="shared" ca="1" si="408"/>
        <v>0</v>
      </c>
      <c r="V903" s="306">
        <f t="shared" ca="1" si="409"/>
        <v>0.80421835927572161</v>
      </c>
      <c r="W903" s="304">
        <f t="shared" ca="1" si="410"/>
        <v>46.222420541539115</v>
      </c>
      <c r="Y903" s="314" t="str">
        <f t="shared" ca="1" si="428"/>
        <v/>
      </c>
      <c r="Z903" s="315" t="str">
        <f t="shared" ca="1" si="429"/>
        <v/>
      </c>
      <c r="AA903" s="316" t="str">
        <f t="shared" ca="1" si="430"/>
        <v/>
      </c>
      <c r="AC903" s="310" t="e">
        <f t="shared" ca="1" si="431"/>
        <v>#N/A</v>
      </c>
      <c r="AD903" s="323" t="e">
        <f t="shared" ca="1" si="432"/>
        <v>#N/A</v>
      </c>
      <c r="AE903" s="324">
        <f t="shared" ca="1" si="411"/>
        <v>4147.2287967517286</v>
      </c>
      <c r="AG903" s="306">
        <f t="shared" ca="1" si="433"/>
        <v>-12.013388679404013</v>
      </c>
      <c r="AH903" s="304">
        <f t="shared" ca="1" si="434"/>
        <v>-4.1494026026506967</v>
      </c>
    </row>
    <row r="904" spans="1:34" x14ac:dyDescent="0.2">
      <c r="A904" s="347">
        <f t="shared" ca="1" si="412"/>
        <v>0.1</v>
      </c>
      <c r="B904" s="304">
        <f t="shared" ca="1" si="413"/>
        <v>17.999999999999872</v>
      </c>
      <c r="D904" s="306">
        <f t="shared" ca="1" si="414"/>
        <v>-2.4393694205053427</v>
      </c>
      <c r="E904" s="307">
        <f t="shared" ca="1" si="415"/>
        <v>-13.041575310313931</v>
      </c>
      <c r="F904" s="304">
        <f t="shared" ca="1" si="416"/>
        <v>13.267750741715284</v>
      </c>
      <c r="G904" s="306">
        <f t="shared" ca="1" si="417"/>
        <v>60.459931457200902</v>
      </c>
      <c r="H904" s="307">
        <f t="shared" ca="1" si="418"/>
        <v>79.113806517615373</v>
      </c>
      <c r="I904" s="304">
        <f t="shared" ca="1" si="419"/>
        <v>99.571068556665153</v>
      </c>
      <c r="J904" s="306">
        <f t="shared" ca="1" si="420"/>
        <v>1741.1625785810038</v>
      </c>
      <c r="K904" s="307">
        <f t="shared" ca="1" si="421"/>
        <v>4155.2053852800418</v>
      </c>
      <c r="L904" s="304">
        <f t="shared" ca="1" si="406"/>
        <v>4505.2612486859307</v>
      </c>
      <c r="M904" s="306">
        <f t="shared" ca="1" si="422"/>
        <v>0.918259726972392</v>
      </c>
      <c r="N904" s="304">
        <f t="shared" ca="1" si="423"/>
        <v>52.612406852353345</v>
      </c>
      <c r="P904" s="310">
        <f t="shared" ca="1" si="424"/>
        <v>23</v>
      </c>
      <c r="Q904" s="304">
        <f t="shared" ca="1" si="425"/>
        <v>0</v>
      </c>
      <c r="R904" s="306">
        <f t="shared" ca="1" si="426"/>
        <v>0</v>
      </c>
      <c r="S904" s="307">
        <f t="shared" ca="1" si="427"/>
        <v>11.416040186296438</v>
      </c>
      <c r="T904" s="304">
        <f t="shared" ca="1" si="407"/>
        <v>111.99135422756807</v>
      </c>
      <c r="U904" s="311">
        <f t="shared" ca="1" si="408"/>
        <v>0</v>
      </c>
      <c r="V904" s="306">
        <f t="shared" ca="1" si="409"/>
        <v>0.80354826603379437</v>
      </c>
      <c r="W904" s="304">
        <f t="shared" ca="1" si="410"/>
        <v>45.102958393811988</v>
      </c>
      <c r="Y904" s="314" t="str">
        <f t="shared" ca="1" si="428"/>
        <v/>
      </c>
      <c r="Z904" s="315" t="str">
        <f t="shared" ca="1" si="429"/>
        <v/>
      </c>
      <c r="AA904" s="316" t="str">
        <f t="shared" ca="1" si="430"/>
        <v/>
      </c>
      <c r="AC904" s="310">
        <f t="shared" ca="1" si="431"/>
        <v>17.999999999999872</v>
      </c>
      <c r="AD904" s="323">
        <f t="shared" ca="1" si="432"/>
        <v>1741.1625785810038</v>
      </c>
      <c r="AE904" s="324">
        <f t="shared" ca="1" si="411"/>
        <v>4155.2053852800418</v>
      </c>
      <c r="AG904" s="306">
        <f t="shared" ca="1" si="433"/>
        <v>-11.87861885785976</v>
      </c>
      <c r="AH904" s="304">
        <f t="shared" ca="1" si="434"/>
        <v>-4.048901351715938</v>
      </c>
    </row>
    <row r="905" spans="1:34" x14ac:dyDescent="0.2">
      <c r="A905" s="347">
        <f t="shared" ca="1" si="412"/>
        <v>0.1</v>
      </c>
      <c r="B905" s="304">
        <f t="shared" ca="1" si="413"/>
        <v>18.099999999999874</v>
      </c>
      <c r="D905" s="306">
        <f t="shared" ca="1" si="414"/>
        <v>-2.3989656131729777</v>
      </c>
      <c r="E905" s="307">
        <f t="shared" ca="1" si="415"/>
        <v>-12.949125314710805</v>
      </c>
      <c r="F905" s="304">
        <f t="shared" ca="1" si="416"/>
        <v>13.169467811163464</v>
      </c>
      <c r="G905" s="306">
        <f t="shared" ca="1" si="417"/>
        <v>60.220034895883607</v>
      </c>
      <c r="H905" s="307">
        <f t="shared" ca="1" si="418"/>
        <v>77.818893986144289</v>
      </c>
      <c r="I905" s="304">
        <f t="shared" ca="1" si="419"/>
        <v>98.39833770998473</v>
      </c>
      <c r="J905" s="306">
        <f t="shared" ca="1" si="420"/>
        <v>1747.1965768986581</v>
      </c>
      <c r="K905" s="307">
        <f t="shared" ca="1" si="421"/>
        <v>4163.0520203052301</v>
      </c>
      <c r="L905" s="304">
        <f t="shared" ca="1" si="406"/>
        <v>4514.8308940749757</v>
      </c>
      <c r="M905" s="306">
        <f t="shared" ca="1" si="422"/>
        <v>0.91220606201771992</v>
      </c>
      <c r="N905" s="304">
        <f t="shared" ca="1" si="423"/>
        <v>52.265557399864377</v>
      </c>
      <c r="P905" s="310">
        <f t="shared" ca="1" si="424"/>
        <v>23</v>
      </c>
      <c r="Q905" s="304">
        <f t="shared" ca="1" si="425"/>
        <v>0</v>
      </c>
      <c r="R905" s="306">
        <f t="shared" ca="1" si="426"/>
        <v>0</v>
      </c>
      <c r="S905" s="307">
        <f t="shared" ca="1" si="427"/>
        <v>11.416040186296438</v>
      </c>
      <c r="T905" s="304">
        <f t="shared" ca="1" si="407"/>
        <v>111.99135422756807</v>
      </c>
      <c r="U905" s="311">
        <f t="shared" ca="1" si="408"/>
        <v>0</v>
      </c>
      <c r="V905" s="306">
        <f t="shared" ca="1" si="409"/>
        <v>0.80288952152332582</v>
      </c>
      <c r="W905" s="304">
        <f t="shared" ca="1" si="410"/>
        <v>44.01067592816797</v>
      </c>
      <c r="Y905" s="314" t="str">
        <f t="shared" ca="1" si="428"/>
        <v/>
      </c>
      <c r="Z905" s="315" t="str">
        <f t="shared" ca="1" si="429"/>
        <v/>
      </c>
      <c r="AA905" s="316" t="str">
        <f t="shared" ca="1" si="430"/>
        <v/>
      </c>
      <c r="AC905" s="310" t="e">
        <f t="shared" ca="1" si="431"/>
        <v>#N/A</v>
      </c>
      <c r="AD905" s="323" t="e">
        <f t="shared" ca="1" si="432"/>
        <v>#N/A</v>
      </c>
      <c r="AE905" s="324">
        <f t="shared" ca="1" si="411"/>
        <v>4163.0520203052301</v>
      </c>
      <c r="AG905" s="306">
        <f t="shared" ca="1" si="433"/>
        <v>-11.745338361970624</v>
      </c>
      <c r="AH905" s="304">
        <f t="shared" ca="1" si="434"/>
        <v>-3.9508408920943165</v>
      </c>
    </row>
    <row r="906" spans="1:34" x14ac:dyDescent="0.2">
      <c r="A906" s="347">
        <f t="shared" ca="1" si="412"/>
        <v>0.1</v>
      </c>
      <c r="B906" s="304">
        <f t="shared" ca="1" si="413"/>
        <v>18.199999999999875</v>
      </c>
      <c r="D906" s="306">
        <f t="shared" ca="1" si="414"/>
        <v>-2.3593685759591798</v>
      </c>
      <c r="E906" s="307">
        <f t="shared" ca="1" si="415"/>
        <v>-12.858876564157523</v>
      </c>
      <c r="F906" s="304">
        <f t="shared" ca="1" si="416"/>
        <v>13.073535350832353</v>
      </c>
      <c r="G906" s="306">
        <f t="shared" ca="1" si="417"/>
        <v>59.984098038287691</v>
      </c>
      <c r="H906" s="307">
        <f t="shared" ca="1" si="418"/>
        <v>76.533006329728536</v>
      </c>
      <c r="I906" s="304">
        <f t="shared" ca="1" si="419"/>
        <v>97.238845505966268</v>
      </c>
      <c r="J906" s="306">
        <f t="shared" ca="1" si="420"/>
        <v>1753.2067835453668</v>
      </c>
      <c r="K906" s="307">
        <f t="shared" ca="1" si="421"/>
        <v>4170.7696153210236</v>
      </c>
      <c r="L906" s="304">
        <f t="shared" ca="1" si="406"/>
        <v>4524.2737770778822</v>
      </c>
      <c r="M906" s="306">
        <f t="shared" ca="1" si="422"/>
        <v>0.90603179775169451</v>
      </c>
      <c r="N906" s="304">
        <f t="shared" ca="1" si="423"/>
        <v>51.911798115822684</v>
      </c>
      <c r="P906" s="310">
        <f t="shared" ca="1" si="424"/>
        <v>23</v>
      </c>
      <c r="Q906" s="304">
        <f t="shared" ca="1" si="425"/>
        <v>0</v>
      </c>
      <c r="R906" s="306">
        <f t="shared" ca="1" si="426"/>
        <v>0</v>
      </c>
      <c r="S906" s="307">
        <f t="shared" ca="1" si="427"/>
        <v>11.416040186296438</v>
      </c>
      <c r="T906" s="304">
        <f t="shared" ca="1" si="407"/>
        <v>111.99135422756807</v>
      </c>
      <c r="U906" s="311">
        <f t="shared" ca="1" si="408"/>
        <v>0</v>
      </c>
      <c r="V906" s="306">
        <f t="shared" ca="1" si="409"/>
        <v>0.80224202745040363</v>
      </c>
      <c r="W906" s="304">
        <f t="shared" ca="1" si="410"/>
        <v>42.944912561559882</v>
      </c>
      <c r="Y906" s="314" t="str">
        <f t="shared" ca="1" si="428"/>
        <v/>
      </c>
      <c r="Z906" s="315" t="str">
        <f t="shared" ca="1" si="429"/>
        <v/>
      </c>
      <c r="AA906" s="316" t="str">
        <f t="shared" ca="1" si="430"/>
        <v/>
      </c>
      <c r="AC906" s="310" t="e">
        <f t="shared" ca="1" si="431"/>
        <v>#N/A</v>
      </c>
      <c r="AD906" s="323" t="e">
        <f t="shared" ca="1" si="432"/>
        <v>#N/A</v>
      </c>
      <c r="AE906" s="324">
        <f t="shared" ca="1" si="411"/>
        <v>4170.7696153210236</v>
      </c>
      <c r="AG906" s="306">
        <f t="shared" ca="1" si="433"/>
        <v>-11.613456453621017</v>
      </c>
      <c r="AH906" s="304">
        <f t="shared" ca="1" si="434"/>
        <v>-3.855161265199242</v>
      </c>
    </row>
    <row r="907" spans="1:34" x14ac:dyDescent="0.2">
      <c r="A907" s="347">
        <f t="shared" ca="1" si="412"/>
        <v>0.1</v>
      </c>
      <c r="B907" s="304">
        <f t="shared" ca="1" si="413"/>
        <v>18.299999999999876</v>
      </c>
      <c r="D907" s="306">
        <f t="shared" ca="1" si="414"/>
        <v>-2.3205587761460085</v>
      </c>
      <c r="E907" s="307">
        <f t="shared" ca="1" si="415"/>
        <v>-12.770773693553389</v>
      </c>
      <c r="F907" s="304">
        <f t="shared" ca="1" si="416"/>
        <v>12.979894212415736</v>
      </c>
      <c r="G907" s="306">
        <f t="shared" ca="1" si="417"/>
        <v>59.752042160673092</v>
      </c>
      <c r="H907" s="307">
        <f t="shared" ca="1" si="418"/>
        <v>75.255928960373197</v>
      </c>
      <c r="I907" s="304">
        <f t="shared" ca="1" si="419"/>
        <v>96.092462691199628</v>
      </c>
      <c r="J907" s="306">
        <f t="shared" ca="1" si="420"/>
        <v>1759.1935905553148</v>
      </c>
      <c r="K907" s="307">
        <f t="shared" ca="1" si="421"/>
        <v>4178.3590620855284</v>
      </c>
      <c r="L907" s="304">
        <f t="shared" ca="1" si="406"/>
        <v>4533.5909101685784</v>
      </c>
      <c r="M907" s="306">
        <f t="shared" ca="1" si="422"/>
        <v>0.8997341423458235</v>
      </c>
      <c r="N907" s="304">
        <f t="shared" ca="1" si="423"/>
        <v>51.550969040238527</v>
      </c>
      <c r="P907" s="310">
        <f t="shared" ca="1" si="424"/>
        <v>23</v>
      </c>
      <c r="Q907" s="304">
        <f t="shared" ca="1" si="425"/>
        <v>0</v>
      </c>
      <c r="R907" s="306">
        <f t="shared" ca="1" si="426"/>
        <v>0</v>
      </c>
      <c r="S907" s="307">
        <f t="shared" ca="1" si="427"/>
        <v>11.416040186296438</v>
      </c>
      <c r="T907" s="304">
        <f t="shared" ca="1" si="407"/>
        <v>111.99135422756807</v>
      </c>
      <c r="U907" s="311">
        <f t="shared" ca="1" si="408"/>
        <v>0</v>
      </c>
      <c r="V907" s="306">
        <f t="shared" ca="1" si="409"/>
        <v>0.80160568792849485</v>
      </c>
      <c r="W907" s="304">
        <f t="shared" ca="1" si="410"/>
        <v>41.905030668541215</v>
      </c>
      <c r="Y907" s="314" t="str">
        <f t="shared" ca="1" si="428"/>
        <v/>
      </c>
      <c r="Z907" s="315" t="str">
        <f t="shared" ca="1" si="429"/>
        <v/>
      </c>
      <c r="AA907" s="316" t="str">
        <f t="shared" ca="1" si="430"/>
        <v/>
      </c>
      <c r="AC907" s="310" t="e">
        <f t="shared" ca="1" si="431"/>
        <v>#N/A</v>
      </c>
      <c r="AD907" s="323" t="e">
        <f t="shared" ca="1" si="432"/>
        <v>#N/A</v>
      </c>
      <c r="AE907" s="324">
        <f t="shared" ca="1" si="411"/>
        <v>4178.3590620855284</v>
      </c>
      <c r="AG907" s="306">
        <f t="shared" ca="1" si="433"/>
        <v>-11.482883442787207</v>
      </c>
      <c r="AH907" s="304">
        <f t="shared" ca="1" si="434"/>
        <v>-3.7618046065666451</v>
      </c>
    </row>
    <row r="908" spans="1:34" x14ac:dyDescent="0.2">
      <c r="A908" s="347">
        <f t="shared" ca="1" si="412"/>
        <v>0.1</v>
      </c>
      <c r="B908" s="304">
        <f t="shared" ca="1" si="413"/>
        <v>18.399999999999878</v>
      </c>
      <c r="D908" s="306">
        <f t="shared" ca="1" si="414"/>
        <v>-2.28251743211906</v>
      </c>
      <c r="E908" s="307">
        <f t="shared" ca="1" si="415"/>
        <v>-12.684763163080994</v>
      </c>
      <c r="F908" s="304">
        <f t="shared" ca="1" si="416"/>
        <v>12.888487201040467</v>
      </c>
      <c r="G908" s="306">
        <f t="shared" ca="1" si="417"/>
        <v>59.523790417461186</v>
      </c>
      <c r="H908" s="307">
        <f t="shared" ca="1" si="418"/>
        <v>73.987452644065101</v>
      </c>
      <c r="I908" s="304">
        <f t="shared" ca="1" si="419"/>
        <v>94.959068942463944</v>
      </c>
      <c r="J908" s="306">
        <f t="shared" ca="1" si="420"/>
        <v>1765.1573821842214</v>
      </c>
      <c r="K908" s="307">
        <f t="shared" ca="1" si="421"/>
        <v>4185.8212311657508</v>
      </c>
      <c r="L908" s="304">
        <f t="shared" ca="1" si="406"/>
        <v>4542.783283754291</v>
      </c>
      <c r="M908" s="306">
        <f t="shared" ca="1" si="422"/>
        <v>0.89331023932919629</v>
      </c>
      <c r="N908" s="304">
        <f t="shared" ca="1" si="423"/>
        <v>51.182906509384431</v>
      </c>
      <c r="P908" s="310">
        <f t="shared" ca="1" si="424"/>
        <v>23</v>
      </c>
      <c r="Q908" s="304">
        <f t="shared" ca="1" si="425"/>
        <v>0</v>
      </c>
      <c r="R908" s="306">
        <f t="shared" ca="1" si="426"/>
        <v>0</v>
      </c>
      <c r="S908" s="307">
        <f t="shared" ca="1" si="427"/>
        <v>11.416040186296438</v>
      </c>
      <c r="T908" s="304">
        <f t="shared" ca="1" si="407"/>
        <v>111.99135422756807</v>
      </c>
      <c r="U908" s="311">
        <f t="shared" ca="1" si="408"/>
        <v>0</v>
      </c>
      <c r="V908" s="306">
        <f t="shared" ca="1" si="409"/>
        <v>0.80098040941685289</v>
      </c>
      <c r="W908" s="304">
        <f t="shared" ca="1" si="410"/>
        <v>40.890414676817556</v>
      </c>
      <c r="Y908" s="314" t="str">
        <f t="shared" ca="1" si="428"/>
        <v/>
      </c>
      <c r="Z908" s="315" t="str">
        <f t="shared" ca="1" si="429"/>
        <v/>
      </c>
      <c r="AA908" s="316" t="str">
        <f t="shared" ca="1" si="430"/>
        <v/>
      </c>
      <c r="AC908" s="310" t="e">
        <f t="shared" ca="1" si="431"/>
        <v>#N/A</v>
      </c>
      <c r="AD908" s="323" t="e">
        <f t="shared" ca="1" si="432"/>
        <v>#N/A</v>
      </c>
      <c r="AE908" s="324">
        <f t="shared" ca="1" si="411"/>
        <v>4185.8212311657508</v>
      </c>
      <c r="AG908" s="306">
        <f t="shared" ca="1" si="433"/>
        <v>-11.353530576299267</v>
      </c>
      <c r="AH908" s="304">
        <f t="shared" ca="1" si="434"/>
        <v>-3.6707150627275369</v>
      </c>
    </row>
    <row r="909" spans="1:34" x14ac:dyDescent="0.2">
      <c r="A909" s="347">
        <f t="shared" ca="1" si="412"/>
        <v>0.1</v>
      </c>
      <c r="B909" s="304">
        <f t="shared" ca="1" si="413"/>
        <v>18.499999999999879</v>
      </c>
      <c r="D909" s="306">
        <f t="shared" ca="1" si="414"/>
        <v>-2.2452264873230883</v>
      </c>
      <c r="E909" s="307">
        <f t="shared" ca="1" si="415"/>
        <v>-12.600793181028456</v>
      </c>
      <c r="F909" s="304">
        <f t="shared" ca="1" si="416"/>
        <v>12.799258993021057</v>
      </c>
      <c r="G909" s="306">
        <f t="shared" ca="1" si="417"/>
        <v>59.299267768728875</v>
      </c>
      <c r="H909" s="307">
        <f t="shared" ca="1" si="418"/>
        <v>72.727373325962262</v>
      </c>
      <c r="I909" s="304">
        <f t="shared" ca="1" si="419"/>
        <v>93.83855278509624</v>
      </c>
      <c r="J909" s="306">
        <f t="shared" ca="1" si="420"/>
        <v>1771.0985350935309</v>
      </c>
      <c r="K909" s="307">
        <f t="shared" ca="1" si="421"/>
        <v>4193.1569724642522</v>
      </c>
      <c r="L909" s="304">
        <f t="shared" ca="1" si="406"/>
        <v>4551.8518667390772</v>
      </c>
      <c r="M909" s="306">
        <f t="shared" ca="1" si="422"/>
        <v>0.88675716724161835</v>
      </c>
      <c r="N909" s="304">
        <f t="shared" ca="1" si="423"/>
        <v>50.807443135921233</v>
      </c>
      <c r="P909" s="310">
        <f t="shared" ca="1" si="424"/>
        <v>23</v>
      </c>
      <c r="Q909" s="304">
        <f t="shared" ca="1" si="425"/>
        <v>0</v>
      </c>
      <c r="R909" s="306">
        <f t="shared" ca="1" si="426"/>
        <v>0</v>
      </c>
      <c r="S909" s="307">
        <f t="shared" ca="1" si="427"/>
        <v>11.416040186296438</v>
      </c>
      <c r="T909" s="304">
        <f t="shared" ca="1" si="407"/>
        <v>111.99135422756807</v>
      </c>
      <c r="U909" s="311">
        <f t="shared" ca="1" si="408"/>
        <v>0</v>
      </c>
      <c r="V909" s="306">
        <f t="shared" ca="1" si="409"/>
        <v>0.80036610066102454</v>
      </c>
      <c r="W909" s="304">
        <f t="shared" ca="1" si="410"/>
        <v>39.900470204949848</v>
      </c>
      <c r="Y909" s="314" t="str">
        <f t="shared" ca="1" si="428"/>
        <v/>
      </c>
      <c r="Z909" s="315" t="str">
        <f t="shared" ca="1" si="429"/>
        <v/>
      </c>
      <c r="AA909" s="316" t="str">
        <f t="shared" ca="1" si="430"/>
        <v/>
      </c>
      <c r="AC909" s="310" t="e">
        <f t="shared" ca="1" si="431"/>
        <v>#N/A</v>
      </c>
      <c r="AD909" s="323" t="e">
        <f t="shared" ca="1" si="432"/>
        <v>#N/A</v>
      </c>
      <c r="AE909" s="324">
        <f t="shared" ca="1" si="411"/>
        <v>4193.1569724642522</v>
      </c>
      <c r="AG909" s="306">
        <f t="shared" ca="1" si="433"/>
        <v>-11.225309930913639</v>
      </c>
      <c r="AH909" s="304">
        <f t="shared" ca="1" si="434"/>
        <v>-3.5818387119818924</v>
      </c>
    </row>
    <row r="910" spans="1:34" x14ac:dyDescent="0.2">
      <c r="A910" s="347">
        <f t="shared" ca="1" si="412"/>
        <v>0.1</v>
      </c>
      <c r="B910" s="304">
        <f t="shared" ca="1" si="413"/>
        <v>18.599999999999881</v>
      </c>
      <c r="D910" s="306">
        <f t="shared" ca="1" si="414"/>
        <v>-2.2086685855612278</v>
      </c>
      <c r="E910" s="307">
        <f t="shared" ca="1" si="415"/>
        <v>-12.518813629906981</v>
      </c>
      <c r="F910" s="304">
        <f t="shared" ca="1" si="416"/>
        <v>12.712156057144274</v>
      </c>
      <c r="G910" s="306">
        <f t="shared" ca="1" si="417"/>
        <v>59.078400910172753</v>
      </c>
      <c r="H910" s="307">
        <f t="shared" ca="1" si="418"/>
        <v>71.47549196297156</v>
      </c>
      <c r="I910" s="304">
        <f t="shared" ca="1" si="419"/>
        <v>92.730811521586034</v>
      </c>
      <c r="J910" s="306">
        <f t="shared" ca="1" si="420"/>
        <v>1777.0174185274759</v>
      </c>
      <c r="K910" s="307">
        <f t="shared" ca="1" si="421"/>
        <v>4200.367115728699</v>
      </c>
      <c r="L910" s="304">
        <f t="shared" ca="1" si="406"/>
        <v>4560.7976070688646</v>
      </c>
      <c r="M910" s="306">
        <f t="shared" ca="1" si="422"/>
        <v>0.88007193942994411</v>
      </c>
      <c r="N910" s="304">
        <f t="shared" ca="1" si="423"/>
        <v>50.424407797228817</v>
      </c>
      <c r="P910" s="310">
        <f t="shared" ca="1" si="424"/>
        <v>23</v>
      </c>
      <c r="Q910" s="304">
        <f t="shared" ca="1" si="425"/>
        <v>0</v>
      </c>
      <c r="R910" s="306">
        <f t="shared" ca="1" si="426"/>
        <v>0</v>
      </c>
      <c r="S910" s="307">
        <f t="shared" ca="1" si="427"/>
        <v>11.416040186296438</v>
      </c>
      <c r="T910" s="304">
        <f t="shared" ca="1" si="407"/>
        <v>111.99135422756807</v>
      </c>
      <c r="U910" s="311">
        <f t="shared" ca="1" si="408"/>
        <v>0</v>
      </c>
      <c r="V910" s="306">
        <f t="shared" ca="1" si="409"/>
        <v>0.7997626726353716</v>
      </c>
      <c r="W910" s="304">
        <f t="shared" ca="1" si="410"/>
        <v>38.934623239966129</v>
      </c>
      <c r="Y910" s="314" t="str">
        <f t="shared" ca="1" si="428"/>
        <v/>
      </c>
      <c r="Z910" s="315" t="str">
        <f t="shared" ca="1" si="429"/>
        <v/>
      </c>
      <c r="AA910" s="316" t="str">
        <f t="shared" ca="1" si="430"/>
        <v/>
      </c>
      <c r="AC910" s="310" t="e">
        <f t="shared" ca="1" si="431"/>
        <v>#N/A</v>
      </c>
      <c r="AD910" s="323" t="e">
        <f t="shared" ca="1" si="432"/>
        <v>#N/A</v>
      </c>
      <c r="AE910" s="324">
        <f t="shared" ca="1" si="411"/>
        <v>4200.367115728699</v>
      </c>
      <c r="AG910" s="306">
        <f t="shared" ca="1" si="433"/>
        <v>-11.098134310670748</v>
      </c>
      <c r="AH910" s="304">
        <f t="shared" ca="1" si="434"/>
        <v>-3.4951234888648592</v>
      </c>
    </row>
    <row r="911" spans="1:34" x14ac:dyDescent="0.2">
      <c r="A911" s="347">
        <f t="shared" ca="1" si="412"/>
        <v>0.1</v>
      </c>
      <c r="B911" s="304">
        <f t="shared" ca="1" si="413"/>
        <v>18.699999999999882</v>
      </c>
      <c r="D911" s="306">
        <f t="shared" ca="1" si="414"/>
        <v>-2.1728270475673286</v>
      </c>
      <c r="E911" s="307">
        <f t="shared" ca="1" si="415"/>
        <v>-12.438775995671609</v>
      </c>
      <c r="F911" s="304">
        <f t="shared" ca="1" si="416"/>
        <v>12.627126579279087</v>
      </c>
      <c r="G911" s="306">
        <f t="shared" ca="1" si="417"/>
        <v>58.86111820541602</v>
      </c>
      <c r="H911" s="307">
        <f t="shared" ca="1" si="418"/>
        <v>70.231614363404404</v>
      </c>
      <c r="I911" s="304">
        <f t="shared" ca="1" si="419"/>
        <v>91.635751169955</v>
      </c>
      <c r="J911" s="306">
        <f t="shared" ca="1" si="420"/>
        <v>1782.9143944832554</v>
      </c>
      <c r="K911" s="307">
        <f t="shared" ca="1" si="421"/>
        <v>4207.4524710450178</v>
      </c>
      <c r="L911" s="304">
        <f t="shared" ca="1" si="406"/>
        <v>4569.6214322587402</v>
      </c>
      <c r="M911" s="306">
        <f t="shared" ca="1" si="422"/>
        <v>0.87325150400549456</v>
      </c>
      <c r="N911" s="304">
        <f t="shared" ca="1" si="423"/>
        <v>50.033625632966341</v>
      </c>
      <c r="P911" s="310">
        <f t="shared" ca="1" si="424"/>
        <v>23</v>
      </c>
      <c r="Q911" s="304">
        <f t="shared" ca="1" si="425"/>
        <v>0</v>
      </c>
      <c r="R911" s="306">
        <f t="shared" ca="1" si="426"/>
        <v>0</v>
      </c>
      <c r="S911" s="307">
        <f t="shared" ca="1" si="427"/>
        <v>11.416040186296438</v>
      </c>
      <c r="T911" s="304">
        <f t="shared" ca="1" si="407"/>
        <v>111.99135422756807</v>
      </c>
      <c r="U911" s="311">
        <f t="shared" ca="1" si="408"/>
        <v>0</v>
      </c>
      <c r="V911" s="306">
        <f t="shared" ca="1" si="409"/>
        <v>0.79917003848751988</v>
      </c>
      <c r="W911" s="304">
        <f t="shared" ca="1" si="410"/>
        <v>37.992319352769641</v>
      </c>
      <c r="Y911" s="314" t="str">
        <f t="shared" ca="1" si="428"/>
        <v/>
      </c>
      <c r="Z911" s="315" t="str">
        <f t="shared" ca="1" si="429"/>
        <v/>
      </c>
      <c r="AA911" s="316" t="str">
        <f t="shared" ca="1" si="430"/>
        <v/>
      </c>
      <c r="AC911" s="310" t="e">
        <f t="shared" ca="1" si="431"/>
        <v>#N/A</v>
      </c>
      <c r="AD911" s="323" t="e">
        <f t="shared" ca="1" si="432"/>
        <v>#N/A</v>
      </c>
      <c r="AE911" s="324">
        <f t="shared" ca="1" si="411"/>
        <v>4207.4524710450178</v>
      </c>
      <c r="AG911" s="306">
        <f t="shared" ca="1" si="433"/>
        <v>-10.971917148548185</v>
      </c>
      <c r="AH911" s="304">
        <f t="shared" ca="1" si="434"/>
        <v>-3.4105191121088017</v>
      </c>
    </row>
    <row r="912" spans="1:34" x14ac:dyDescent="0.2">
      <c r="A912" s="347">
        <f t="shared" ca="1" si="412"/>
        <v>0.1</v>
      </c>
      <c r="B912" s="304">
        <f t="shared" ca="1" si="413"/>
        <v>18.799999999999883</v>
      </c>
      <c r="D912" s="306">
        <f t="shared" ca="1" si="414"/>
        <v>-2.1376858487844732</v>
      </c>
      <c r="E912" s="307">
        <f t="shared" ca="1" si="415"/>
        <v>-12.360633299863537</v>
      </c>
      <c r="F912" s="304">
        <f t="shared" ca="1" si="416"/>
        <v>12.54412039011858</v>
      </c>
      <c r="G912" s="306">
        <f t="shared" ca="1" si="417"/>
        <v>58.647349620537575</v>
      </c>
      <c r="H912" s="307">
        <f t="shared" ca="1" si="418"/>
        <v>68.995551033418053</v>
      </c>
      <c r="I912" s="304">
        <f t="shared" ca="1" si="419"/>
        <v>90.553286411474673</v>
      </c>
      <c r="J912" s="306">
        <f t="shared" ca="1" si="420"/>
        <v>1788.7898178745531</v>
      </c>
      <c r="K912" s="307">
        <f t="shared" ca="1" si="421"/>
        <v>4214.413829314859</v>
      </c>
      <c r="L912" s="304">
        <f t="shared" ca="1" si="406"/>
        <v>4578.324249903234</v>
      </c>
      <c r="M912" s="306">
        <f t="shared" ca="1" si="422"/>
        <v>0.86629274398198286</v>
      </c>
      <c r="N912" s="304">
        <f t="shared" ca="1" si="423"/>
        <v>49.634918052974761</v>
      </c>
      <c r="P912" s="310">
        <f t="shared" ca="1" si="424"/>
        <v>23</v>
      </c>
      <c r="Q912" s="304">
        <f t="shared" ca="1" si="425"/>
        <v>0</v>
      </c>
      <c r="R912" s="306">
        <f t="shared" ca="1" si="426"/>
        <v>0</v>
      </c>
      <c r="S912" s="307">
        <f t="shared" ca="1" si="427"/>
        <v>11.416040186296438</v>
      </c>
      <c r="T912" s="304">
        <f t="shared" ca="1" si="407"/>
        <v>111.99135422756807</v>
      </c>
      <c r="U912" s="311">
        <f t="shared" ca="1" si="408"/>
        <v>0</v>
      </c>
      <c r="V912" s="306">
        <f t="shared" ca="1" si="409"/>
        <v>0.7985881134846553</v>
      </c>
      <c r="W912" s="304">
        <f t="shared" ca="1" si="410"/>
        <v>37.073022949355433</v>
      </c>
      <c r="Y912" s="314" t="str">
        <f t="shared" ca="1" si="428"/>
        <v/>
      </c>
      <c r="Z912" s="315" t="str">
        <f t="shared" ca="1" si="429"/>
        <v/>
      </c>
      <c r="AA912" s="316" t="str">
        <f t="shared" ca="1" si="430"/>
        <v/>
      </c>
      <c r="AC912" s="310" t="e">
        <f t="shared" ca="1" si="431"/>
        <v>#N/A</v>
      </c>
      <c r="AD912" s="323" t="e">
        <f t="shared" ca="1" si="432"/>
        <v>#N/A</v>
      </c>
      <c r="AE912" s="324">
        <f t="shared" ca="1" si="411"/>
        <v>4214.413829314859</v>
      </c>
      <c r="AG912" s="306">
        <f t="shared" ca="1" si="433"/>
        <v>-10.846572412457114</v>
      </c>
      <c r="AH912" s="304">
        <f t="shared" ca="1" si="434"/>
        <v>-3.3279770159161473</v>
      </c>
    </row>
    <row r="913" spans="1:34" x14ac:dyDescent="0.2">
      <c r="A913" s="347">
        <f t="shared" ca="1" si="412"/>
        <v>0.1</v>
      </c>
      <c r="B913" s="304">
        <f t="shared" ca="1" si="413"/>
        <v>18.899999999999885</v>
      </c>
      <c r="D913" s="306">
        <f t="shared" ca="1" si="414"/>
        <v>-2.1032295982861711</v>
      </c>
      <c r="E913" s="307">
        <f t="shared" ca="1" si="415"/>
        <v>-12.284340034502291</v>
      </c>
      <c r="F913" s="304">
        <f t="shared" ca="1" si="416"/>
        <v>12.463088895870989</v>
      </c>
      <c r="G913" s="306">
        <f t="shared" ca="1" si="417"/>
        <v>58.437026660708959</v>
      </c>
      <c r="H913" s="307">
        <f t="shared" ca="1" si="418"/>
        <v>67.767117029967821</v>
      </c>
      <c r="I913" s="304">
        <f t="shared" ca="1" si="419"/>
        <v>89.483340547264802</v>
      </c>
      <c r="J913" s="306">
        <f t="shared" ca="1" si="420"/>
        <v>1794.6440366886154</v>
      </c>
      <c r="K913" s="307">
        <f t="shared" ca="1" si="421"/>
        <v>4221.2519627180282</v>
      </c>
      <c r="L913" s="304">
        <f t="shared" ca="1" si="406"/>
        <v>4586.9069481702818</v>
      </c>
      <c r="M913" s="306">
        <f t="shared" ca="1" si="422"/>
        <v>0.85919247761501172</v>
      </c>
      <c r="N913" s="304">
        <f t="shared" ca="1" si="423"/>
        <v>49.228102756728632</v>
      </c>
      <c r="P913" s="310">
        <f t="shared" ca="1" si="424"/>
        <v>23</v>
      </c>
      <c r="Q913" s="304">
        <f t="shared" ca="1" si="425"/>
        <v>0</v>
      </c>
      <c r="R913" s="306">
        <f t="shared" ca="1" si="426"/>
        <v>0</v>
      </c>
      <c r="S913" s="307">
        <f t="shared" ca="1" si="427"/>
        <v>11.416040186296438</v>
      </c>
      <c r="T913" s="304">
        <f t="shared" ca="1" si="407"/>
        <v>111.99135422756807</v>
      </c>
      <c r="U913" s="311">
        <f t="shared" ca="1" si="408"/>
        <v>0</v>
      </c>
      <c r="V913" s="306">
        <f t="shared" ca="1" si="409"/>
        <v>0.7980168149615906</v>
      </c>
      <c r="W913" s="304">
        <f t="shared" ca="1" si="410"/>
        <v>36.176216555962441</v>
      </c>
      <c r="Y913" s="314" t="str">
        <f t="shared" ca="1" si="428"/>
        <v/>
      </c>
      <c r="Z913" s="315" t="str">
        <f t="shared" ca="1" si="429"/>
        <v/>
      </c>
      <c r="AA913" s="316" t="str">
        <f t="shared" ca="1" si="430"/>
        <v/>
      </c>
      <c r="AC913" s="310" t="e">
        <f t="shared" ca="1" si="431"/>
        <v>#N/A</v>
      </c>
      <c r="AD913" s="323" t="e">
        <f t="shared" ca="1" si="432"/>
        <v>#N/A</v>
      </c>
      <c r="AE913" s="324">
        <f t="shared" ca="1" si="411"/>
        <v>4221.2519627180282</v>
      </c>
      <c r="AG913" s="306">
        <f t="shared" ca="1" si="433"/>
        <v>-10.722014515668462</v>
      </c>
      <c r="AH913" s="304">
        <f t="shared" ca="1" si="434"/>
        <v>-3.2474502843689241</v>
      </c>
    </row>
    <row r="914" spans="1:34" x14ac:dyDescent="0.2">
      <c r="A914" s="347">
        <f t="shared" ca="1" si="412"/>
        <v>0.1</v>
      </c>
      <c r="B914" s="304">
        <f t="shared" ca="1" si="413"/>
        <v>18.999999999999886</v>
      </c>
      <c r="D914" s="306">
        <f t="shared" ca="1" si="414"/>
        <v>-2.0694435187796856</v>
      </c>
      <c r="E914" s="307">
        <f t="shared" ca="1" si="415"/>
        <v>-12.209852099565225</v>
      </c>
      <c r="F914" s="304">
        <f t="shared" ca="1" si="416"/>
        <v>12.383985011726903</v>
      </c>
      <c r="G914" s="306">
        <f t="shared" ca="1" si="417"/>
        <v>58.230082308830987</v>
      </c>
      <c r="H914" s="307">
        <f t="shared" ca="1" si="418"/>
        <v>66.546131820011297</v>
      </c>
      <c r="I914" s="304">
        <f t="shared" ca="1" si="419"/>
        <v>88.425845463300774</v>
      </c>
      <c r="J914" s="306">
        <f t="shared" ca="1" si="420"/>
        <v>1800.4773921370925</v>
      </c>
      <c r="K914" s="307">
        <f t="shared" ca="1" si="421"/>
        <v>4227.9676251605269</v>
      </c>
      <c r="L914" s="304">
        <f t="shared" ca="1" si="406"/>
        <v>4595.3703962795353</v>
      </c>
      <c r="M914" s="306">
        <f t="shared" ca="1" si="422"/>
        <v>0.85194745896593327</v>
      </c>
      <c r="N914" s="304">
        <f t="shared" ca="1" si="423"/>
        <v>48.812993765642865</v>
      </c>
      <c r="P914" s="310">
        <f t="shared" ca="1" si="424"/>
        <v>23</v>
      </c>
      <c r="Q914" s="304">
        <f t="shared" ca="1" si="425"/>
        <v>0</v>
      </c>
      <c r="R914" s="306">
        <f t="shared" ca="1" si="426"/>
        <v>0</v>
      </c>
      <c r="S914" s="307">
        <f t="shared" ca="1" si="427"/>
        <v>11.416040186296438</v>
      </c>
      <c r="T914" s="304">
        <f t="shared" ca="1" si="407"/>
        <v>111.99135422756807</v>
      </c>
      <c r="U914" s="311">
        <f t="shared" ca="1" si="408"/>
        <v>0</v>
      </c>
      <c r="V914" s="306">
        <f t="shared" ca="1" si="409"/>
        <v>0.79745606227052823</v>
      </c>
      <c r="W914" s="304">
        <f t="shared" ca="1" si="410"/>
        <v>35.301400136395976</v>
      </c>
      <c r="Y914" s="314" t="str">
        <f t="shared" ca="1" si="428"/>
        <v/>
      </c>
      <c r="Z914" s="315" t="str">
        <f t="shared" ca="1" si="429"/>
        <v/>
      </c>
      <c r="AA914" s="316" t="str">
        <f t="shared" ca="1" si="430"/>
        <v/>
      </c>
      <c r="AC914" s="310">
        <f t="shared" ca="1" si="431"/>
        <v>18.999999999999886</v>
      </c>
      <c r="AD914" s="323">
        <f t="shared" ca="1" si="432"/>
        <v>1800.4773921370925</v>
      </c>
      <c r="AE914" s="324">
        <f t="shared" ca="1" si="411"/>
        <v>4227.9676251605269</v>
      </c>
      <c r="AG914" s="306">
        <f t="shared" ca="1" si="433"/>
        <v>-10.598158231795949</v>
      </c>
      <c r="AH914" s="304">
        <f t="shared" ca="1" si="434"/>
        <v>-3.1688935888109055</v>
      </c>
    </row>
    <row r="915" spans="1:34" x14ac:dyDescent="0.2">
      <c r="A915" s="347">
        <f t="shared" ca="1" si="412"/>
        <v>0.1</v>
      </c>
      <c r="B915" s="304">
        <f t="shared" ca="1" si="413"/>
        <v>19.099999999999888</v>
      </c>
      <c r="D915" s="306">
        <f t="shared" ca="1" si="414"/>
        <v>-2.0363134276337278</v>
      </c>
      <c r="E915" s="307">
        <f t="shared" ca="1" si="415"/>
        <v>-12.137126742900419</v>
      </c>
      <c r="F915" s="304">
        <f t="shared" ca="1" si="416"/>
        <v>12.306763097938871</v>
      </c>
      <c r="G915" s="306">
        <f t="shared" ca="1" si="417"/>
        <v>58.026450966067614</v>
      </c>
      <c r="H915" s="307">
        <f t="shared" ca="1" si="418"/>
        <v>65.332419145721261</v>
      </c>
      <c r="I915" s="304">
        <f t="shared" ca="1" si="419"/>
        <v>87.380741603339885</v>
      </c>
      <c r="J915" s="306">
        <f t="shared" ca="1" si="420"/>
        <v>1806.2902188008375</v>
      </c>
      <c r="K915" s="307">
        <f t="shared" ca="1" si="421"/>
        <v>4234.5615527088139</v>
      </c>
      <c r="L915" s="304">
        <f t="shared" ca="1" si="406"/>
        <v>4603.7154449656482</v>
      </c>
      <c r="M915" s="306">
        <f t="shared" ca="1" si="422"/>
        <v>0.84455437871467764</v>
      </c>
      <c r="N915" s="304">
        <f t="shared" ca="1" si="423"/>
        <v>48.389401469644397</v>
      </c>
      <c r="P915" s="310">
        <f t="shared" ca="1" si="424"/>
        <v>23</v>
      </c>
      <c r="Q915" s="304">
        <f t="shared" ca="1" si="425"/>
        <v>0</v>
      </c>
      <c r="R915" s="306">
        <f t="shared" ca="1" si="426"/>
        <v>0</v>
      </c>
      <c r="S915" s="307">
        <f t="shared" ca="1" si="427"/>
        <v>11.416040186296438</v>
      </c>
      <c r="T915" s="304">
        <f t="shared" ca="1" si="407"/>
        <v>111.99135422756807</v>
      </c>
      <c r="U915" s="311">
        <f t="shared" ca="1" si="408"/>
        <v>0</v>
      </c>
      <c r="V915" s="306">
        <f t="shared" ca="1" si="409"/>
        <v>0.79690577673244656</v>
      </c>
      <c r="W915" s="304">
        <f t="shared" ca="1" si="410"/>
        <v>34.448090439856237</v>
      </c>
      <c r="Y915" s="314" t="str">
        <f t="shared" ca="1" si="428"/>
        <v/>
      </c>
      <c r="Z915" s="315" t="str">
        <f t="shared" ca="1" si="429"/>
        <v/>
      </c>
      <c r="AA915" s="316" t="str">
        <f t="shared" ca="1" si="430"/>
        <v/>
      </c>
      <c r="AC915" s="310" t="e">
        <f t="shared" ca="1" si="431"/>
        <v>#N/A</v>
      </c>
      <c r="AD915" s="323" t="e">
        <f t="shared" ca="1" si="432"/>
        <v>#N/A</v>
      </c>
      <c r="AE915" s="324">
        <f t="shared" ca="1" si="411"/>
        <v>4234.5615527088139</v>
      </c>
      <c r="AG915" s="306">
        <f t="shared" ca="1" si="433"/>
        <v>-10.474918614505604</v>
      </c>
      <c r="AH915" s="304">
        <f t="shared" ca="1" si="434"/>
        <v>-3.0922631280477617</v>
      </c>
    </row>
    <row r="916" spans="1:34" x14ac:dyDescent="0.2">
      <c r="A916" s="347">
        <f t="shared" ca="1" si="412"/>
        <v>0.1</v>
      </c>
      <c r="B916" s="304">
        <f t="shared" ca="1" si="413"/>
        <v>19.199999999999889</v>
      </c>
      <c r="D916" s="306">
        <f t="shared" ca="1" si="414"/>
        <v>-2.0038257188751887</v>
      </c>
      <c r="E916" s="307">
        <f t="shared" ca="1" si="415"/>
        <v>-12.066122502427138</v>
      </c>
      <c r="F916" s="304">
        <f t="shared" ca="1" si="416"/>
        <v>12.23137889835828</v>
      </c>
      <c r="G916" s="306">
        <f t="shared" ca="1" si="417"/>
        <v>57.826068394180098</v>
      </c>
      <c r="H916" s="307">
        <f t="shared" ca="1" si="418"/>
        <v>64.125806895478547</v>
      </c>
      <c r="I916" s="304">
        <f t="shared" ca="1" si="419"/>
        <v>86.347977949252524</v>
      </c>
      <c r="J916" s="306">
        <f t="shared" ca="1" si="420"/>
        <v>1812.0828447688498</v>
      </c>
      <c r="K916" s="307">
        <f t="shared" ca="1" si="421"/>
        <v>4241.0344640108742</v>
      </c>
      <c r="L916" s="304">
        <f t="shared" ca="1" si="406"/>
        <v>4611.9429269271723</v>
      </c>
      <c r="M916" s="306">
        <f t="shared" ca="1" si="422"/>
        <v>0.83700986524806431</v>
      </c>
      <c r="N916" s="304">
        <f t="shared" ca="1" si="423"/>
        <v>47.957132689527839</v>
      </c>
      <c r="P916" s="310">
        <f t="shared" ca="1" si="424"/>
        <v>23</v>
      </c>
      <c r="Q916" s="304">
        <f t="shared" ca="1" si="425"/>
        <v>0</v>
      </c>
      <c r="R916" s="306">
        <f t="shared" ca="1" si="426"/>
        <v>0</v>
      </c>
      <c r="S916" s="307">
        <f t="shared" ca="1" si="427"/>
        <v>11.416040186296438</v>
      </c>
      <c r="T916" s="304">
        <f t="shared" ca="1" si="407"/>
        <v>111.99135422756807</v>
      </c>
      <c r="U916" s="311">
        <f t="shared" ca="1" si="408"/>
        <v>0</v>
      </c>
      <c r="V916" s="306">
        <f t="shared" ca="1" si="409"/>
        <v>0.79636588159004484</v>
      </c>
      <c r="W916" s="304">
        <f t="shared" ca="1" si="410"/>
        <v>33.615820377702747</v>
      </c>
      <c r="Y916" s="314" t="str">
        <f t="shared" ca="1" si="428"/>
        <v/>
      </c>
      <c r="Z916" s="315" t="str">
        <f t="shared" ca="1" si="429"/>
        <v/>
      </c>
      <c r="AA916" s="316" t="str">
        <f t="shared" ca="1" si="430"/>
        <v/>
      </c>
      <c r="AC916" s="310" t="e">
        <f t="shared" ca="1" si="431"/>
        <v>#N/A</v>
      </c>
      <c r="AD916" s="323" t="e">
        <f t="shared" ca="1" si="432"/>
        <v>#N/A</v>
      </c>
      <c r="AE916" s="324">
        <f t="shared" ca="1" si="411"/>
        <v>4241.0344640108742</v>
      </c>
      <c r="AG916" s="306">
        <f t="shared" ca="1" si="433"/>
        <v>-10.352210922165828</v>
      </c>
      <c r="AH916" s="304">
        <f t="shared" ca="1" si="434"/>
        <v>-3.0175165712194114</v>
      </c>
    </row>
    <row r="917" spans="1:34" x14ac:dyDescent="0.2">
      <c r="A917" s="347">
        <f t="shared" ca="1" si="412"/>
        <v>0.1</v>
      </c>
      <c r="B917" s="304">
        <f t="shared" ca="1" si="413"/>
        <v>19.299999999999891</v>
      </c>
      <c r="D917" s="306">
        <f t="shared" ca="1" si="414"/>
        <v>-1.9719673461017864</v>
      </c>
      <c r="E917" s="307">
        <f t="shared" ca="1" si="415"/>
        <v>-11.996799150485552</v>
      </c>
      <c r="F917" s="304">
        <f t="shared" ca="1" si="416"/>
        <v>12.157789481282467</v>
      </c>
      <c r="G917" s="306">
        <f t="shared" ca="1" si="417"/>
        <v>57.628871659569917</v>
      </c>
      <c r="H917" s="307">
        <f t="shared" ca="1" si="418"/>
        <v>62.926126980429991</v>
      </c>
      <c r="I917" s="304">
        <f t="shared" ca="1" si="419"/>
        <v>85.327512008216786</v>
      </c>
      <c r="J917" s="306">
        <f t="shared" ca="1" si="420"/>
        <v>1817.8555917715373</v>
      </c>
      <c r="K917" s="307">
        <f t="shared" ca="1" si="421"/>
        <v>4247.3870607046692</v>
      </c>
      <c r="L917" s="304">
        <f t="shared" ca="1" si="406"/>
        <v>4620.0536572616229</v>
      </c>
      <c r="M917" s="306">
        <f t="shared" ca="1" si="422"/>
        <v>0.82931048605209512</v>
      </c>
      <c r="N917" s="304">
        <f t="shared" ca="1" si="423"/>
        <v>47.515990756727973</v>
      </c>
      <c r="P917" s="310">
        <f t="shared" ca="1" si="424"/>
        <v>23</v>
      </c>
      <c r="Q917" s="304">
        <f t="shared" ca="1" si="425"/>
        <v>0</v>
      </c>
      <c r="R917" s="306">
        <f t="shared" ca="1" si="426"/>
        <v>0</v>
      </c>
      <c r="S917" s="307">
        <f t="shared" ca="1" si="427"/>
        <v>11.416040186296438</v>
      </c>
      <c r="T917" s="304">
        <f t="shared" ca="1" si="407"/>
        <v>111.99135422756807</v>
      </c>
      <c r="U917" s="311">
        <f t="shared" ca="1" si="408"/>
        <v>0</v>
      </c>
      <c r="V917" s="306">
        <f t="shared" ca="1" si="409"/>
        <v>0.79583630196217847</v>
      </c>
      <c r="W917" s="304">
        <f t="shared" ca="1" si="410"/>
        <v>32.804138427672861</v>
      </c>
      <c r="Y917" s="314" t="str">
        <f t="shared" ca="1" si="428"/>
        <v/>
      </c>
      <c r="Z917" s="315" t="str">
        <f t="shared" ca="1" si="429"/>
        <v/>
      </c>
      <c r="AA917" s="316" t="str">
        <f t="shared" ca="1" si="430"/>
        <v/>
      </c>
      <c r="AC917" s="310" t="e">
        <f t="shared" ca="1" si="431"/>
        <v>#N/A</v>
      </c>
      <c r="AD917" s="323" t="e">
        <f t="shared" ca="1" si="432"/>
        <v>#N/A</v>
      </c>
      <c r="AE917" s="324">
        <f t="shared" ca="1" si="411"/>
        <v>4247.3870607046692</v>
      </c>
      <c r="AG917" s="306">
        <f t="shared" ca="1" si="433"/>
        <v>-10.229950547698913</v>
      </c>
      <c r="AH917" s="304">
        <f t="shared" ca="1" si="434"/>
        <v>-2.9446130032070519</v>
      </c>
    </row>
    <row r="918" spans="1:34" x14ac:dyDescent="0.2">
      <c r="A918" s="347">
        <f t="shared" ca="1" si="412"/>
        <v>0.1</v>
      </c>
      <c r="B918" s="304">
        <f t="shared" ca="1" si="413"/>
        <v>19.399999999999892</v>
      </c>
      <c r="D918" s="306">
        <f t="shared" ca="1" si="414"/>
        <v>-1.9407258062594355</v>
      </c>
      <c r="E918" s="307">
        <f t="shared" ca="1" si="415"/>
        <v>-11.929117640204549</v>
      </c>
      <c r="F918" s="304">
        <f t="shared" ca="1" si="416"/>
        <v>12.085953182472645</v>
      </c>
      <c r="G918" s="306">
        <f t="shared" ca="1" si="417"/>
        <v>57.434799078943975</v>
      </c>
      <c r="H918" s="307">
        <f t="shared" ca="1" si="418"/>
        <v>61.733215216409533</v>
      </c>
      <c r="I918" s="304">
        <f t="shared" ca="1" si="419"/>
        <v>84.319309806201574</v>
      </c>
      <c r="J918" s="306">
        <f t="shared" ca="1" si="420"/>
        <v>1823.608775308463</v>
      </c>
      <c r="K918" s="307">
        <f t="shared" ca="1" si="421"/>
        <v>4253.6200278145116</v>
      </c>
      <c r="L918" s="304">
        <f t="shared" ca="1" si="406"/>
        <v>4628.0484338873075</v>
      </c>
      <c r="M918" s="306">
        <f t="shared" ca="1" si="422"/>
        <v>0.82145274943878988</v>
      </c>
      <c r="N918" s="304">
        <f t="shared" ca="1" si="423"/>
        <v>47.065775612260161</v>
      </c>
      <c r="P918" s="310">
        <f t="shared" ca="1" si="424"/>
        <v>23</v>
      </c>
      <c r="Q918" s="304">
        <f t="shared" ca="1" si="425"/>
        <v>0</v>
      </c>
      <c r="R918" s="306">
        <f t="shared" ca="1" si="426"/>
        <v>0</v>
      </c>
      <c r="S918" s="307">
        <f t="shared" ca="1" si="427"/>
        <v>11.416040186296438</v>
      </c>
      <c r="T918" s="304">
        <f t="shared" ca="1" si="407"/>
        <v>111.99135422756807</v>
      </c>
      <c r="U918" s="311">
        <f t="shared" ca="1" si="408"/>
        <v>0</v>
      </c>
      <c r="V918" s="306">
        <f t="shared" ca="1" si="409"/>
        <v>0.79531696479972358</v>
      </c>
      <c r="W918" s="304">
        <f t="shared" ca="1" si="410"/>
        <v>32.012608064155117</v>
      </c>
      <c r="Y918" s="314" t="str">
        <f t="shared" ca="1" si="428"/>
        <v/>
      </c>
      <c r="Z918" s="315" t="str">
        <f t="shared" ca="1" si="429"/>
        <v/>
      </c>
      <c r="AA918" s="316" t="str">
        <f t="shared" ca="1" si="430"/>
        <v/>
      </c>
      <c r="AC918" s="310" t="e">
        <f t="shared" ca="1" si="431"/>
        <v>#N/A</v>
      </c>
      <c r="AD918" s="323" t="e">
        <f t="shared" ca="1" si="432"/>
        <v>#N/A</v>
      </c>
      <c r="AE918" s="324">
        <f t="shared" ca="1" si="411"/>
        <v>4253.6200278145116</v>
      </c>
      <c r="AG918" s="306">
        <f t="shared" ca="1" si="433"/>
        <v>-10.108052953943899</v>
      </c>
      <c r="AH918" s="304">
        <f t="shared" ca="1" si="434"/>
        <v>-2.8735128724450552</v>
      </c>
    </row>
    <row r="919" spans="1:34" x14ac:dyDescent="0.2">
      <c r="A919" s="347">
        <f t="shared" ca="1" si="412"/>
        <v>0.1</v>
      </c>
      <c r="B919" s="304">
        <f t="shared" ca="1" si="413"/>
        <v>19.499999999999893</v>
      </c>
      <c r="D919" s="306">
        <f t="shared" ca="1" si="414"/>
        <v>-1.9100891242348284</v>
      </c>
      <c r="E919" s="307">
        <f t="shared" ca="1" si="415"/>
        <v>-11.863040053763168</v>
      </c>
      <c r="F919" s="304">
        <f t="shared" ca="1" si="416"/>
        <v>12.015829550210398</v>
      </c>
      <c r="G919" s="306">
        <f t="shared" ca="1" si="417"/>
        <v>57.24379016652049</v>
      </c>
      <c r="H919" s="307">
        <f t="shared" ca="1" si="418"/>
        <v>60.546911211033219</v>
      </c>
      <c r="I919" s="304">
        <f t="shared" ca="1" si="419"/>
        <v>83.323345887124376</v>
      </c>
      <c r="J919" s="306">
        <f t="shared" ca="1" si="420"/>
        <v>1829.3427047707362</v>
      </c>
      <c r="K919" s="307">
        <f t="shared" ca="1" si="421"/>
        <v>4259.734034135884</v>
      </c>
      <c r="L919" s="304">
        <f t="shared" ca="1" si="406"/>
        <v>4635.9280379524325</v>
      </c>
      <c r="M919" s="306">
        <f t="shared" ca="1" si="422"/>
        <v>0.81343310664024882</v>
      </c>
      <c r="N919" s="304">
        <f t="shared" ca="1" si="423"/>
        <v>46.606283926701273</v>
      </c>
      <c r="P919" s="310">
        <f t="shared" ca="1" si="424"/>
        <v>23</v>
      </c>
      <c r="Q919" s="304">
        <f t="shared" ca="1" si="425"/>
        <v>0</v>
      </c>
      <c r="R919" s="306">
        <f t="shared" ca="1" si="426"/>
        <v>0</v>
      </c>
      <c r="S919" s="307">
        <f t="shared" ca="1" si="427"/>
        <v>11.416040186296438</v>
      </c>
      <c r="T919" s="304">
        <f t="shared" ca="1" si="407"/>
        <v>111.99135422756807</v>
      </c>
      <c r="U919" s="311">
        <f t="shared" ca="1" si="408"/>
        <v>0</v>
      </c>
      <c r="V919" s="306">
        <f t="shared" ca="1" si="409"/>
        <v>0.79480779884281005</v>
      </c>
      <c r="W919" s="304">
        <f t="shared" ca="1" si="410"/>
        <v>31.240807213194909</v>
      </c>
      <c r="Y919" s="314" t="str">
        <f t="shared" ca="1" si="428"/>
        <v/>
      </c>
      <c r="Z919" s="315" t="str">
        <f t="shared" ca="1" si="429"/>
        <v/>
      </c>
      <c r="AA919" s="316" t="str">
        <f t="shared" ca="1" si="430"/>
        <v/>
      </c>
      <c r="AC919" s="310" t="e">
        <f t="shared" ca="1" si="431"/>
        <v>#N/A</v>
      </c>
      <c r="AD919" s="323" t="e">
        <f t="shared" ca="1" si="432"/>
        <v>#N/A</v>
      </c>
      <c r="AE919" s="324">
        <f t="shared" ca="1" si="411"/>
        <v>4259.734034135884</v>
      </c>
      <c r="AG919" s="306">
        <f t="shared" ca="1" si="433"/>
        <v>-9.9864336148920909</v>
      </c>
      <c r="AH919" s="304">
        <f t="shared" ca="1" si="434"/>
        <v>-2.8041779410151642</v>
      </c>
    </row>
    <row r="920" spans="1:34" x14ac:dyDescent="0.2">
      <c r="A920" s="347">
        <f t="shared" ca="1" si="412"/>
        <v>0.1</v>
      </c>
      <c r="B920" s="304">
        <f t="shared" ca="1" si="413"/>
        <v>19.599999999999895</v>
      </c>
      <c r="D920" s="306">
        <f t="shared" ca="1" si="414"/>
        <v>-1.8800458382151304</v>
      </c>
      <c r="E920" s="307">
        <f t="shared" ca="1" si="415"/>
        <v>-11.798529552427489</v>
      </c>
      <c r="F920" s="304">
        <f t="shared" ca="1" si="416"/>
        <v>11.947379292267188</v>
      </c>
      <c r="G920" s="306">
        <f t="shared" ca="1" si="417"/>
        <v>57.055785582698981</v>
      </c>
      <c r="H920" s="307">
        <f t="shared" ca="1" si="418"/>
        <v>59.367058255790468</v>
      </c>
      <c r="I920" s="304">
        <f t="shared" ca="1" si="419"/>
        <v>82.339603317026857</v>
      </c>
      <c r="J920" s="306">
        <f t="shared" ca="1" si="420"/>
        <v>1835.0576835581971</v>
      </c>
      <c r="K920" s="307">
        <f t="shared" ca="1" si="421"/>
        <v>4265.7297326092248</v>
      </c>
      <c r="L920" s="304">
        <f t="shared" ca="1" si="406"/>
        <v>4643.6932342320315</v>
      </c>
      <c r="M920" s="306">
        <f t="shared" ca="1" si="422"/>
        <v>0.805247954304804</v>
      </c>
      <c r="N920" s="304">
        <f t="shared" ca="1" si="423"/>
        <v>46.137309243208641</v>
      </c>
      <c r="P920" s="310">
        <f t="shared" ca="1" si="424"/>
        <v>23</v>
      </c>
      <c r="Q920" s="304">
        <f t="shared" ca="1" si="425"/>
        <v>0</v>
      </c>
      <c r="R920" s="306">
        <f t="shared" ca="1" si="426"/>
        <v>0</v>
      </c>
      <c r="S920" s="307">
        <f t="shared" ca="1" si="427"/>
        <v>11.416040186296438</v>
      </c>
      <c r="T920" s="304">
        <f t="shared" ca="1" si="407"/>
        <v>111.99135422756807</v>
      </c>
      <c r="U920" s="311">
        <f t="shared" ca="1" si="408"/>
        <v>0</v>
      </c>
      <c r="V920" s="306">
        <f t="shared" ca="1" si="409"/>
        <v>0.79430873457936479</v>
      </c>
      <c r="W920" s="304">
        <f t="shared" ca="1" si="410"/>
        <v>30.488327730983286</v>
      </c>
      <c r="Y920" s="314" t="str">
        <f t="shared" ca="1" si="428"/>
        <v/>
      </c>
      <c r="Z920" s="315" t="str">
        <f t="shared" ca="1" si="429"/>
        <v/>
      </c>
      <c r="AA920" s="316" t="str">
        <f t="shared" ca="1" si="430"/>
        <v/>
      </c>
      <c r="AC920" s="310" t="e">
        <f t="shared" ca="1" si="431"/>
        <v>#N/A</v>
      </c>
      <c r="AD920" s="323" t="e">
        <f t="shared" ca="1" si="432"/>
        <v>#N/A</v>
      </c>
      <c r="AE920" s="324">
        <f t="shared" ca="1" si="411"/>
        <v>4265.7297326092248</v>
      </c>
      <c r="AG920" s="306">
        <f t="shared" ca="1" si="433"/>
        <v>-9.8650079632102692</v>
      </c>
      <c r="AH920" s="304">
        <f t="shared" ca="1" si="434"/>
        <v>-2.7365712369071442</v>
      </c>
    </row>
    <row r="921" spans="1:34" x14ac:dyDescent="0.2">
      <c r="A921" s="347">
        <f t="shared" ca="1" si="412"/>
        <v>0.1</v>
      </c>
      <c r="B921" s="304">
        <f t="shared" ca="1" si="413"/>
        <v>19.699999999999896</v>
      </c>
      <c r="D921" s="306">
        <f t="shared" ca="1" si="414"/>
        <v>-1.8505849857679353</v>
      </c>
      <c r="E921" s="307">
        <f t="shared" ca="1" si="415"/>
        <v>-11.735550328250852</v>
      </c>
      <c r="F921" s="304">
        <f t="shared" ca="1" si="416"/>
        <v>11.880564224667884</v>
      </c>
      <c r="G921" s="306">
        <f t="shared" ca="1" si="417"/>
        <v>56.870727084122187</v>
      </c>
      <c r="H921" s="307">
        <f t="shared" ca="1" si="418"/>
        <v>58.193503222965383</v>
      </c>
      <c r="I921" s="304">
        <f t="shared" ca="1" si="419"/>
        <v>81.368073692560714</v>
      </c>
      <c r="J921" s="306">
        <f t="shared" ca="1" si="420"/>
        <v>1840.7540091915382</v>
      </c>
      <c r="K921" s="307">
        <f t="shared" ca="1" si="421"/>
        <v>4271.6077606831623</v>
      </c>
      <c r="L921" s="304">
        <f t="shared" ca="1" si="406"/>
        <v>4651.344771513217</v>
      </c>
      <c r="M921" s="306">
        <f t="shared" ca="1" si="422"/>
        <v>0.79689363743232755</v>
      </c>
      <c r="N921" s="304">
        <f t="shared" ca="1" si="423"/>
        <v>45.658642145700803</v>
      </c>
      <c r="P921" s="310">
        <f t="shared" ca="1" si="424"/>
        <v>23</v>
      </c>
      <c r="Q921" s="304">
        <f t="shared" ca="1" si="425"/>
        <v>0</v>
      </c>
      <c r="R921" s="306">
        <f t="shared" ca="1" si="426"/>
        <v>0</v>
      </c>
      <c r="S921" s="307">
        <f t="shared" ca="1" si="427"/>
        <v>11.416040186296438</v>
      </c>
      <c r="T921" s="304">
        <f t="shared" ca="1" si="407"/>
        <v>111.99135422756807</v>
      </c>
      <c r="U921" s="311">
        <f t="shared" ca="1" si="408"/>
        <v>0</v>
      </c>
      <c r="V921" s="306">
        <f t="shared" ca="1" si="409"/>
        <v>0.79381970420491099</v>
      </c>
      <c r="W921" s="304">
        <f t="shared" ca="1" si="410"/>
        <v>29.754774904646592</v>
      </c>
      <c r="Y921" s="314" t="str">
        <f t="shared" ca="1" si="428"/>
        <v/>
      </c>
      <c r="Z921" s="315" t="str">
        <f t="shared" ca="1" si="429"/>
        <v/>
      </c>
      <c r="AA921" s="316" t="str">
        <f t="shared" ca="1" si="430"/>
        <v/>
      </c>
      <c r="AC921" s="310" t="e">
        <f t="shared" ca="1" si="431"/>
        <v>#N/A</v>
      </c>
      <c r="AD921" s="323" t="e">
        <f t="shared" ca="1" si="432"/>
        <v>#N/A</v>
      </c>
      <c r="AE921" s="324">
        <f t="shared" ca="1" si="411"/>
        <v>4271.6077606831623</v>
      </c>
      <c r="AG921" s="306">
        <f t="shared" ca="1" si="433"/>
        <v>-9.7436913445229365</v>
      </c>
      <c r="AH921" s="304">
        <f t="shared" ca="1" si="434"/>
        <v>-2.6706570083364634</v>
      </c>
    </row>
    <row r="922" spans="1:34" x14ac:dyDescent="0.2">
      <c r="A922" s="347">
        <f t="shared" ca="1" si="412"/>
        <v>0.1</v>
      </c>
      <c r="B922" s="304">
        <f t="shared" ca="1" si="413"/>
        <v>19.799999999999898</v>
      </c>
      <c r="D922" s="306">
        <f t="shared" ca="1" si="414"/>
        <v>-1.8216960905955486</v>
      </c>
      <c r="E922" s="307">
        <f t="shared" ca="1" si="415"/>
        <v>-11.674067557330964</v>
      </c>
      <c r="F922" s="304">
        <f t="shared" ca="1" si="416"/>
        <v>11.81534722213522</v>
      </c>
      <c r="G922" s="306">
        <f t="shared" ca="1" si="417"/>
        <v>56.68855747506263</v>
      </c>
      <c r="H922" s="307">
        <f t="shared" ca="1" si="418"/>
        <v>57.026096467232286</v>
      </c>
      <c r="I922" s="304">
        <f t="shared" ca="1" si="419"/>
        <v>80.408757153021341</v>
      </c>
      <c r="J922" s="306">
        <f t="shared" ca="1" si="420"/>
        <v>1846.4319734194974</v>
      </c>
      <c r="K922" s="307">
        <f t="shared" ca="1" si="421"/>
        <v>4277.3687406676718</v>
      </c>
      <c r="L922" s="304">
        <f t="shared" ca="1" si="406"/>
        <v>4658.8833829692248</v>
      </c>
      <c r="M922" s="306">
        <f t="shared" ca="1" si="422"/>
        <v>0.78836645278799045</v>
      </c>
      <c r="N922" s="304">
        <f t="shared" ca="1" si="423"/>
        <v>45.170070454451526</v>
      </c>
      <c r="P922" s="310">
        <f t="shared" ca="1" si="424"/>
        <v>23</v>
      </c>
      <c r="Q922" s="304">
        <f t="shared" ca="1" si="425"/>
        <v>0</v>
      </c>
      <c r="R922" s="306">
        <f t="shared" ca="1" si="426"/>
        <v>0</v>
      </c>
      <c r="S922" s="307">
        <f t="shared" ca="1" si="427"/>
        <v>11.416040186296438</v>
      </c>
      <c r="T922" s="304">
        <f t="shared" ca="1" si="407"/>
        <v>111.99135422756807</v>
      </c>
      <c r="U922" s="311">
        <f t="shared" ca="1" si="408"/>
        <v>0</v>
      </c>
      <c r="V922" s="306">
        <f t="shared" ca="1" si="409"/>
        <v>0.79334064158356599</v>
      </c>
      <c r="W922" s="304">
        <f t="shared" ca="1" si="410"/>
        <v>29.039766974218814</v>
      </c>
      <c r="Y922" s="314" t="str">
        <f t="shared" ca="1" si="428"/>
        <v/>
      </c>
      <c r="Z922" s="315" t="str">
        <f t="shared" ca="1" si="429"/>
        <v/>
      </c>
      <c r="AA922" s="316" t="str">
        <f t="shared" ca="1" si="430"/>
        <v/>
      </c>
      <c r="AC922" s="310" t="e">
        <f t="shared" ca="1" si="431"/>
        <v>#N/A</v>
      </c>
      <c r="AD922" s="323" t="e">
        <f t="shared" ca="1" si="432"/>
        <v>#N/A</v>
      </c>
      <c r="AE922" s="324">
        <f t="shared" ca="1" si="411"/>
        <v>4277.3687406676718</v>
      </c>
      <c r="AG922" s="306">
        <f t="shared" ca="1" si="433"/>
        <v>-9.6223989789832096</v>
      </c>
      <c r="AH922" s="304">
        <f t="shared" ca="1" si="434"/>
        <v>-2.6064006800154367</v>
      </c>
    </row>
    <row r="923" spans="1:34" x14ac:dyDescent="0.2">
      <c r="A923" s="347">
        <f t="shared" ca="1" si="412"/>
        <v>0.1</v>
      </c>
      <c r="B923" s="304">
        <f t="shared" ca="1" si="413"/>
        <v>19.899999999999899</v>
      </c>
      <c r="D923" s="306">
        <f t="shared" ca="1" si="414"/>
        <v>-1.7933691499184397</v>
      </c>
      <c r="E923" s="307">
        <f t="shared" ca="1" si="415"/>
        <v>-11.614047354522921</v>
      </c>
      <c r="F923" s="304">
        <f t="shared" ca="1" si="416"/>
        <v>11.7516921701081</v>
      </c>
      <c r="G923" s="306">
        <f t="shared" ca="1" si="417"/>
        <v>56.509220560070787</v>
      </c>
      <c r="H923" s="307">
        <f t="shared" ca="1" si="418"/>
        <v>55.864691731779992</v>
      </c>
      <c r="I923" s="304">
        <f t="shared" ca="1" si="419"/>
        <v>79.461662395104312</v>
      </c>
      <c r="J923" s="306">
        <f t="shared" ca="1" si="420"/>
        <v>1852.091862321254</v>
      </c>
      <c r="K923" s="307">
        <f t="shared" ca="1" si="421"/>
        <v>4283.0132800776228</v>
      </c>
      <c r="L923" s="304">
        <f t="shared" ca="1" si="406"/>
        <v>4666.3097865227382</v>
      </c>
      <c r="M923" s="306">
        <f t="shared" ca="1" si="422"/>
        <v>0.77966265283597158</v>
      </c>
      <c r="N923" s="304">
        <f t="shared" ca="1" si="423"/>
        <v>44.671379451474678</v>
      </c>
      <c r="P923" s="310">
        <f t="shared" ca="1" si="424"/>
        <v>23</v>
      </c>
      <c r="Q923" s="304">
        <f t="shared" ca="1" si="425"/>
        <v>0</v>
      </c>
      <c r="R923" s="306">
        <f t="shared" ca="1" si="426"/>
        <v>0</v>
      </c>
      <c r="S923" s="307">
        <f t="shared" ca="1" si="427"/>
        <v>11.416040186296438</v>
      </c>
      <c r="T923" s="304">
        <f t="shared" ca="1" si="407"/>
        <v>111.99135422756807</v>
      </c>
      <c r="U923" s="311">
        <f t="shared" ca="1" si="408"/>
        <v>0</v>
      </c>
      <c r="V923" s="306">
        <f t="shared" ca="1" si="409"/>
        <v>0.79287148221019166</v>
      </c>
      <c r="W923" s="304">
        <f t="shared" ca="1" si="410"/>
        <v>28.34293467473772</v>
      </c>
      <c r="Y923" s="314" t="str">
        <f t="shared" ca="1" si="428"/>
        <v/>
      </c>
      <c r="Z923" s="315" t="str">
        <f t="shared" ca="1" si="429"/>
        <v/>
      </c>
      <c r="AA923" s="316" t="str">
        <f t="shared" ca="1" si="430"/>
        <v/>
      </c>
      <c r="AC923" s="310" t="e">
        <f t="shared" ca="1" si="431"/>
        <v>#N/A</v>
      </c>
      <c r="AD923" s="323" t="e">
        <f t="shared" ca="1" si="432"/>
        <v>#N/A</v>
      </c>
      <c r="AE923" s="324">
        <f t="shared" ca="1" si="411"/>
        <v>4283.0132800776228</v>
      </c>
      <c r="AG923" s="306">
        <f t="shared" ca="1" si="433"/>
        <v>-9.5010459307227055</v>
      </c>
      <c r="AH923" s="304">
        <f t="shared" ca="1" si="434"/>
        <v>-2.5437688112798962</v>
      </c>
    </row>
    <row r="924" spans="1:34" x14ac:dyDescent="0.2">
      <c r="A924" s="347">
        <f t="shared" ca="1" si="412"/>
        <v>0.1</v>
      </c>
      <c r="B924" s="304">
        <f t="shared" ca="1" si="413"/>
        <v>19.999999999999901</v>
      </c>
      <c r="D924" s="306">
        <f t="shared" ca="1" si="414"/>
        <v>-1.7655946224431853</v>
      </c>
      <c r="E924" s="307">
        <f t="shared" ca="1" si="415"/>
        <v>-11.555456729512418</v>
      </c>
      <c r="F924" s="304">
        <f t="shared" ca="1" si="416"/>
        <v>11.689563918232114</v>
      </c>
      <c r="G924" s="306">
        <f t="shared" ca="1" si="417"/>
        <v>56.332661097826467</v>
      </c>
      <c r="H924" s="307">
        <f t="shared" ca="1" si="418"/>
        <v>54.70914605882875</v>
      </c>
      <c r="I924" s="304">
        <f t="shared" ca="1" si="419"/>
        <v>78.526806689491892</v>
      </c>
      <c r="J924" s="306">
        <f t="shared" ca="1" si="420"/>
        <v>1857.7339564041488</v>
      </c>
      <c r="K924" s="307">
        <f t="shared" ca="1" si="421"/>
        <v>4288.5419719671536</v>
      </c>
      <c r="L924" s="304">
        <f t="shared" ca="1" si="406"/>
        <v>4673.6246851989445</v>
      </c>
      <c r="M924" s="306">
        <f t="shared" ca="1" si="422"/>
        <v>0.77077845023678115</v>
      </c>
      <c r="N924" s="304">
        <f t="shared" ca="1" si="423"/>
        <v>44.162352138201911</v>
      </c>
      <c r="P924" s="310">
        <f t="shared" ca="1" si="424"/>
        <v>23</v>
      </c>
      <c r="Q924" s="304">
        <f t="shared" ca="1" si="425"/>
        <v>0</v>
      </c>
      <c r="R924" s="306">
        <f t="shared" ca="1" si="426"/>
        <v>0</v>
      </c>
      <c r="S924" s="307">
        <f t="shared" ca="1" si="427"/>
        <v>11.416040186296438</v>
      </c>
      <c r="T924" s="304">
        <f t="shared" ca="1" si="407"/>
        <v>111.99135422756807</v>
      </c>
      <c r="U924" s="311">
        <f t="shared" ca="1" si="408"/>
        <v>0</v>
      </c>
      <c r="V924" s="306">
        <f t="shared" ca="1" si="409"/>
        <v>0.79241216317363983</v>
      </c>
      <c r="W924" s="304">
        <f t="shared" ca="1" si="410"/>
        <v>27.663920797461717</v>
      </c>
      <c r="Y924" s="314" t="str">
        <f t="shared" ca="1" si="428"/>
        <v/>
      </c>
      <c r="Z924" s="315" t="str">
        <f t="shared" ca="1" si="429"/>
        <v/>
      </c>
      <c r="AA924" s="316" t="str">
        <f t="shared" ca="1" si="430"/>
        <v/>
      </c>
      <c r="AC924" s="310">
        <f t="shared" ca="1" si="431"/>
        <v>19.999999999999901</v>
      </c>
      <c r="AD924" s="323">
        <f t="shared" ca="1" si="432"/>
        <v>1857.7339564041488</v>
      </c>
      <c r="AE924" s="324">
        <f t="shared" ca="1" si="411"/>
        <v>4288.5419719671536</v>
      </c>
      <c r="AG924" s="306">
        <f t="shared" ca="1" si="433"/>
        <v>-9.379547085833055</v>
      </c>
      <c r="AH924" s="304">
        <f t="shared" ca="1" si="434"/>
        <v>-2.4827290559786177</v>
      </c>
    </row>
    <row r="925" spans="1:34" x14ac:dyDescent="0.2">
      <c r="A925" s="347">
        <f t="shared" ca="1" si="412"/>
        <v>0.1</v>
      </c>
      <c r="B925" s="304">
        <f t="shared" ca="1" si="413"/>
        <v>20.099999999999902</v>
      </c>
      <c r="D925" s="306">
        <f t="shared" ca="1" si="414"/>
        <v>-1.7383634168705624</v>
      </c>
      <c r="E925" s="307">
        <f t="shared" ca="1" si="415"/>
        <v>-11.498263544158501</v>
      </c>
      <c r="F925" s="304">
        <f t="shared" ca="1" si="416"/>
        <v>11.628928235226079</v>
      </c>
      <c r="G925" s="306">
        <f t="shared" ca="1" si="417"/>
        <v>56.15882475613941</v>
      </c>
      <c r="H925" s="307">
        <f t="shared" ca="1" si="418"/>
        <v>53.5593197044129</v>
      </c>
      <c r="I925" s="304">
        <f t="shared" ca="1" si="419"/>
        <v>77.604215898302115</v>
      </c>
      <c r="J925" s="306">
        <f t="shared" ca="1" si="420"/>
        <v>1863.3585306968471</v>
      </c>
      <c r="K925" s="307">
        <f t="shared" ca="1" si="421"/>
        <v>4293.955395255316</v>
      </c>
      <c r="L925" s="304">
        <f t="shared" ca="1" si="406"/>
        <v>4680.8287674687426</v>
      </c>
      <c r="M925" s="306">
        <f t="shared" ca="1" si="422"/>
        <v>0.76171002295394674</v>
      </c>
      <c r="N925" s="304">
        <f t="shared" ca="1" si="423"/>
        <v>43.642769528074204</v>
      </c>
      <c r="P925" s="310">
        <f t="shared" ca="1" si="424"/>
        <v>23</v>
      </c>
      <c r="Q925" s="304">
        <f t="shared" ca="1" si="425"/>
        <v>0</v>
      </c>
      <c r="R925" s="306">
        <f t="shared" ca="1" si="426"/>
        <v>0</v>
      </c>
      <c r="S925" s="307">
        <f t="shared" ca="1" si="427"/>
        <v>11.416040186296438</v>
      </c>
      <c r="T925" s="304">
        <f t="shared" ca="1" si="407"/>
        <v>111.99135422756807</v>
      </c>
      <c r="U925" s="311">
        <f t="shared" ca="1" si="408"/>
        <v>0</v>
      </c>
      <c r="V925" s="306">
        <f t="shared" ca="1" si="409"/>
        <v>0.79196262312105214</v>
      </c>
      <c r="W925" s="304">
        <f t="shared" ca="1" si="410"/>
        <v>27.002379769257178</v>
      </c>
      <c r="Y925" s="314" t="str">
        <f t="shared" ca="1" si="428"/>
        <v/>
      </c>
      <c r="Z925" s="315" t="str">
        <f t="shared" ca="1" si="429"/>
        <v/>
      </c>
      <c r="AA925" s="316" t="str">
        <f t="shared" ca="1" si="430"/>
        <v/>
      </c>
      <c r="AC925" s="310" t="e">
        <f t="shared" ca="1" si="431"/>
        <v>#N/A</v>
      </c>
      <c r="AD925" s="323" t="e">
        <f t="shared" ca="1" si="432"/>
        <v>#N/A</v>
      </c>
      <c r="AE925" s="324">
        <f t="shared" ca="1" si="411"/>
        <v>4293.955395255316</v>
      </c>
      <c r="AG925" s="306">
        <f t="shared" ca="1" si="433"/>
        <v>-9.2578171395957778</v>
      </c>
      <c r="AH925" s="304">
        <f t="shared" ca="1" si="434"/>
        <v>-2.4232501240376565</v>
      </c>
    </row>
    <row r="926" spans="1:34" x14ac:dyDescent="0.2">
      <c r="A926" s="347">
        <f t="shared" ca="1" si="412"/>
        <v>0.1</v>
      </c>
      <c r="B926" s="304">
        <f t="shared" ca="1" si="413"/>
        <v>20.199999999999903</v>
      </c>
      <c r="D926" s="306">
        <f t="shared" ca="1" si="414"/>
        <v>-1.7116668808995192</v>
      </c>
      <c r="E926" s="307">
        <f t="shared" ca="1" si="415"/>
        <v>-11.442436471020175</v>
      </c>
      <c r="F926" s="304">
        <f t="shared" ca="1" si="416"/>
        <v>11.569751765033722</v>
      </c>
      <c r="G926" s="306">
        <f t="shared" ca="1" si="417"/>
        <v>55.987658068049456</v>
      </c>
      <c r="H926" s="307">
        <f t="shared" ca="1" si="418"/>
        <v>52.415076057310884</v>
      </c>
      <c r="I926" s="304">
        <f t="shared" ca="1" si="419"/>
        <v>76.693924492351471</v>
      </c>
      <c r="J926" s="306">
        <f t="shared" ca="1" si="420"/>
        <v>1868.9658548380564</v>
      </c>
      <c r="K926" s="307">
        <f t="shared" ca="1" si="421"/>
        <v>4299.2541150434026</v>
      </c>
      <c r="L926" s="304">
        <f t="shared" ca="1" si="406"/>
        <v>4687.9227075825575</v>
      </c>
      <c r="M926" s="306">
        <f t="shared" ca="1" si="422"/>
        <v>0.75245352001776822</v>
      </c>
      <c r="N926" s="304">
        <f t="shared" ca="1" si="423"/>
        <v>43.112410976780723</v>
      </c>
      <c r="P926" s="310">
        <f t="shared" ca="1" si="424"/>
        <v>23</v>
      </c>
      <c r="Q926" s="304">
        <f t="shared" ca="1" si="425"/>
        <v>0</v>
      </c>
      <c r="R926" s="306">
        <f t="shared" ca="1" si="426"/>
        <v>0</v>
      </c>
      <c r="S926" s="307">
        <f t="shared" ca="1" si="427"/>
        <v>11.416040186296438</v>
      </c>
      <c r="T926" s="304">
        <f t="shared" ca="1" si="407"/>
        <v>111.99135422756807</v>
      </c>
      <c r="U926" s="311">
        <f t="shared" ca="1" si="408"/>
        <v>0</v>
      </c>
      <c r="V926" s="306">
        <f t="shared" ca="1" si="409"/>
        <v>0.79152280222316107</v>
      </c>
      <c r="W926" s="304">
        <f t="shared" ca="1" si="410"/>
        <v>26.357977249254422</v>
      </c>
      <c r="Y926" s="314" t="str">
        <f t="shared" ca="1" si="428"/>
        <v/>
      </c>
      <c r="Z926" s="315" t="str">
        <f t="shared" ca="1" si="429"/>
        <v/>
      </c>
      <c r="AA926" s="316" t="str">
        <f t="shared" ca="1" si="430"/>
        <v/>
      </c>
      <c r="AC926" s="310" t="e">
        <f t="shared" ca="1" si="431"/>
        <v>#N/A</v>
      </c>
      <c r="AD926" s="323" t="e">
        <f t="shared" ca="1" si="432"/>
        <v>#N/A</v>
      </c>
      <c r="AE926" s="324">
        <f t="shared" ca="1" si="411"/>
        <v>4299.2541150434026</v>
      </c>
      <c r="AG926" s="306">
        <f t="shared" ca="1" si="433"/>
        <v>-9.1357705937421727</v>
      </c>
      <c r="AH926" s="304">
        <f t="shared" ca="1" si="434"/>
        <v>-2.3653017446163371</v>
      </c>
    </row>
    <row r="927" spans="1:34" x14ac:dyDescent="0.2">
      <c r="A927" s="347">
        <f t="shared" ca="1" si="412"/>
        <v>0.1</v>
      </c>
      <c r="B927" s="304">
        <f t="shared" ca="1" si="413"/>
        <v>20.299999999999905</v>
      </c>
      <c r="D927" s="306">
        <f t="shared" ca="1" si="414"/>
        <v>-1.6854967906826288</v>
      </c>
      <c r="E927" s="307">
        <f t="shared" ca="1" si="415"/>
        <v>-11.387944952985981</v>
      </c>
      <c r="F927" s="304">
        <f t="shared" ca="1" si="416"/>
        <v>11.512001984174617</v>
      </c>
      <c r="G927" s="306">
        <f t="shared" ca="1" si="417"/>
        <v>55.819108388981192</v>
      </c>
      <c r="H927" s="307">
        <f t="shared" ca="1" si="418"/>
        <v>51.276281562012286</v>
      </c>
      <c r="I927" s="304">
        <f t="shared" ca="1" si="419"/>
        <v>75.79597556709453</v>
      </c>
      <c r="J927" s="306">
        <f t="shared" ca="1" si="420"/>
        <v>1874.5561931609079</v>
      </c>
      <c r="K927" s="307">
        <f t="shared" ca="1" si="421"/>
        <v>4304.4386829243685</v>
      </c>
      <c r="L927" s="304">
        <f t="shared" ca="1" si="406"/>
        <v>4694.9071658951461</v>
      </c>
      <c r="M927" s="306">
        <f t="shared" ca="1" si="422"/>
        <v>0.74300506799562449</v>
      </c>
      <c r="N927" s="304">
        <f t="shared" ca="1" si="423"/>
        <v>42.571054552980037</v>
      </c>
      <c r="P927" s="310">
        <f t="shared" ca="1" si="424"/>
        <v>23</v>
      </c>
      <c r="Q927" s="304">
        <f t="shared" ca="1" si="425"/>
        <v>0</v>
      </c>
      <c r="R927" s="306">
        <f t="shared" ca="1" si="426"/>
        <v>0</v>
      </c>
      <c r="S927" s="307">
        <f t="shared" ca="1" si="427"/>
        <v>11.416040186296438</v>
      </c>
      <c r="T927" s="304">
        <f t="shared" ca="1" si="407"/>
        <v>111.99135422756807</v>
      </c>
      <c r="U927" s="311">
        <f t="shared" ca="1" si="408"/>
        <v>0</v>
      </c>
      <c r="V927" s="306">
        <f t="shared" ca="1" si="409"/>
        <v>0.79109264214055097</v>
      </c>
      <c r="W927" s="304">
        <f t="shared" ca="1" si="410"/>
        <v>25.730389741917204</v>
      </c>
      <c r="Y927" s="314" t="str">
        <f t="shared" ca="1" si="428"/>
        <v/>
      </c>
      <c r="Z927" s="315" t="str">
        <f t="shared" ca="1" si="429"/>
        <v/>
      </c>
      <c r="AA927" s="316" t="str">
        <f t="shared" ca="1" si="430"/>
        <v/>
      </c>
      <c r="AC927" s="310" t="e">
        <f t="shared" ca="1" si="431"/>
        <v>#N/A</v>
      </c>
      <c r="AD927" s="323" t="e">
        <f t="shared" ca="1" si="432"/>
        <v>#N/A</v>
      </c>
      <c r="AE927" s="324">
        <f t="shared" ca="1" si="411"/>
        <v>4304.4386829243685</v>
      </c>
      <c r="AG927" s="306">
        <f t="shared" ca="1" si="433"/>
        <v>-9.0133217645903922</v>
      </c>
      <c r="AH927" s="304">
        <f t="shared" ca="1" si="434"/>
        <v>-2.3088546307759108</v>
      </c>
    </row>
    <row r="928" spans="1:34" x14ac:dyDescent="0.2">
      <c r="A928" s="347">
        <f t="shared" ca="1" si="412"/>
        <v>0.1</v>
      </c>
      <c r="B928" s="304">
        <f t="shared" ca="1" si="413"/>
        <v>20.399999999999906</v>
      </c>
      <c r="D928" s="306">
        <f t="shared" ca="1" si="414"/>
        <v>-1.6598453406883347</v>
      </c>
      <c r="E928" s="307">
        <f t="shared" ca="1" si="415"/>
        <v>-11.334759163930507</v>
      </c>
      <c r="F928" s="304">
        <f t="shared" ca="1" si="416"/>
        <v>11.455647160213662</v>
      </c>
      <c r="G928" s="306">
        <f t="shared" ca="1" si="417"/>
        <v>55.653123854912359</v>
      </c>
      <c r="H928" s="307">
        <f t="shared" ca="1" si="418"/>
        <v>50.142805645619234</v>
      </c>
      <c r="I928" s="304">
        <f t="shared" ca="1" si="419"/>
        <v>74.910420856010148</v>
      </c>
      <c r="J928" s="306">
        <f t="shared" ca="1" si="420"/>
        <v>1880.1298047731027</v>
      </c>
      <c r="K928" s="307">
        <f t="shared" ca="1" si="421"/>
        <v>4309.5096372847502</v>
      </c>
      <c r="L928" s="304">
        <f t="shared" ca="1" si="406"/>
        <v>4701.7827891818106</v>
      </c>
      <c r="M928" s="306">
        <f t="shared" ca="1" si="422"/>
        <v>0.73336077821986845</v>
      </c>
      <c r="N928" s="304">
        <f t="shared" ca="1" si="423"/>
        <v>42.018477452428044</v>
      </c>
      <c r="P928" s="310">
        <f t="shared" ca="1" si="424"/>
        <v>23</v>
      </c>
      <c r="Q928" s="304">
        <f t="shared" ca="1" si="425"/>
        <v>0</v>
      </c>
      <c r="R928" s="306">
        <f t="shared" ca="1" si="426"/>
        <v>0</v>
      </c>
      <c r="S928" s="307">
        <f t="shared" ca="1" si="427"/>
        <v>11.416040186296438</v>
      </c>
      <c r="T928" s="304">
        <f t="shared" ca="1" si="407"/>
        <v>111.99135422756807</v>
      </c>
      <c r="U928" s="311">
        <f t="shared" ca="1" si="408"/>
        <v>0</v>
      </c>
      <c r="V928" s="306">
        <f t="shared" ca="1" si="409"/>
        <v>0.79067208599083261</v>
      </c>
      <c r="W928" s="304">
        <f t="shared" ca="1" si="410"/>
        <v>25.119304225713687</v>
      </c>
      <c r="Y928" s="314" t="str">
        <f t="shared" ca="1" si="428"/>
        <v/>
      </c>
      <c r="Z928" s="315" t="str">
        <f t="shared" ca="1" si="429"/>
        <v/>
      </c>
      <c r="AA928" s="316" t="str">
        <f t="shared" ca="1" si="430"/>
        <v/>
      </c>
      <c r="AC928" s="310" t="e">
        <f t="shared" ca="1" si="431"/>
        <v>#N/A</v>
      </c>
      <c r="AD928" s="323" t="e">
        <f t="shared" ca="1" si="432"/>
        <v>#N/A</v>
      </c>
      <c r="AE928" s="324">
        <f t="shared" ca="1" si="411"/>
        <v>4309.5096372847502</v>
      </c>
      <c r="AG928" s="306">
        <f t="shared" ca="1" si="433"/>
        <v>-8.8903848029719068</v>
      </c>
      <c r="AH928" s="304">
        <f t="shared" ca="1" si="434"/>
        <v>-2.253880445585974</v>
      </c>
    </row>
    <row r="929" spans="1:34" x14ac:dyDescent="0.2">
      <c r="A929" s="347">
        <f t="shared" ca="1" si="412"/>
        <v>0.1</v>
      </c>
      <c r="B929" s="304">
        <f t="shared" ca="1" si="413"/>
        <v>20.499999999999908</v>
      </c>
      <c r="D929" s="306">
        <f t="shared" ca="1" si="414"/>
        <v>-1.6347051339247836</v>
      </c>
      <c r="E929" s="307">
        <f t="shared" ca="1" si="415"/>
        <v>-11.282849970326531</v>
      </c>
      <c r="F929" s="304">
        <f t="shared" ca="1" si="416"/>
        <v>11.400656311273377</v>
      </c>
      <c r="G929" s="306">
        <f t="shared" ca="1" si="417"/>
        <v>55.489653341519883</v>
      </c>
      <c r="H929" s="307">
        <f t="shared" ca="1" si="418"/>
        <v>49.014520648586583</v>
      </c>
      <c r="I929" s="304">
        <f t="shared" ca="1" si="419"/>
        <v>74.037320740102217</v>
      </c>
      <c r="J929" s="306">
        <f t="shared" ca="1" si="420"/>
        <v>1885.6869436329243</v>
      </c>
      <c r="K929" s="307">
        <f t="shared" ca="1" si="421"/>
        <v>4314.4675035994605</v>
      </c>
      <c r="L929" s="304">
        <f t="shared" ca="1" si="406"/>
        <v>4708.550210946406</v>
      </c>
      <c r="M929" s="306">
        <f t="shared" ca="1" si="422"/>
        <v>0.72351675482557842</v>
      </c>
      <c r="N929" s="304">
        <f t="shared" ca="1" si="423"/>
        <v>41.454456458507181</v>
      </c>
      <c r="P929" s="310">
        <f t="shared" ca="1" si="424"/>
        <v>23</v>
      </c>
      <c r="Q929" s="304">
        <f t="shared" ca="1" si="425"/>
        <v>0</v>
      </c>
      <c r="R929" s="306">
        <f t="shared" ca="1" si="426"/>
        <v>0</v>
      </c>
      <c r="S929" s="307">
        <f t="shared" ca="1" si="427"/>
        <v>11.416040186296438</v>
      </c>
      <c r="T929" s="304">
        <f t="shared" ca="1" si="407"/>
        <v>111.99135422756807</v>
      </c>
      <c r="U929" s="311">
        <f t="shared" ca="1" si="408"/>
        <v>0</v>
      </c>
      <c r="V929" s="306">
        <f t="shared" ca="1" si="409"/>
        <v>0.79026107831669157</v>
      </c>
      <c r="W929" s="304">
        <f t="shared" ca="1" si="410"/>
        <v>24.524417796617314</v>
      </c>
      <c r="Y929" s="314" t="str">
        <f t="shared" ca="1" si="428"/>
        <v/>
      </c>
      <c r="Z929" s="315" t="str">
        <f t="shared" ca="1" si="429"/>
        <v/>
      </c>
      <c r="AA929" s="316" t="str">
        <f t="shared" ca="1" si="430"/>
        <v/>
      </c>
      <c r="AC929" s="310" t="e">
        <f t="shared" ca="1" si="431"/>
        <v>#N/A</v>
      </c>
      <c r="AD929" s="323" t="e">
        <f t="shared" ca="1" si="432"/>
        <v>#N/A</v>
      </c>
      <c r="AE929" s="324">
        <f t="shared" ca="1" si="411"/>
        <v>4314.4675035994605</v>
      </c>
      <c r="AG929" s="306">
        <f t="shared" ca="1" si="433"/>
        <v>-8.7668737269235475</v>
      </c>
      <c r="AH929" s="304">
        <f t="shared" ca="1" si="434"/>
        <v>-2.2003517695975128</v>
      </c>
    </row>
    <row r="930" spans="1:34" x14ac:dyDescent="0.2">
      <c r="A930" s="347">
        <f t="shared" ca="1" si="412"/>
        <v>0.1</v>
      </c>
      <c r="B930" s="304">
        <f t="shared" ca="1" si="413"/>
        <v>20.599999999999909</v>
      </c>
      <c r="D930" s="306">
        <f t="shared" ca="1" si="414"/>
        <v>-1.6100691724793532</v>
      </c>
      <c r="E930" s="307">
        <f t="shared" ca="1" si="415"/>
        <v>-11.232188893746303</v>
      </c>
      <c r="F930" s="304">
        <f t="shared" ca="1" si="416"/>
        <v>11.346999166518263</v>
      </c>
      <c r="G930" s="306">
        <f t="shared" ca="1" si="417"/>
        <v>55.328646424271945</v>
      </c>
      <c r="H930" s="307">
        <f t="shared" ca="1" si="418"/>
        <v>47.891301759211956</v>
      </c>
      <c r="I930" s="304">
        <f t="shared" ca="1" si="419"/>
        <v>73.176744252077782</v>
      </c>
      <c r="J930" s="306">
        <f t="shared" ca="1" si="420"/>
        <v>1891.227858621214</v>
      </c>
      <c r="K930" s="307">
        <f t="shared" ca="1" si="421"/>
        <v>4319.3127947198509</v>
      </c>
      <c r="L930" s="304">
        <f t="shared" ca="1" si="406"/>
        <v>4715.2100517215131</v>
      </c>
      <c r="M930" s="306">
        <f t="shared" ca="1" si="422"/>
        <v>0.71346910365130478</v>
      </c>
      <c r="N930" s="304">
        <f t="shared" ca="1" si="423"/>
        <v>40.878768452201633</v>
      </c>
      <c r="P930" s="310">
        <f t="shared" ca="1" si="424"/>
        <v>23</v>
      </c>
      <c r="Q930" s="304">
        <f t="shared" ca="1" si="425"/>
        <v>0</v>
      </c>
      <c r="R930" s="306">
        <f t="shared" ca="1" si="426"/>
        <v>0</v>
      </c>
      <c r="S930" s="307">
        <f t="shared" ca="1" si="427"/>
        <v>11.416040186296438</v>
      </c>
      <c r="T930" s="304">
        <f t="shared" ca="1" si="407"/>
        <v>111.99135422756807</v>
      </c>
      <c r="U930" s="311">
        <f t="shared" ca="1" si="408"/>
        <v>0</v>
      </c>
      <c r="V930" s="306">
        <f t="shared" ca="1" si="409"/>
        <v>0.78985956505476407</v>
      </c>
      <c r="W930" s="304">
        <f t="shared" ca="1" si="410"/>
        <v>23.945437325704397</v>
      </c>
      <c r="Y930" s="314" t="str">
        <f t="shared" ca="1" si="428"/>
        <v/>
      </c>
      <c r="Z930" s="315" t="str">
        <f t="shared" ca="1" si="429"/>
        <v/>
      </c>
      <c r="AA930" s="316" t="str">
        <f t="shared" ca="1" si="430"/>
        <v/>
      </c>
      <c r="AC930" s="310" t="e">
        <f t="shared" ca="1" si="431"/>
        <v>#N/A</v>
      </c>
      <c r="AD930" s="323" t="e">
        <f t="shared" ca="1" si="432"/>
        <v>#N/A</v>
      </c>
      <c r="AE930" s="324">
        <f t="shared" ca="1" si="411"/>
        <v>4319.3127947198509</v>
      </c>
      <c r="AG930" s="306">
        <f t="shared" ca="1" si="433"/>
        <v>-8.6427024681824918</v>
      </c>
      <c r="AH930" s="304">
        <f t="shared" ca="1" si="434"/>
        <v>-2.1482420696149864</v>
      </c>
    </row>
    <row r="931" spans="1:34" x14ac:dyDescent="0.2">
      <c r="A931" s="347">
        <f t="shared" ca="1" si="412"/>
        <v>0.1</v>
      </c>
      <c r="B931" s="304">
        <f t="shared" ca="1" si="413"/>
        <v>20.69999999999991</v>
      </c>
      <c r="D931" s="306">
        <f t="shared" ca="1" si="414"/>
        <v>-1.5859308483271368</v>
      </c>
      <c r="E931" s="307">
        <f t="shared" ca="1" si="415"/>
        <v>-11.182748074190346</v>
      </c>
      <c r="F931" s="304">
        <f t="shared" ca="1" si="416"/>
        <v>11.29464612754572</v>
      </c>
      <c r="G931" s="306">
        <f t="shared" ca="1" si="417"/>
        <v>55.170053339439228</v>
      </c>
      <c r="H931" s="307">
        <f t="shared" ca="1" si="418"/>
        <v>46.773026951792922</v>
      </c>
      <c r="I931" s="304">
        <f t="shared" ca="1" si="419"/>
        <v>72.328769073652268</v>
      </c>
      <c r="J931" s="306">
        <f t="shared" ca="1" si="420"/>
        <v>1896.7527936093995</v>
      </c>
      <c r="K931" s="307">
        <f t="shared" ca="1" si="421"/>
        <v>4324.0460111554012</v>
      </c>
      <c r="L931" s="304">
        <f t="shared" ca="1" si="406"/>
        <v>4721.7629193611574</v>
      </c>
      <c r="M931" s="306">
        <f t="shared" ca="1" si="422"/>
        <v>0.70321394205633758</v>
      </c>
      <c r="N931" s="304">
        <f t="shared" ca="1" si="423"/>
        <v>40.291190974585369</v>
      </c>
      <c r="P931" s="310">
        <f t="shared" ca="1" si="424"/>
        <v>23</v>
      </c>
      <c r="Q931" s="304">
        <f t="shared" ca="1" si="425"/>
        <v>0</v>
      </c>
      <c r="R931" s="306">
        <f t="shared" ca="1" si="426"/>
        <v>0</v>
      </c>
      <c r="S931" s="307">
        <f t="shared" ca="1" si="427"/>
        <v>11.416040186296438</v>
      </c>
      <c r="T931" s="304">
        <f t="shared" ca="1" si="407"/>
        <v>111.99135422756807</v>
      </c>
      <c r="U931" s="311">
        <f t="shared" ca="1" si="408"/>
        <v>0</v>
      </c>
      <c r="V931" s="306">
        <f t="shared" ca="1" si="409"/>
        <v>0.78946749350530776</v>
      </c>
      <c r="W931" s="304">
        <f t="shared" ca="1" si="410"/>
        <v>23.382079130151133</v>
      </c>
      <c r="Y931" s="314" t="str">
        <f t="shared" ca="1" si="428"/>
        <v/>
      </c>
      <c r="Z931" s="315" t="str">
        <f t="shared" ca="1" si="429"/>
        <v/>
      </c>
      <c r="AA931" s="316" t="str">
        <f t="shared" ca="1" si="430"/>
        <v/>
      </c>
      <c r="AC931" s="310" t="e">
        <f t="shared" ca="1" si="431"/>
        <v>#N/A</v>
      </c>
      <c r="AD931" s="323" t="e">
        <f t="shared" ca="1" si="432"/>
        <v>#N/A</v>
      </c>
      <c r="AE931" s="324">
        <f t="shared" ca="1" si="411"/>
        <v>4324.0460111554012</v>
      </c>
      <c r="AG931" s="306">
        <f t="shared" ca="1" si="433"/>
        <v>-8.5177849335793034</v>
      </c>
      <c r="AH931" s="304">
        <f t="shared" ca="1" si="434"/>
        <v>-2.0975256687032311</v>
      </c>
    </row>
    <row r="932" spans="1:34" x14ac:dyDescent="0.2">
      <c r="A932" s="347">
        <f t="shared" ca="1" si="412"/>
        <v>0.1</v>
      </c>
      <c r="B932" s="304">
        <f t="shared" ca="1" si="413"/>
        <v>20.799999999999912</v>
      </c>
      <c r="D932" s="306">
        <f t="shared" ca="1" si="414"/>
        <v>-1.5622839343606578</v>
      </c>
      <c r="E932" s="307">
        <f t="shared" ca="1" si="415"/>
        <v>-11.134500234187138</v>
      </c>
      <c r="F932" s="304">
        <f t="shared" ca="1" si="416"/>
        <v>11.243568230623001</v>
      </c>
      <c r="G932" s="306">
        <f t="shared" ca="1" si="417"/>
        <v>55.013824946003162</v>
      </c>
      <c r="H932" s="307">
        <f t="shared" ca="1" si="418"/>
        <v>45.659576928374207</v>
      </c>
      <c r="I932" s="304">
        <f t="shared" ca="1" si="419"/>
        <v>71.493481524315229</v>
      </c>
      <c r="J932" s="306">
        <f t="shared" ca="1" si="420"/>
        <v>1902.2619875236717</v>
      </c>
      <c r="K932" s="307">
        <f t="shared" ca="1" si="421"/>
        <v>4328.6676413494097</v>
      </c>
      <c r="L932" s="304">
        <f t="shared" ca="1" si="406"/>
        <v>4728.2094093264286</v>
      </c>
      <c r="M932" s="306">
        <f t="shared" ca="1" si="422"/>
        <v>0.6927474097078532</v>
      </c>
      <c r="N932" s="304">
        <f t="shared" ca="1" si="423"/>
        <v>39.691502844880063</v>
      </c>
      <c r="P932" s="310">
        <f t="shared" ca="1" si="424"/>
        <v>23</v>
      </c>
      <c r="Q932" s="304">
        <f t="shared" ca="1" si="425"/>
        <v>0</v>
      </c>
      <c r="R932" s="306">
        <f t="shared" ca="1" si="426"/>
        <v>0</v>
      </c>
      <c r="S932" s="307">
        <f t="shared" ca="1" si="427"/>
        <v>11.416040186296438</v>
      </c>
      <c r="T932" s="304">
        <f t="shared" ca="1" si="407"/>
        <v>111.99135422756807</v>
      </c>
      <c r="U932" s="311">
        <f t="shared" ca="1" si="408"/>
        <v>0</v>
      </c>
      <c r="V932" s="306">
        <f t="shared" ca="1" si="409"/>
        <v>0.78908481230261796</v>
      </c>
      <c r="W932" s="304">
        <f t="shared" ca="1" si="410"/>
        <v>22.834068656965986</v>
      </c>
      <c r="Y932" s="314" t="str">
        <f t="shared" ca="1" si="428"/>
        <v/>
      </c>
      <c r="Z932" s="315" t="str">
        <f t="shared" ca="1" si="429"/>
        <v/>
      </c>
      <c r="AA932" s="316" t="str">
        <f t="shared" ca="1" si="430"/>
        <v/>
      </c>
      <c r="AC932" s="310" t="e">
        <f t="shared" ca="1" si="431"/>
        <v>#N/A</v>
      </c>
      <c r="AD932" s="323" t="e">
        <f t="shared" ca="1" si="432"/>
        <v>#N/A</v>
      </c>
      <c r="AE932" s="324">
        <f t="shared" ca="1" si="411"/>
        <v>4328.6676413494097</v>
      </c>
      <c r="AG932" s="306">
        <f t="shared" ca="1" si="433"/>
        <v>-8.3920350824761538</v>
      </c>
      <c r="AH932" s="304">
        <f t="shared" ca="1" si="434"/>
        <v>-2.0481777173680995</v>
      </c>
    </row>
    <row r="933" spans="1:34" x14ac:dyDescent="0.2">
      <c r="A933" s="347">
        <f t="shared" ca="1" si="412"/>
        <v>0.1</v>
      </c>
      <c r="B933" s="304">
        <f t="shared" ca="1" si="413"/>
        <v>20.899999999999913</v>
      </c>
      <c r="D933" s="306">
        <f t="shared" ca="1" si="414"/>
        <v>-1.5391225755919065</v>
      </c>
      <c r="E933" s="307">
        <f t="shared" ca="1" si="415"/>
        <v>-11.087418643612086</v>
      </c>
      <c r="F933" s="304">
        <f t="shared" ca="1" si="416"/>
        <v>11.193737109715125</v>
      </c>
      <c r="G933" s="306">
        <f t="shared" ca="1" si="417"/>
        <v>54.85991268844397</v>
      </c>
      <c r="H933" s="307">
        <f t="shared" ca="1" si="418"/>
        <v>44.550835064013</v>
      </c>
      <c r="I933" s="304">
        <f t="shared" ca="1" si="419"/>
        <v>70.670976539769043</v>
      </c>
      <c r="J933" s="306">
        <f t="shared" ca="1" si="420"/>
        <v>1907.7556744053941</v>
      </c>
      <c r="K933" s="307">
        <f t="shared" ca="1" si="421"/>
        <v>4333.1781619490293</v>
      </c>
      <c r="L933" s="304">
        <f t="shared" ca="1" si="406"/>
        <v>4734.5501049643508</v>
      </c>
      <c r="M933" s="306">
        <f t="shared" ca="1" si="422"/>
        <v>0.68206568039045445</v>
      </c>
      <c r="N933" s="304">
        <f t="shared" ca="1" si="423"/>
        <v>39.079484837091954</v>
      </c>
      <c r="P933" s="310">
        <f t="shared" ca="1" si="424"/>
        <v>23</v>
      </c>
      <c r="Q933" s="304">
        <f t="shared" ca="1" si="425"/>
        <v>0</v>
      </c>
      <c r="R933" s="306">
        <f t="shared" ca="1" si="426"/>
        <v>0</v>
      </c>
      <c r="S933" s="307">
        <f t="shared" ca="1" si="427"/>
        <v>11.416040186296438</v>
      </c>
      <c r="T933" s="304">
        <f t="shared" ca="1" si="407"/>
        <v>111.99135422756807</v>
      </c>
      <c r="U933" s="311">
        <f t="shared" ca="1" si="408"/>
        <v>0</v>
      </c>
      <c r="V933" s="306">
        <f t="shared" ca="1" si="409"/>
        <v>0.78871147138616193</v>
      </c>
      <c r="W933" s="304">
        <f t="shared" ca="1" si="410"/>
        <v>22.301140178825719</v>
      </c>
      <c r="Y933" s="314" t="str">
        <f t="shared" ca="1" si="428"/>
        <v/>
      </c>
      <c r="Z933" s="315" t="str">
        <f t="shared" ca="1" si="429"/>
        <v/>
      </c>
      <c r="AA933" s="316" t="str">
        <f t="shared" ca="1" si="430"/>
        <v/>
      </c>
      <c r="AC933" s="310" t="e">
        <f t="shared" ca="1" si="431"/>
        <v>#N/A</v>
      </c>
      <c r="AD933" s="323" t="e">
        <f t="shared" ca="1" si="432"/>
        <v>#N/A</v>
      </c>
      <c r="AE933" s="324">
        <f t="shared" ca="1" si="411"/>
        <v>4333.1781619490293</v>
      </c>
      <c r="AG933" s="306">
        <f t="shared" ca="1" si="433"/>
        <v>-8.265367021442044</v>
      </c>
      <c r="AH933" s="304">
        <f t="shared" ca="1" si="434"/>
        <v>-2.0001741658526653</v>
      </c>
    </row>
    <row r="934" spans="1:34" x14ac:dyDescent="0.2">
      <c r="A934" s="347">
        <f t="shared" ca="1" si="412"/>
        <v>0.1</v>
      </c>
      <c r="B934" s="304">
        <f t="shared" ca="1" si="413"/>
        <v>20.999999999999915</v>
      </c>
      <c r="D934" s="306">
        <f t="shared" ca="1" si="414"/>
        <v>-1.5164412804765999</v>
      </c>
      <c r="E934" s="307">
        <f t="shared" ca="1" si="415"/>
        <v>-11.041477085179626</v>
      </c>
      <c r="F934" s="304">
        <f t="shared" ca="1" si="416"/>
        <v>11.14512496025416</v>
      </c>
      <c r="G934" s="306">
        <f t="shared" ca="1" si="417"/>
        <v>54.708268560396313</v>
      </c>
      <c r="H934" s="307">
        <f t="shared" ca="1" si="418"/>
        <v>43.446687355495037</v>
      </c>
      <c r="I934" s="304">
        <f t="shared" ca="1" si="419"/>
        <v>69.861357638129107</v>
      </c>
      <c r="J934" s="306">
        <f t="shared" ca="1" si="420"/>
        <v>1913.2340834678362</v>
      </c>
      <c r="K934" s="307">
        <f t="shared" ca="1" si="421"/>
        <v>4337.5780380700044</v>
      </c>
      <c r="L934" s="304">
        <f t="shared" ca="1" si="406"/>
        <v>4740.7855777803579</v>
      </c>
      <c r="M934" s="306">
        <f t="shared" ca="1" si="422"/>
        <v>0.67116497488898585</v>
      </c>
      <c r="N934" s="304">
        <f t="shared" ca="1" si="423"/>
        <v>38.45492041814277</v>
      </c>
      <c r="P934" s="310">
        <f t="shared" ca="1" si="424"/>
        <v>23</v>
      </c>
      <c r="Q934" s="304">
        <f t="shared" ca="1" si="425"/>
        <v>0</v>
      </c>
      <c r="R934" s="306">
        <f t="shared" ca="1" si="426"/>
        <v>0</v>
      </c>
      <c r="S934" s="307">
        <f t="shared" ca="1" si="427"/>
        <v>11.416040186296438</v>
      </c>
      <c r="T934" s="304">
        <f t="shared" ca="1" si="407"/>
        <v>111.99135422756807</v>
      </c>
      <c r="U934" s="311">
        <f t="shared" ca="1" si="408"/>
        <v>0</v>
      </c>
      <c r="V934" s="306">
        <f t="shared" ca="1" si="409"/>
        <v>0.78834742197238583</v>
      </c>
      <c r="W934" s="304">
        <f t="shared" ca="1" si="410"/>
        <v>21.783036501412695</v>
      </c>
      <c r="Y934" s="314" t="str">
        <f t="shared" ca="1" si="428"/>
        <v/>
      </c>
      <c r="Z934" s="315" t="str">
        <f t="shared" ca="1" si="429"/>
        <v/>
      </c>
      <c r="AA934" s="316" t="str">
        <f t="shared" ca="1" si="430"/>
        <v/>
      </c>
      <c r="AC934" s="310">
        <f t="shared" ca="1" si="431"/>
        <v>20.999999999999915</v>
      </c>
      <c r="AD934" s="323">
        <f t="shared" ca="1" si="432"/>
        <v>1913.2340834678362</v>
      </c>
      <c r="AE934" s="324">
        <f t="shared" ca="1" si="411"/>
        <v>4337.5780380700044</v>
      </c>
      <c r="AG934" s="306">
        <f t="shared" ca="1" si="433"/>
        <v>-8.1376951173921661</v>
      </c>
      <c r="AH934" s="304">
        <f t="shared" ca="1" si="434"/>
        <v>-1.9534917374936638</v>
      </c>
    </row>
    <row r="935" spans="1:34" x14ac:dyDescent="0.2">
      <c r="A935" s="347">
        <f t="shared" ca="1" si="412"/>
        <v>0.1</v>
      </c>
      <c r="B935" s="304">
        <f t="shared" ca="1" si="413"/>
        <v>21.099999999999916</v>
      </c>
      <c r="D935" s="306">
        <f t="shared" ca="1" si="414"/>
        <v>-1.4942349123091847</v>
      </c>
      <c r="E935" s="307">
        <f t="shared" ca="1" si="415"/>
        <v>-10.996649820567679</v>
      </c>
      <c r="F935" s="304">
        <f t="shared" ca="1" si="416"/>
        <v>11.097704503605906</v>
      </c>
      <c r="G935" s="306">
        <f t="shared" ca="1" si="417"/>
        <v>54.558845069165393</v>
      </c>
      <c r="H935" s="307">
        <f t="shared" ca="1" si="418"/>
        <v>42.347022373438271</v>
      </c>
      <c r="I935" s="304">
        <f t="shared" ca="1" si="419"/>
        <v>69.064736871848538</v>
      </c>
      <c r="J935" s="306">
        <f t="shared" ca="1" si="420"/>
        <v>1918.6974391493143</v>
      </c>
      <c r="K935" s="307">
        <f t="shared" ca="1" si="421"/>
        <v>4341.867723556451</v>
      </c>
      <c r="L935" s="304">
        <f t="shared" ca="1" si="406"/>
        <v>4746.9163877046976</v>
      </c>
      <c r="M935" s="306">
        <f t="shared" ca="1" si="422"/>
        <v>0.66004157499295935</v>
      </c>
      <c r="N935" s="304">
        <f t="shared" ca="1" si="423"/>
        <v>37.817596550264192</v>
      </c>
      <c r="P935" s="310">
        <f t="shared" ca="1" si="424"/>
        <v>23</v>
      </c>
      <c r="Q935" s="304">
        <f t="shared" ca="1" si="425"/>
        <v>0</v>
      </c>
      <c r="R935" s="306">
        <f t="shared" ca="1" si="426"/>
        <v>0</v>
      </c>
      <c r="S935" s="307">
        <f t="shared" ca="1" si="427"/>
        <v>11.416040186296438</v>
      </c>
      <c r="T935" s="304">
        <f t="shared" ca="1" si="407"/>
        <v>111.99135422756807</v>
      </c>
      <c r="U935" s="311">
        <f t="shared" ca="1" si="408"/>
        <v>0</v>
      </c>
      <c r="V935" s="306">
        <f t="shared" ca="1" si="409"/>
        <v>0.78799261652716324</v>
      </c>
      <c r="W935" s="304">
        <f t="shared" ca="1" si="410"/>
        <v>21.279508681679165</v>
      </c>
      <c r="Y935" s="314" t="str">
        <f t="shared" ca="1" si="428"/>
        <v/>
      </c>
      <c r="Z935" s="315" t="str">
        <f t="shared" ca="1" si="429"/>
        <v/>
      </c>
      <c r="AA935" s="316" t="str">
        <f t="shared" ca="1" si="430"/>
        <v/>
      </c>
      <c r="AC935" s="310" t="e">
        <f t="shared" ca="1" si="431"/>
        <v>#N/A</v>
      </c>
      <c r="AD935" s="323" t="e">
        <f t="shared" ca="1" si="432"/>
        <v>#N/A</v>
      </c>
      <c r="AE935" s="324">
        <f t="shared" ca="1" si="411"/>
        <v>4341.867723556451</v>
      </c>
      <c r="AG935" s="306">
        <f t="shared" ca="1" si="433"/>
        <v>-8.0089341304415509</v>
      </c>
      <c r="AH935" s="304">
        <f t="shared" ca="1" si="434"/>
        <v>-1.9081079030853947</v>
      </c>
    </row>
    <row r="936" spans="1:34" x14ac:dyDescent="0.2">
      <c r="A936" s="347">
        <f t="shared" ca="1" si="412"/>
        <v>0.1</v>
      </c>
      <c r="B936" s="304">
        <f t="shared" ca="1" si="413"/>
        <v>21.199999999999918</v>
      </c>
      <c r="D936" s="306">
        <f t="shared" ca="1" si="414"/>
        <v>-1.4724986806357243</v>
      </c>
      <c r="E936" s="307">
        <f t="shared" ca="1" si="415"/>
        <v>-10.952911557139625</v>
      </c>
      <c r="F936" s="304">
        <f t="shared" ca="1" si="416"/>
        <v>11.05144895219612</v>
      </c>
      <c r="G936" s="306">
        <f t="shared" ca="1" si="417"/>
        <v>54.411595201101818</v>
      </c>
      <c r="H936" s="307">
        <f t="shared" ca="1" si="418"/>
        <v>41.251731217724306</v>
      </c>
      <c r="I936" s="304">
        <f t="shared" ca="1" si="419"/>
        <v>68.281234763205163</v>
      </c>
      <c r="J936" s="306">
        <f t="shared" ca="1" si="420"/>
        <v>1924.1459611628277</v>
      </c>
      <c r="K936" s="307">
        <f t="shared" ca="1" si="421"/>
        <v>4346.0476612360089</v>
      </c>
      <c r="L936" s="304">
        <f t="shared" ca="1" si="406"/>
        <v>4752.9430833531142</v>
      </c>
      <c r="M936" s="306">
        <f t="shared" ca="1" si="422"/>
        <v>0.64869183866732283</v>
      </c>
      <c r="N936" s="304">
        <f t="shared" ca="1" si="423"/>
        <v>37.167304560218902</v>
      </c>
      <c r="P936" s="310">
        <f t="shared" ca="1" si="424"/>
        <v>23</v>
      </c>
      <c r="Q936" s="304">
        <f t="shared" ca="1" si="425"/>
        <v>0</v>
      </c>
      <c r="R936" s="306">
        <f t="shared" ca="1" si="426"/>
        <v>0</v>
      </c>
      <c r="S936" s="307">
        <f t="shared" ca="1" si="427"/>
        <v>11.416040186296438</v>
      </c>
      <c r="T936" s="304">
        <f t="shared" ca="1" si="407"/>
        <v>111.99135422756807</v>
      </c>
      <c r="U936" s="311">
        <f t="shared" ca="1" si="408"/>
        <v>0</v>
      </c>
      <c r="V936" s="306">
        <f t="shared" ca="1" si="409"/>
        <v>0.78764700873884486</v>
      </c>
      <c r="W936" s="304">
        <f t="shared" ca="1" si="410"/>
        <v>20.790315756490774</v>
      </c>
      <c r="Y936" s="314" t="str">
        <f t="shared" ca="1" si="428"/>
        <v/>
      </c>
      <c r="Z936" s="315" t="str">
        <f t="shared" ca="1" si="429"/>
        <v/>
      </c>
      <c r="AA936" s="316" t="str">
        <f t="shared" ca="1" si="430"/>
        <v/>
      </c>
      <c r="AC936" s="310" t="e">
        <f t="shared" ca="1" si="431"/>
        <v>#N/A</v>
      </c>
      <c r="AD936" s="323" t="e">
        <f t="shared" ca="1" si="432"/>
        <v>#N/A</v>
      </c>
      <c r="AE936" s="324">
        <f t="shared" ca="1" si="411"/>
        <v>4346.0476612360089</v>
      </c>
      <c r="AG936" s="306">
        <f t="shared" ca="1" si="433"/>
        <v>-7.8789993677315024</v>
      </c>
      <c r="AH936" s="304">
        <f t="shared" ca="1" si="434"/>
        <v>-1.8640008562007879</v>
      </c>
    </row>
    <row r="937" spans="1:34" x14ac:dyDescent="0.2">
      <c r="A937" s="347">
        <f t="shared" ca="1" si="412"/>
        <v>0.1</v>
      </c>
      <c r="B937" s="304">
        <f t="shared" ca="1" si="413"/>
        <v>21.299999999999919</v>
      </c>
      <c r="D937" s="306">
        <f t="shared" ca="1" si="414"/>
        <v>-1.4512281326303971</v>
      </c>
      <c r="E937" s="307">
        <f t="shared" ca="1" si="415"/>
        <v>-10.910237415234921</v>
      </c>
      <c r="F937" s="304">
        <f t="shared" ca="1" si="416"/>
        <v>11.006331975264505</v>
      </c>
      <c r="G937" s="306">
        <f t="shared" ca="1" si="417"/>
        <v>54.266472387838782</v>
      </c>
      <c r="H937" s="307">
        <f t="shared" ca="1" si="418"/>
        <v>40.160707476200812</v>
      </c>
      <c r="I937" s="304">
        <f t="shared" ca="1" si="419"/>
        <v>67.510980221065083</v>
      </c>
      <c r="J937" s="306">
        <f t="shared" ca="1" si="420"/>
        <v>1929.5798645422747</v>
      </c>
      <c r="K937" s="307">
        <f t="shared" ca="1" si="421"/>
        <v>4350.1182831707056</v>
      </c>
      <c r="L937" s="304">
        <f t="shared" ca="1" si="406"/>
        <v>4758.8662022821181</v>
      </c>
      <c r="M937" s="306">
        <f t="shared" ca="1" si="422"/>
        <v>0.63711221642950966</v>
      </c>
      <c r="N937" s="304">
        <f t="shared" ca="1" si="423"/>
        <v>36.503841077636373</v>
      </c>
      <c r="P937" s="310">
        <f t="shared" ca="1" si="424"/>
        <v>23</v>
      </c>
      <c r="Q937" s="304">
        <f t="shared" ca="1" si="425"/>
        <v>0</v>
      </c>
      <c r="R937" s="306">
        <f t="shared" ca="1" si="426"/>
        <v>0</v>
      </c>
      <c r="S937" s="307">
        <f t="shared" ca="1" si="427"/>
        <v>11.416040186296438</v>
      </c>
      <c r="T937" s="304">
        <f t="shared" ca="1" si="407"/>
        <v>111.99135422756807</v>
      </c>
      <c r="U937" s="311">
        <f t="shared" ca="1" si="408"/>
        <v>0</v>
      </c>
      <c r="V937" s="306">
        <f t="shared" ca="1" si="409"/>
        <v>0.78731055349188062</v>
      </c>
      <c r="W937" s="304">
        <f t="shared" ca="1" si="410"/>
        <v>20.31522448112645</v>
      </c>
      <c r="Y937" s="314" t="str">
        <f t="shared" ca="1" si="428"/>
        <v/>
      </c>
      <c r="Z937" s="315" t="str">
        <f t="shared" ca="1" si="429"/>
        <v/>
      </c>
      <c r="AA937" s="316" t="str">
        <f t="shared" ca="1" si="430"/>
        <v/>
      </c>
      <c r="AC937" s="310" t="e">
        <f t="shared" ca="1" si="431"/>
        <v>#N/A</v>
      </c>
      <c r="AD937" s="323" t="e">
        <f t="shared" ca="1" si="432"/>
        <v>#N/A</v>
      </c>
      <c r="AE937" s="324">
        <f t="shared" ca="1" si="411"/>
        <v>4350.1182831707056</v>
      </c>
      <c r="AG937" s="306">
        <f t="shared" ca="1" si="433"/>
        <v>-7.7478068594776728</v>
      </c>
      <c r="AH937" s="304">
        <f t="shared" ca="1" si="434"/>
        <v>-1.821149489421648</v>
      </c>
    </row>
    <row r="938" spans="1:34" x14ac:dyDescent="0.2">
      <c r="A938" s="347">
        <f t="shared" ca="1" si="412"/>
        <v>0.1</v>
      </c>
      <c r="B938" s="304">
        <f t="shared" ca="1" si="413"/>
        <v>21.39999999999992</v>
      </c>
      <c r="D938" s="306">
        <f t="shared" ca="1" si="414"/>
        <v>-1.4304191443799443</v>
      </c>
      <c r="E938" s="307">
        <f t="shared" ca="1" si="415"/>
        <v>-10.868602896006086</v>
      </c>
      <c r="F938" s="304">
        <f t="shared" ca="1" si="416"/>
        <v>10.962327665221494</v>
      </c>
      <c r="G938" s="306">
        <f t="shared" ca="1" si="417"/>
        <v>54.123430473400788</v>
      </c>
      <c r="H938" s="307">
        <f t="shared" ca="1" si="418"/>
        <v>39.073847186600204</v>
      </c>
      <c r="I938" s="304">
        <f t="shared" ca="1" si="419"/>
        <v>66.754110436517948</v>
      </c>
      <c r="J938" s="306">
        <f t="shared" ca="1" si="420"/>
        <v>1934.9993596853367</v>
      </c>
      <c r="K938" s="307">
        <f t="shared" ca="1" si="421"/>
        <v>4354.0800109038455</v>
      </c>
      <c r="L938" s="304">
        <f t="shared" ca="1" si="406"/>
        <v>4764.6862712391776</v>
      </c>
      <c r="M938" s="306">
        <f t="shared" ca="1" si="422"/>
        <v>0.62529926896656307</v>
      </c>
      <c r="N938" s="304">
        <f t="shared" ca="1" si="423"/>
        <v>35.827009044399759</v>
      </c>
      <c r="P938" s="310">
        <f t="shared" ca="1" si="424"/>
        <v>23</v>
      </c>
      <c r="Q938" s="304">
        <f t="shared" ca="1" si="425"/>
        <v>0</v>
      </c>
      <c r="R938" s="306">
        <f t="shared" ca="1" si="426"/>
        <v>0</v>
      </c>
      <c r="S938" s="307">
        <f t="shared" ca="1" si="427"/>
        <v>11.416040186296438</v>
      </c>
      <c r="T938" s="304">
        <f t="shared" ca="1" si="407"/>
        <v>111.99135422756807</v>
      </c>
      <c r="U938" s="311">
        <f t="shared" ca="1" si="408"/>
        <v>0</v>
      </c>
      <c r="V938" s="306">
        <f t="shared" ca="1" si="409"/>
        <v>0.78698320684097478</v>
      </c>
      <c r="W938" s="304">
        <f t="shared" ca="1" si="410"/>
        <v>19.854009077135057</v>
      </c>
      <c r="Y938" s="314" t="str">
        <f t="shared" ca="1" si="428"/>
        <v/>
      </c>
      <c r="Z938" s="315" t="str">
        <f t="shared" ca="1" si="429"/>
        <v/>
      </c>
      <c r="AA938" s="316" t="str">
        <f t="shared" ca="1" si="430"/>
        <v/>
      </c>
      <c r="AC938" s="310" t="e">
        <f t="shared" ca="1" si="431"/>
        <v>#N/A</v>
      </c>
      <c r="AD938" s="323" t="e">
        <f t="shared" ca="1" si="432"/>
        <v>#N/A</v>
      </c>
      <c r="AE938" s="324">
        <f t="shared" ca="1" si="411"/>
        <v>4354.0800109038455</v>
      </c>
      <c r="AG938" s="306">
        <f t="shared" ca="1" si="433"/>
        <v>-7.6152735584574316</v>
      </c>
      <c r="AH938" s="304">
        <f t="shared" ca="1" si="434"/>
        <v>-1.7795333714322761</v>
      </c>
    </row>
    <row r="939" spans="1:34" x14ac:dyDescent="0.2">
      <c r="A939" s="347">
        <f t="shared" ca="1" si="412"/>
        <v>0.1</v>
      </c>
      <c r="B939" s="304">
        <f t="shared" ca="1" si="413"/>
        <v>21.499999999999922</v>
      </c>
      <c r="D939" s="306">
        <f t="shared" ca="1" si="414"/>
        <v>-1.4100679120190756</v>
      </c>
      <c r="E939" s="307">
        <f t="shared" ca="1" si="415"/>
        <v>-10.827983849786451</v>
      </c>
      <c r="F939" s="304">
        <f t="shared" ca="1" si="416"/>
        <v>10.919410504589615</v>
      </c>
      <c r="G939" s="306">
        <f t="shared" ca="1" si="417"/>
        <v>53.982423682198878</v>
      </c>
      <c r="H939" s="307">
        <f t="shared" ca="1" si="418"/>
        <v>37.99104880162156</v>
      </c>
      <c r="I939" s="304">
        <f t="shared" ca="1" si="419"/>
        <v>66.010770754867096</v>
      </c>
      <c r="J939" s="306">
        <f t="shared" ca="1" si="420"/>
        <v>1940.4046523931167</v>
      </c>
      <c r="K939" s="307">
        <f t="shared" ca="1" si="421"/>
        <v>4357.9332557032567</v>
      </c>
      <c r="L939" s="304">
        <f t="shared" ca="1" si="406"/>
        <v>4770.4038064081369</v>
      </c>
      <c r="M939" s="306">
        <f t="shared" ca="1" si="422"/>
        <v>0.61324968601849239</v>
      </c>
      <c r="N939" s="304">
        <f t="shared" ca="1" si="423"/>
        <v>35.136618796582503</v>
      </c>
      <c r="P939" s="310">
        <f t="shared" ca="1" si="424"/>
        <v>23</v>
      </c>
      <c r="Q939" s="304">
        <f t="shared" ca="1" si="425"/>
        <v>0</v>
      </c>
      <c r="R939" s="306">
        <f t="shared" ca="1" si="426"/>
        <v>0</v>
      </c>
      <c r="S939" s="307">
        <f t="shared" ca="1" si="427"/>
        <v>11.416040186296438</v>
      </c>
      <c r="T939" s="304">
        <f t="shared" ca="1" si="407"/>
        <v>111.99135422756807</v>
      </c>
      <c r="U939" s="311">
        <f t="shared" ca="1" si="408"/>
        <v>0</v>
      </c>
      <c r="V939" s="306">
        <f t="shared" ca="1" si="409"/>
        <v>0.78666492598574467</v>
      </c>
      <c r="W939" s="304">
        <f t="shared" ca="1" si="410"/>
        <v>19.406450989071679</v>
      </c>
      <c r="Y939" s="314" t="str">
        <f t="shared" ca="1" si="428"/>
        <v/>
      </c>
      <c r="Z939" s="315" t="str">
        <f t="shared" ca="1" si="429"/>
        <v/>
      </c>
      <c r="AA939" s="316" t="str">
        <f t="shared" ca="1" si="430"/>
        <v/>
      </c>
      <c r="AC939" s="310" t="e">
        <f t="shared" ca="1" si="431"/>
        <v>#N/A</v>
      </c>
      <c r="AD939" s="323" t="e">
        <f t="shared" ca="1" si="432"/>
        <v>#N/A</v>
      </c>
      <c r="AE939" s="324">
        <f t="shared" ca="1" si="411"/>
        <v>4357.9332557032567</v>
      </c>
      <c r="AG939" s="306">
        <f t="shared" ca="1" si="433"/>
        <v>-7.4813175640981386</v>
      </c>
      <c r="AH939" s="304">
        <f t="shared" ca="1" si="434"/>
        <v>-1.7391327249327109</v>
      </c>
    </row>
    <row r="940" spans="1:34" x14ac:dyDescent="0.2">
      <c r="A940" s="347">
        <f t="shared" ca="1" si="412"/>
        <v>0.1</v>
      </c>
      <c r="B940" s="304">
        <f t="shared" ca="1" si="413"/>
        <v>21.599999999999923</v>
      </c>
      <c r="D940" s="306">
        <f t="shared" ca="1" si="414"/>
        <v>-1.390170942658645</v>
      </c>
      <c r="E940" s="307">
        <f t="shared" ca="1" si="415"/>
        <v>-10.788356444980382</v>
      </c>
      <c r="F940" s="304">
        <f t="shared" ca="1" si="416"/>
        <v>10.877555333518748</v>
      </c>
      <c r="G940" s="306">
        <f t="shared" ca="1" si="417"/>
        <v>53.843406587933011</v>
      </c>
      <c r="H940" s="307">
        <f t="shared" ca="1" si="418"/>
        <v>36.912213157123524</v>
      </c>
      <c r="I940" s="304">
        <f t="shared" ca="1" si="419"/>
        <v>65.281114521355946</v>
      </c>
      <c r="J940" s="306">
        <f t="shared" ca="1" si="420"/>
        <v>1945.7959439066233</v>
      </c>
      <c r="K940" s="307">
        <f t="shared" ca="1" si="421"/>
        <v>4361.6784188011943</v>
      </c>
      <c r="L940" s="304">
        <f t="shared" ca="1" si="406"/>
        <v>4776.0193136501821</v>
      </c>
      <c r="M940" s="306">
        <f t="shared" ca="1" si="422"/>
        <v>0.6009603065447271</v>
      </c>
      <c r="N940" s="304">
        <f t="shared" ca="1" si="423"/>
        <v>34.432489219901051</v>
      </c>
      <c r="P940" s="310">
        <f t="shared" ca="1" si="424"/>
        <v>23</v>
      </c>
      <c r="Q940" s="304">
        <f t="shared" ca="1" si="425"/>
        <v>0</v>
      </c>
      <c r="R940" s="306">
        <f t="shared" ca="1" si="426"/>
        <v>0</v>
      </c>
      <c r="S940" s="307">
        <f t="shared" ca="1" si="427"/>
        <v>11.416040186296438</v>
      </c>
      <c r="T940" s="304">
        <f t="shared" ca="1" si="407"/>
        <v>111.99135422756807</v>
      </c>
      <c r="U940" s="311">
        <f t="shared" ca="1" si="408"/>
        <v>0</v>
      </c>
      <c r="V940" s="306">
        <f t="shared" ca="1" si="409"/>
        <v>0.78635566924584765</v>
      </c>
      <c r="W940" s="304">
        <f t="shared" ca="1" si="410"/>
        <v>18.972338649657146</v>
      </c>
      <c r="Y940" s="314" t="str">
        <f t="shared" ca="1" si="428"/>
        <v/>
      </c>
      <c r="Z940" s="315" t="str">
        <f t="shared" ca="1" si="429"/>
        <v/>
      </c>
      <c r="AA940" s="316" t="str">
        <f t="shared" ca="1" si="430"/>
        <v/>
      </c>
      <c r="AC940" s="310" t="e">
        <f t="shared" ca="1" si="431"/>
        <v>#N/A</v>
      </c>
      <c r="AD940" s="323" t="e">
        <f t="shared" ca="1" si="432"/>
        <v>#N/A</v>
      </c>
      <c r="AE940" s="324">
        <f t="shared" ca="1" si="411"/>
        <v>4361.6784188011943</v>
      </c>
      <c r="AG940" s="306">
        <f t="shared" ca="1" si="433"/>
        <v>-7.3458583722424713</v>
      </c>
      <c r="AH940" s="304">
        <f t="shared" ca="1" si="434"/>
        <v>-1.6999284053297878</v>
      </c>
    </row>
    <row r="941" spans="1:34" x14ac:dyDescent="0.2">
      <c r="A941" s="347">
        <f t="shared" ca="1" si="412"/>
        <v>0.1</v>
      </c>
      <c r="B941" s="304">
        <f t="shared" ca="1" si="413"/>
        <v>21.699999999999925</v>
      </c>
      <c r="D941" s="306">
        <f t="shared" ca="1" si="414"/>
        <v>-1.3707250450474067</v>
      </c>
      <c r="E941" s="307">
        <f t="shared" ca="1" si="415"/>
        <v>-10.749697137475268</v>
      </c>
      <c r="F941" s="304">
        <f t="shared" ca="1" si="416"/>
        <v>10.83673731787221</v>
      </c>
      <c r="G941" s="306">
        <f t="shared" ca="1" si="417"/>
        <v>53.706334083428267</v>
      </c>
      <c r="H941" s="307">
        <f t="shared" ca="1" si="418"/>
        <v>35.837243443375996</v>
      </c>
      <c r="I941" s="304">
        <f t="shared" ca="1" si="419"/>
        <v>64.565302897923459</v>
      </c>
      <c r="J941" s="306">
        <f t="shared" ca="1" si="420"/>
        <v>1951.1734309401913</v>
      </c>
      <c r="K941" s="307">
        <f t="shared" ca="1" si="421"/>
        <v>4365.3158916312195</v>
      </c>
      <c r="L941" s="304">
        <f t="shared" ca="1" si="406"/>
        <v>4781.5332887406512</v>
      </c>
      <c r="M941" s="306">
        <f t="shared" ca="1" si="422"/>
        <v>0.588428140179452</v>
      </c>
      <c r="N941" s="304">
        <f t="shared" ca="1" si="423"/>
        <v>33.714448979014982</v>
      </c>
      <c r="P941" s="310">
        <f t="shared" ca="1" si="424"/>
        <v>23</v>
      </c>
      <c r="Q941" s="304">
        <f t="shared" ca="1" si="425"/>
        <v>0</v>
      </c>
      <c r="R941" s="306">
        <f t="shared" ca="1" si="426"/>
        <v>0</v>
      </c>
      <c r="S941" s="307">
        <f t="shared" ca="1" si="427"/>
        <v>11.416040186296438</v>
      </c>
      <c r="T941" s="304">
        <f t="shared" ca="1" si="407"/>
        <v>111.99135422756807</v>
      </c>
      <c r="U941" s="311">
        <f t="shared" ca="1" si="408"/>
        <v>0</v>
      </c>
      <c r="V941" s="306">
        <f t="shared" ca="1" si="409"/>
        <v>0.78605539603654717</v>
      </c>
      <c r="W941" s="304">
        <f t="shared" ca="1" si="410"/>
        <v>18.551467252924326</v>
      </c>
      <c r="Y941" s="314" t="str">
        <f t="shared" ca="1" si="428"/>
        <v/>
      </c>
      <c r="Z941" s="315" t="str">
        <f t="shared" ca="1" si="429"/>
        <v/>
      </c>
      <c r="AA941" s="316" t="str">
        <f t="shared" ca="1" si="430"/>
        <v/>
      </c>
      <c r="AC941" s="310" t="e">
        <f t="shared" ca="1" si="431"/>
        <v>#N/A</v>
      </c>
      <c r="AD941" s="323" t="e">
        <f t="shared" ca="1" si="432"/>
        <v>#N/A</v>
      </c>
      <c r="AE941" s="324">
        <f t="shared" ca="1" si="411"/>
        <v>4365.3158916312195</v>
      </c>
      <c r="AG941" s="306">
        <f t="shared" ca="1" si="433"/>
        <v>-7.2088171515485815</v>
      </c>
      <c r="AH941" s="304">
        <f t="shared" ca="1" si="434"/>
        <v>-1.6619018801660423</v>
      </c>
    </row>
    <row r="942" spans="1:34" x14ac:dyDescent="0.2">
      <c r="A942" s="347">
        <f t="shared" ca="1" si="412"/>
        <v>0.1</v>
      </c>
      <c r="B942" s="304">
        <f t="shared" ca="1" si="413"/>
        <v>21.799999999999926</v>
      </c>
      <c r="D942" s="306">
        <f t="shared" ca="1" si="414"/>
        <v>-1.3517273199073863</v>
      </c>
      <c r="E942" s="307">
        <f t="shared" ca="1" si="415"/>
        <v>-10.711982640582624</v>
      </c>
      <c r="F942" s="304">
        <f t="shared" ca="1" si="416"/>
        <v>10.796931917888873</v>
      </c>
      <c r="G942" s="306">
        <f t="shared" ca="1" si="417"/>
        <v>53.571161351437532</v>
      </c>
      <c r="H942" s="307">
        <f t="shared" ca="1" si="418"/>
        <v>34.766045179317736</v>
      </c>
      <c r="I942" s="304">
        <f t="shared" ca="1" si="419"/>
        <v>63.863504648211382</v>
      </c>
      <c r="J942" s="306">
        <f t="shared" ca="1" si="420"/>
        <v>1956.5373057119346</v>
      </c>
      <c r="K942" s="307">
        <f t="shared" ca="1" si="421"/>
        <v>4368.8460560623544</v>
      </c>
      <c r="L942" s="304">
        <f t="shared" ca="1" si="406"/>
        <v>4786.9462176020006</v>
      </c>
      <c r="M942" s="306">
        <f t="shared" ca="1" si="422"/>
        <v>0.57565038996858386</v>
      </c>
      <c r="N942" s="304">
        <f t="shared" ca="1" si="423"/>
        <v>32.982337820259836</v>
      </c>
      <c r="P942" s="310">
        <f t="shared" ca="1" si="424"/>
        <v>23</v>
      </c>
      <c r="Q942" s="304">
        <f t="shared" ca="1" si="425"/>
        <v>0</v>
      </c>
      <c r="R942" s="306">
        <f t="shared" ca="1" si="426"/>
        <v>0</v>
      </c>
      <c r="S942" s="307">
        <f t="shared" ca="1" si="427"/>
        <v>11.416040186296438</v>
      </c>
      <c r="T942" s="304">
        <f t="shared" ca="1" si="407"/>
        <v>111.99135422756807</v>
      </c>
      <c r="U942" s="311">
        <f t="shared" ca="1" si="408"/>
        <v>0</v>
      </c>
      <c r="V942" s="306">
        <f t="shared" ca="1" si="409"/>
        <v>0.78576406684468503</v>
      </c>
      <c r="W942" s="304">
        <f t="shared" ca="1" si="410"/>
        <v>18.143638534933654</v>
      </c>
      <c r="Y942" s="314" t="str">
        <f t="shared" ca="1" si="428"/>
        <v/>
      </c>
      <c r="Z942" s="315" t="str">
        <f t="shared" ca="1" si="429"/>
        <v/>
      </c>
      <c r="AA942" s="316" t="str">
        <f t="shared" ca="1" si="430"/>
        <v/>
      </c>
      <c r="AC942" s="310" t="e">
        <f t="shared" ca="1" si="431"/>
        <v>#N/A</v>
      </c>
      <c r="AD942" s="323" t="e">
        <f t="shared" ca="1" si="432"/>
        <v>#N/A</v>
      </c>
      <c r="AE942" s="324">
        <f t="shared" ca="1" si="411"/>
        <v>4368.8460560623544</v>
      </c>
      <c r="AG942" s="306">
        <f t="shared" ca="1" si="433"/>
        <v>-7.0701170473266934</v>
      </c>
      <c r="AH942" s="304">
        <f t="shared" ca="1" si="434"/>
        <v>-1.6250352092482203</v>
      </c>
    </row>
    <row r="943" spans="1:34" x14ac:dyDescent="0.2">
      <c r="A943" s="347">
        <f t="shared" ca="1" si="412"/>
        <v>0.1</v>
      </c>
      <c r="B943" s="304">
        <f t="shared" ca="1" si="413"/>
        <v>21.899999999999928</v>
      </c>
      <c r="D943" s="306">
        <f t="shared" ca="1" si="414"/>
        <v>-1.3331751498825177</v>
      </c>
      <c r="E943" s="307">
        <f t="shared" ca="1" si="415"/>
        <v>-10.675189895524182</v>
      </c>
      <c r="F943" s="304">
        <f t="shared" ca="1" si="416"/>
        <v>10.758114857435102</v>
      </c>
      <c r="G943" s="306">
        <f t="shared" ca="1" si="417"/>
        <v>53.437843836449282</v>
      </c>
      <c r="H943" s="307">
        <f t="shared" ca="1" si="418"/>
        <v>33.698526189765317</v>
      </c>
      <c r="I943" s="304">
        <f t="shared" ca="1" si="419"/>
        <v>63.175895887997022</v>
      </c>
      <c r="J943" s="306">
        <f t="shared" ca="1" si="420"/>
        <v>1961.8877559713289</v>
      </c>
      <c r="K943" s="307">
        <f t="shared" ca="1" si="421"/>
        <v>4372.2692846308082</v>
      </c>
      <c r="L943" s="304">
        <f t="shared" ca="1" si="406"/>
        <v>4792.2585765332215</v>
      </c>
      <c r="M943" s="306">
        <f t="shared" ca="1" si="422"/>
        <v>0.56262447636607738</v>
      </c>
      <c r="N943" s="304">
        <f t="shared" ca="1" si="423"/>
        <v>32.236007946534166</v>
      </c>
      <c r="P943" s="310">
        <f t="shared" ca="1" si="424"/>
        <v>23</v>
      </c>
      <c r="Q943" s="304">
        <f t="shared" ca="1" si="425"/>
        <v>0</v>
      </c>
      <c r="R943" s="306">
        <f t="shared" ca="1" si="426"/>
        <v>0</v>
      </c>
      <c r="S943" s="307">
        <f t="shared" ca="1" si="427"/>
        <v>11.416040186296438</v>
      </c>
      <c r="T943" s="304">
        <f t="shared" ca="1" si="407"/>
        <v>111.99135422756807</v>
      </c>
      <c r="U943" s="311">
        <f t="shared" ca="1" si="408"/>
        <v>0</v>
      </c>
      <c r="V943" s="306">
        <f t="shared" ca="1" si="409"/>
        <v>0.78548164320502889</v>
      </c>
      <c r="W943" s="304">
        <f t="shared" ca="1" si="410"/>
        <v>17.74866056165796</v>
      </c>
      <c r="Y943" s="314" t="str">
        <f t="shared" ca="1" si="428"/>
        <v/>
      </c>
      <c r="Z943" s="315" t="str">
        <f t="shared" ca="1" si="429"/>
        <v/>
      </c>
      <c r="AA943" s="316" t="str">
        <f t="shared" ca="1" si="430"/>
        <v/>
      </c>
      <c r="AC943" s="310" t="e">
        <f t="shared" ca="1" si="431"/>
        <v>#N/A</v>
      </c>
      <c r="AD943" s="323" t="e">
        <f t="shared" ca="1" si="432"/>
        <v>#N/A</v>
      </c>
      <c r="AE943" s="324">
        <f t="shared" ca="1" si="411"/>
        <v>4372.2692846308082</v>
      </c>
      <c r="AG943" s="306">
        <f t="shared" ca="1" si="433"/>
        <v>-6.9296835134159469</v>
      </c>
      <c r="AH943" s="304">
        <f t="shared" ca="1" si="434"/>
        <v>-1.5893110254388274</v>
      </c>
    </row>
    <row r="944" spans="1:34" x14ac:dyDescent="0.2">
      <c r="A944" s="347">
        <f t="shared" ca="1" si="412"/>
        <v>0.1</v>
      </c>
      <c r="B944" s="304">
        <f t="shared" ca="1" si="413"/>
        <v>21.999999999999929</v>
      </c>
      <c r="D944" s="306">
        <f t="shared" ca="1" si="414"/>
        <v>-1.3150661890401432</v>
      </c>
      <c r="E944" s="307">
        <f t="shared" ca="1" si="415"/>
        <v>-10.63929604248772</v>
      </c>
      <c r="F944" s="304">
        <f t="shared" ca="1" si="416"/>
        <v>10.720262093869321</v>
      </c>
      <c r="G944" s="306">
        <f t="shared" ca="1" si="417"/>
        <v>53.30633721754527</v>
      </c>
      <c r="H944" s="307">
        <f t="shared" ca="1" si="418"/>
        <v>32.634596585516547</v>
      </c>
      <c r="I944" s="304">
        <f t="shared" ca="1" si="419"/>
        <v>62.50265979820427</v>
      </c>
      <c r="J944" s="306">
        <f t="shared" ca="1" si="420"/>
        <v>1967.2249650240287</v>
      </c>
      <c r="K944" s="307">
        <f t="shared" ca="1" si="421"/>
        <v>4375.5859407695725</v>
      </c>
      <c r="L944" s="304">
        <f t="shared" ca="1" si="406"/>
        <v>4797.4708324359972</v>
      </c>
      <c r="M944" s="306">
        <f t="shared" ca="1" si="422"/>
        <v>0.54934806245001822</v>
      </c>
      <c r="N944" s="304">
        <f t="shared" ca="1" si="423"/>
        <v>31.475325462075222</v>
      </c>
      <c r="P944" s="310">
        <f t="shared" ca="1" si="424"/>
        <v>23</v>
      </c>
      <c r="Q944" s="304">
        <f t="shared" ca="1" si="425"/>
        <v>0</v>
      </c>
      <c r="R944" s="306">
        <f t="shared" ca="1" si="426"/>
        <v>0</v>
      </c>
      <c r="S944" s="307">
        <f t="shared" ca="1" si="427"/>
        <v>11.416040186296438</v>
      </c>
      <c r="T944" s="304">
        <f t="shared" ca="1" si="407"/>
        <v>111.99135422756807</v>
      </c>
      <c r="U944" s="311">
        <f t="shared" ca="1" si="408"/>
        <v>0</v>
      </c>
      <c r="V944" s="306">
        <f t="shared" ca="1" si="409"/>
        <v>0.78520808767696848</v>
      </c>
      <c r="W944" s="304">
        <f t="shared" ca="1" si="410"/>
        <v>17.366347523654344</v>
      </c>
      <c r="Y944" s="314" t="str">
        <f t="shared" ca="1" si="428"/>
        <v/>
      </c>
      <c r="Z944" s="315" t="str">
        <f t="shared" ca="1" si="429"/>
        <v>Para</v>
      </c>
      <c r="AA944" s="316" t="str">
        <f t="shared" ca="1" si="430"/>
        <v/>
      </c>
      <c r="AC944" s="310">
        <f t="shared" ca="1" si="431"/>
        <v>21.999999999999929</v>
      </c>
      <c r="AD944" s="323">
        <f t="shared" ca="1" si="432"/>
        <v>1967.2249650240287</v>
      </c>
      <c r="AE944" s="324">
        <f t="shared" ca="1" si="411"/>
        <v>4375.5859407695725</v>
      </c>
      <c r="AG944" s="306">
        <f t="shared" ca="1" si="433"/>
        <v>-6.7874446724613859</v>
      </c>
      <c r="AH944" s="304">
        <f t="shared" ca="1" si="434"/>
        <v>-1.5547125160756756</v>
      </c>
    </row>
    <row r="945" spans="1:34" x14ac:dyDescent="0.2">
      <c r="A945" s="347">
        <f t="shared" ca="1" si="412"/>
        <v>0.1</v>
      </c>
      <c r="B945" s="304">
        <f t="shared" ca="1" si="413"/>
        <v>22.09999999999993</v>
      </c>
      <c r="D945" s="306">
        <f t="shared" ca="1" si="414"/>
        <v>-1.2973983518655543</v>
      </c>
      <c r="E945" s="307">
        <f t="shared" ca="1" si="415"/>
        <v>-10.604278392286735</v>
      </c>
      <c r="F945" s="304">
        <f t="shared" ca="1" si="416"/>
        <v>10.683349788551473</v>
      </c>
      <c r="G945" s="306">
        <f t="shared" ca="1" si="417"/>
        <v>53.176597382358715</v>
      </c>
      <c r="H945" s="307">
        <f t="shared" ca="1" si="418"/>
        <v>31.574168746287874</v>
      </c>
      <c r="I945" s="304">
        <f t="shared" ca="1" si="419"/>
        <v>61.843986297655022</v>
      </c>
      <c r="J945" s="306">
        <f t="shared" ca="1" si="420"/>
        <v>1972.5491117540239</v>
      </c>
      <c r="K945" s="307">
        <f t="shared" ca="1" si="421"/>
        <v>4378.7963790361628</v>
      </c>
      <c r="L945" s="304">
        <f t="shared" ca="1" si="406"/>
        <v>4802.5834430379036</v>
      </c>
      <c r="M945" s="306">
        <f t="shared" ca="1" si="422"/>
        <v>0.53581908029951519</v>
      </c>
      <c r="N945" s="304">
        <f t="shared" ca="1" si="423"/>
        <v>30.700171883743575</v>
      </c>
      <c r="P945" s="310">
        <f t="shared" ca="1" si="424"/>
        <v>23</v>
      </c>
      <c r="Q945" s="304">
        <f t="shared" ca="1" si="425"/>
        <v>0</v>
      </c>
      <c r="R945" s="306">
        <f t="shared" ca="1" si="426"/>
        <v>0</v>
      </c>
      <c r="S945" s="307">
        <f t="shared" ca="1" si="427"/>
        <v>11.416040186296438</v>
      </c>
      <c r="T945" s="304">
        <f t="shared" ca="1" si="407"/>
        <v>111.99135422756807</v>
      </c>
      <c r="U945" s="311">
        <f t="shared" ca="1" si="408"/>
        <v>0</v>
      </c>
      <c r="V945" s="306">
        <f t="shared" ca="1" si="409"/>
        <v>0.78494336382152685</v>
      </c>
      <c r="W945" s="304">
        <f t="shared" ca="1" si="410"/>
        <v>16.996519537156313</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-6.6433317046573102</v>
      </c>
      <c r="AH945" s="304">
        <f t="shared" ca="1" si="434"/>
        <v>-1.5212234049859532</v>
      </c>
    </row>
    <row r="946" spans="1:34" x14ac:dyDescent="0.2">
      <c r="A946" s="347">
        <f t="shared" ca="1" si="412"/>
        <v>0.1</v>
      </c>
      <c r="B946" s="304">
        <f t="shared" ca="1" si="413"/>
        <v>22.199999999999932</v>
      </c>
      <c r="D946" s="306">
        <f t="shared" ca="1" si="414"/>
        <v>-1.2801698016907859</v>
      </c>
      <c r="E946" s="307">
        <f t="shared" ca="1" si="415"/>
        <v>-10.570114398667714</v>
      </c>
      <c r="F946" s="304">
        <f t="shared" ca="1" si="416"/>
        <v>10.647354278039384</v>
      </c>
      <c r="G946" s="306">
        <f t="shared" ca="1" si="417"/>
        <v>53.048580402189636</v>
      </c>
      <c r="H946" s="307">
        <f t="shared" ca="1" si="418"/>
        <v>30.517157306421105</v>
      </c>
      <c r="I946" s="304">
        <f t="shared" ca="1" si="419"/>
        <v>61.200071672771998</v>
      </c>
      <c r="J946" s="306">
        <f t="shared" ca="1" si="420"/>
        <v>1977.8603706432514</v>
      </c>
      <c r="K946" s="307">
        <f t="shared" ca="1" si="421"/>
        <v>4381.900945338798</v>
      </c>
      <c r="L946" s="304">
        <f t="shared" ca="1" si="406"/>
        <v>4807.5968571129288</v>
      </c>
      <c r="M946" s="306">
        <f t="shared" ca="1" si="422"/>
        <v>0.52203575845171268</v>
      </c>
      <c r="N946" s="304">
        <f t="shared" ca="1" si="423"/>
        <v>29.910445714194033</v>
      </c>
      <c r="P946" s="310">
        <f t="shared" ca="1" si="424"/>
        <v>23</v>
      </c>
      <c r="Q946" s="304">
        <f t="shared" ca="1" si="425"/>
        <v>0</v>
      </c>
      <c r="R946" s="306">
        <f t="shared" ca="1" si="426"/>
        <v>0</v>
      </c>
      <c r="S946" s="307">
        <f t="shared" ca="1" si="427"/>
        <v>11.416040186296438</v>
      </c>
      <c r="T946" s="304">
        <f t="shared" ca="1" si="407"/>
        <v>111.99135422756807</v>
      </c>
      <c r="U946" s="311">
        <f t="shared" ca="1" si="408"/>
        <v>0</v>
      </c>
      <c r="V946" s="306">
        <f t="shared" ca="1" si="409"/>
        <v>0.78468743617866099</v>
      </c>
      <c r="W946" s="304">
        <f t="shared" ca="1" si="410"/>
        <v>16.6390024512358</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-6.4972792646760951</v>
      </c>
      <c r="AH946" s="304">
        <f t="shared" ca="1" si="434"/>
        <v>-1.4888279350626812</v>
      </c>
    </row>
    <row r="947" spans="1:34" x14ac:dyDescent="0.2">
      <c r="A947" s="347">
        <f t="shared" ca="1" si="412"/>
        <v>0.1</v>
      </c>
      <c r="B947" s="304">
        <f t="shared" ca="1" si="413"/>
        <v>22.299999999999933</v>
      </c>
      <c r="D947" s="306">
        <f t="shared" ca="1" si="414"/>
        <v>-1.2633789385007659</v>
      </c>
      <c r="E947" s="307">
        <f t="shared" ca="1" si="415"/>
        <v>-10.53678163131875</v>
      </c>
      <c r="F947" s="304">
        <f t="shared" ca="1" si="416"/>
        <v>10.612252046024139</v>
      </c>
      <c r="G947" s="306">
        <f t="shared" ca="1" si="417"/>
        <v>52.922242508339558</v>
      </c>
      <c r="H947" s="307">
        <f t="shared" ca="1" si="418"/>
        <v>29.463479143289231</v>
      </c>
      <c r="I947" s="304">
        <f t="shared" ca="1" si="419"/>
        <v>60.57111816153423</v>
      </c>
      <c r="J947" s="306">
        <f t="shared" ca="1" si="420"/>
        <v>1983.1589117887779</v>
      </c>
      <c r="K947" s="307">
        <f t="shared" ca="1" si="421"/>
        <v>4384.8999771612835</v>
      </c>
      <c r="L947" s="304">
        <f t="shared" ca="1" si="406"/>
        <v>4812.511514699604</v>
      </c>
      <c r="M947" s="306">
        <f t="shared" ca="1" si="422"/>
        <v>0.50799665033433439</v>
      </c>
      <c r="N947" s="304">
        <f t="shared" ca="1" si="423"/>
        <v>29.106064070940402</v>
      </c>
      <c r="P947" s="310">
        <f t="shared" ca="1" si="424"/>
        <v>23</v>
      </c>
      <c r="Q947" s="304">
        <f t="shared" ca="1" si="425"/>
        <v>0</v>
      </c>
      <c r="R947" s="306">
        <f t="shared" ca="1" si="426"/>
        <v>0</v>
      </c>
      <c r="S947" s="307">
        <f t="shared" ca="1" si="427"/>
        <v>11.416040186296438</v>
      </c>
      <c r="T947" s="304">
        <f t="shared" ca="1" si="407"/>
        <v>111.99135422756807</v>
      </c>
      <c r="U947" s="311">
        <f t="shared" ca="1" si="408"/>
        <v>0</v>
      </c>
      <c r="V947" s="306">
        <f t="shared" ca="1" si="409"/>
        <v>0.78444027024482521</v>
      </c>
      <c r="W947" s="304">
        <f t="shared" ca="1" si="410"/>
        <v>16.293627660699393</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-6.3492259260985522</v>
      </c>
      <c r="AH947" s="304">
        <f t="shared" ca="1" si="434"/>
        <v>-1.4575108513728683</v>
      </c>
    </row>
    <row r="948" spans="1:34" x14ac:dyDescent="0.2">
      <c r="A948" s="347">
        <f t="shared" ca="1" si="412"/>
        <v>0.1</v>
      </c>
      <c r="B948" s="304">
        <f t="shared" ca="1" si="413"/>
        <v>22.399999999999935</v>
      </c>
      <c r="D948" s="306">
        <f t="shared" ca="1" si="414"/>
        <v>-1.2470243860625352</v>
      </c>
      <c r="E948" s="307">
        <f t="shared" ca="1" si="415"/>
        <v>-10.504257749643484</v>
      </c>
      <c r="F948" s="304">
        <f t="shared" ca="1" si="416"/>
        <v>10.578019696066926</v>
      </c>
      <c r="G948" s="306">
        <f t="shared" ca="1" si="417"/>
        <v>52.797540069733301</v>
      </c>
      <c r="H948" s="307">
        <f t="shared" ca="1" si="418"/>
        <v>28.413053368324881</v>
      </c>
      <c r="I948" s="304">
        <f t="shared" ca="1" si="419"/>
        <v>59.957333489126846</v>
      </c>
      <c r="J948" s="306">
        <f t="shared" ca="1" si="420"/>
        <v>1988.4449009176815</v>
      </c>
      <c r="K948" s="307">
        <f t="shared" ca="1" si="421"/>
        <v>4387.7938037868644</v>
      </c>
      <c r="L948" s="304">
        <f t="shared" ca="1" si="406"/>
        <v>4817.3278473170085</v>
      </c>
      <c r="M948" s="306">
        <f t="shared" ca="1" si="422"/>
        <v>0.49370066354314374</v>
      </c>
      <c r="N948" s="304">
        <f t="shared" ca="1" si="423"/>
        <v>28.286964363830403</v>
      </c>
      <c r="P948" s="310">
        <f t="shared" ca="1" si="424"/>
        <v>23</v>
      </c>
      <c r="Q948" s="304">
        <f t="shared" ca="1" si="425"/>
        <v>0</v>
      </c>
      <c r="R948" s="306">
        <f t="shared" ca="1" si="426"/>
        <v>0</v>
      </c>
      <c r="S948" s="307">
        <f t="shared" ca="1" si="427"/>
        <v>11.416040186296438</v>
      </c>
      <c r="T948" s="304">
        <f t="shared" ca="1" si="407"/>
        <v>111.99135422756807</v>
      </c>
      <c r="U948" s="311">
        <f t="shared" ca="1" si="408"/>
        <v>0</v>
      </c>
      <c r="V948" s="306">
        <f t="shared" ca="1" si="409"/>
        <v>0.7842018324507658</v>
      </c>
      <c r="W948" s="304">
        <f t="shared" ca="1" si="410"/>
        <v>15.960231924397535</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-6.1991146522010805</v>
      </c>
      <c r="AH948" s="304">
        <f t="shared" ca="1" si="434"/>
        <v>-1.4272573847679604</v>
      </c>
    </row>
    <row r="949" spans="1:34" x14ac:dyDescent="0.2">
      <c r="A949" s="347">
        <f t="shared" ca="1" si="412"/>
        <v>0.1</v>
      </c>
      <c r="B949" s="304">
        <f t="shared" ca="1" si="413"/>
        <v>22.499999999999936</v>
      </c>
      <c r="D949" s="306">
        <f t="shared" ca="1" si="414"/>
        <v>-1.2311049783268002</v>
      </c>
      <c r="E949" s="307">
        <f t="shared" ca="1" si="415"/>
        <v>-10.472520477374706</v>
      </c>
      <c r="F949" s="304">
        <f t="shared" ca="1" si="416"/>
        <v>10.544633925210187</v>
      </c>
      <c r="G949" s="306">
        <f t="shared" ca="1" si="417"/>
        <v>52.674429571900625</v>
      </c>
      <c r="H949" s="307">
        <f t="shared" ca="1" si="418"/>
        <v>27.365801320587412</v>
      </c>
      <c r="I949" s="304">
        <f t="shared" ca="1" si="419"/>
        <v>59.358930352921476</v>
      </c>
      <c r="J949" s="306">
        <f t="shared" ca="1" si="420"/>
        <v>1993.7184993997632</v>
      </c>
      <c r="K949" s="307">
        <f t="shared" ca="1" si="421"/>
        <v>4390.5827465213097</v>
      </c>
      <c r="L949" s="304">
        <f t="shared" ca="1" si="406"/>
        <v>4822.0462781789483</v>
      </c>
      <c r="M949" s="306">
        <f t="shared" ca="1" si="422"/>
        <v>0.47914708980569981</v>
      </c>
      <c r="N949" s="304">
        <f t="shared" ca="1" si="423"/>
        <v>27.453106011842433</v>
      </c>
      <c r="P949" s="310">
        <f t="shared" ca="1" si="424"/>
        <v>23</v>
      </c>
      <c r="Q949" s="304">
        <f t="shared" ca="1" si="425"/>
        <v>0</v>
      </c>
      <c r="R949" s="306">
        <f t="shared" ca="1" si="426"/>
        <v>0</v>
      </c>
      <c r="S949" s="307">
        <f t="shared" ca="1" si="427"/>
        <v>11.416040186296438</v>
      </c>
      <c r="T949" s="304">
        <f t="shared" ca="1" si="407"/>
        <v>111.99135422756807</v>
      </c>
      <c r="U949" s="311">
        <f t="shared" ca="1" si="408"/>
        <v>0</v>
      </c>
      <c r="V949" s="306">
        <f t="shared" ca="1" si="409"/>
        <v>0.78397209013952707</v>
      </c>
      <c r="W949" s="304">
        <f t="shared" ca="1" si="410"/>
        <v>15.63865718863992</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-6.0468932914357989</v>
      </c>
      <c r="AH949" s="304">
        <f t="shared" ca="1" si="434"/>
        <v>-1.3980532359684441</v>
      </c>
    </row>
    <row r="950" spans="1:34" x14ac:dyDescent="0.2">
      <c r="A950" s="347">
        <f t="shared" ca="1" si="412"/>
        <v>0.1</v>
      </c>
      <c r="B950" s="304">
        <f t="shared" ca="1" si="413"/>
        <v>22.599999999999937</v>
      </c>
      <c r="D950" s="306">
        <f t="shared" ca="1" si="414"/>
        <v>-1.2156197450556891</v>
      </c>
      <c r="E950" s="307">
        <f t="shared" ca="1" si="415"/>
        <v>-10.441547578112232</v>
      </c>
      <c r="F950" s="304">
        <f t="shared" ca="1" si="416"/>
        <v>10.512071498546359</v>
      </c>
      <c r="G950" s="306">
        <f t="shared" ca="1" si="417"/>
        <v>52.552867597395057</v>
      </c>
      <c r="H950" s="307">
        <f t="shared" ca="1" si="418"/>
        <v>26.321646562776188</v>
      </c>
      <c r="I950" s="304">
        <f t="shared" ca="1" si="419"/>
        <v>58.77612585467881</v>
      </c>
      <c r="J950" s="306">
        <f t="shared" ca="1" si="420"/>
        <v>1998.979864258228</v>
      </c>
      <c r="K950" s="307">
        <f t="shared" ca="1" si="421"/>
        <v>4393.267118915478</v>
      </c>
      <c r="L950" s="304">
        <f t="shared" ca="1" si="406"/>
        <v>4826.6672224065487</v>
      </c>
      <c r="M950" s="306">
        <f t="shared" ca="1" si="422"/>
        <v>0.46433563544308559</v>
      </c>
      <c r="N950" s="304">
        <f t="shared" ca="1" si="423"/>
        <v>26.604472188414004</v>
      </c>
      <c r="P950" s="310">
        <f t="shared" ca="1" si="424"/>
        <v>23</v>
      </c>
      <c r="Q950" s="304">
        <f t="shared" ca="1" si="425"/>
        <v>0</v>
      </c>
      <c r="R950" s="306">
        <f t="shared" ca="1" si="426"/>
        <v>0</v>
      </c>
      <c r="S950" s="307">
        <f t="shared" ca="1" si="427"/>
        <v>11.416040186296438</v>
      </c>
      <c r="T950" s="304">
        <f t="shared" ca="1" si="407"/>
        <v>111.99135422756807</v>
      </c>
      <c r="U950" s="311">
        <f t="shared" ca="1" si="408"/>
        <v>0</v>
      </c>
      <c r="V950" s="306">
        <f t="shared" ca="1" si="409"/>
        <v>0.783751011544637</v>
      </c>
      <c r="W950" s="304">
        <f t="shared" ca="1" si="410"/>
        <v>15.32875041542367</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-5.8925150953636223</v>
      </c>
      <c r="AH950" s="304">
        <f t="shared" ca="1" si="434"/>
        <v>-1.3698845600957341</v>
      </c>
    </row>
    <row r="951" spans="1:34" x14ac:dyDescent="0.2">
      <c r="A951" s="347">
        <f t="shared" ca="1" si="412"/>
        <v>0.1</v>
      </c>
      <c r="B951" s="304">
        <f t="shared" ca="1" si="413"/>
        <v>22.699999999999939</v>
      </c>
      <c r="D951" s="306">
        <f t="shared" ca="1" si="414"/>
        <v>-1.2005678966362578</v>
      </c>
      <c r="E951" s="307">
        <f t="shared" ca="1" si="415"/>
        <v>-10.41131683188001</v>
      </c>
      <c r="F951" s="304">
        <f t="shared" ca="1" si="416"/>
        <v>10.480309224837864</v>
      </c>
      <c r="G951" s="306">
        <f t="shared" ca="1" si="417"/>
        <v>52.432810807731428</v>
      </c>
      <c r="H951" s="307">
        <f t="shared" ca="1" si="418"/>
        <v>25.280514879588186</v>
      </c>
      <c r="I951" s="304">
        <f t="shared" ca="1" si="419"/>
        <v>58.20914087818543</v>
      </c>
      <c r="J951" s="306">
        <f t="shared" ca="1" si="420"/>
        <v>2004.2291481784844</v>
      </c>
      <c r="K951" s="307">
        <f t="shared" ca="1" si="421"/>
        <v>4395.8472269875965</v>
      </c>
      <c r="L951" s="304">
        <f t="shared" ca="1" si="406"/>
        <v>4831.1910872395429</v>
      </c>
      <c r="M951" s="306">
        <f t="shared" ca="1" si="422"/>
        <v>0.44926645211019728</v>
      </c>
      <c r="N951" s="304">
        <f t="shared" ca="1" si="423"/>
        <v>25.741071582730623</v>
      </c>
      <c r="P951" s="310">
        <f t="shared" ca="1" si="424"/>
        <v>23</v>
      </c>
      <c r="Q951" s="304">
        <f t="shared" ca="1" si="425"/>
        <v>0</v>
      </c>
      <c r="R951" s="306">
        <f t="shared" ca="1" si="426"/>
        <v>0</v>
      </c>
      <c r="S951" s="307">
        <f t="shared" ca="1" si="427"/>
        <v>11.416040186296438</v>
      </c>
      <c r="T951" s="304">
        <f t="shared" ca="1" si="407"/>
        <v>111.99135422756807</v>
      </c>
      <c r="U951" s="311">
        <f t="shared" ca="1" si="408"/>
        <v>0</v>
      </c>
      <c r="V951" s="306">
        <f t="shared" ca="1" si="409"/>
        <v>0.78353856576845482</v>
      </c>
      <c r="W951" s="304">
        <f t="shared" ca="1" si="410"/>
        <v>15.030363415194632</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-5.7359392561699316</v>
      </c>
      <c r="AH951" s="304">
        <f t="shared" ca="1" si="434"/>
        <v>-1.3427379516256401</v>
      </c>
    </row>
    <row r="952" spans="1:34" x14ac:dyDescent="0.2">
      <c r="A952" s="347">
        <f t="shared" ca="1" si="412"/>
        <v>0.1</v>
      </c>
      <c r="B952" s="304">
        <f t="shared" ca="1" si="413"/>
        <v>22.79999999999994</v>
      </c>
      <c r="D952" s="306">
        <f t="shared" ca="1" si="414"/>
        <v>-1.1859488080462202</v>
      </c>
      <c r="E952" s="307">
        <f t="shared" ca="1" si="415"/>
        <v>-10.381806012807184</v>
      </c>
      <c r="F952" s="304">
        <f t="shared" ca="1" si="416"/>
        <v>10.44932393329184</v>
      </c>
      <c r="G952" s="306">
        <f t="shared" ca="1" si="417"/>
        <v>52.314215926926806</v>
      </c>
      <c r="H952" s="307">
        <f t="shared" ca="1" si="418"/>
        <v>24.242334278307467</v>
      </c>
      <c r="I952" s="304">
        <f t="shared" ca="1" si="419"/>
        <v>57.658199410927878</v>
      </c>
      <c r="J952" s="306">
        <f t="shared" ca="1" si="420"/>
        <v>2009.4664995152173</v>
      </c>
      <c r="K952" s="307">
        <f t="shared" ca="1" si="421"/>
        <v>4398.3233694454912</v>
      </c>
      <c r="L952" s="304">
        <f t="shared" ca="1" si="406"/>
        <v>4835.6182722465055</v>
      </c>
      <c r="M952" s="306">
        <f t="shared" ca="1" si="422"/>
        <v>0.4339401675631816</v>
      </c>
      <c r="N952" s="304">
        <f t="shared" ca="1" si="423"/>
        <v>24.862940162570052</v>
      </c>
      <c r="P952" s="310">
        <f t="shared" ca="1" si="424"/>
        <v>23</v>
      </c>
      <c r="Q952" s="304">
        <f t="shared" ca="1" si="425"/>
        <v>0</v>
      </c>
      <c r="R952" s="306">
        <f t="shared" ca="1" si="426"/>
        <v>0</v>
      </c>
      <c r="S952" s="307">
        <f t="shared" ca="1" si="427"/>
        <v>11.416040186296438</v>
      </c>
      <c r="T952" s="304">
        <f t="shared" ca="1" si="407"/>
        <v>111.99135422756807</v>
      </c>
      <c r="U952" s="311">
        <f t="shared" ca="1" si="408"/>
        <v>0</v>
      </c>
      <c r="V952" s="306">
        <f t="shared" ca="1" si="409"/>
        <v>0.78333472276065019</v>
      </c>
      <c r="W952" s="304">
        <f t="shared" ca="1" si="410"/>
        <v>14.743352683875091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-5.5771314602132351</v>
      </c>
      <c r="AH952" s="304">
        <f t="shared" ca="1" si="434"/>
        <v>-1.3166004297389167</v>
      </c>
    </row>
    <row r="953" spans="1:34" x14ac:dyDescent="0.2">
      <c r="A953" s="347">
        <f t="shared" ca="1" si="412"/>
        <v>0.1</v>
      </c>
      <c r="B953" s="304">
        <f t="shared" ca="1" si="413"/>
        <v>22.899999999999942</v>
      </c>
      <c r="D953" s="306">
        <f t="shared" ca="1" si="414"/>
        <v>-1.171762001946558</v>
      </c>
      <c r="E953" s="307">
        <f t="shared" ca="1" si="415"/>
        <v>-10.352992868047291</v>
      </c>
      <c r="F953" s="304">
        <f t="shared" ca="1" si="416"/>
        <v>10.419092451602678</v>
      </c>
      <c r="G953" s="306">
        <f t="shared" ca="1" si="417"/>
        <v>52.19703972673215</v>
      </c>
      <c r="H953" s="307">
        <f t="shared" ca="1" si="418"/>
        <v>23.207034991502738</v>
      </c>
      <c r="I953" s="304">
        <f t="shared" ca="1" si="419"/>
        <v>57.123527808871245</v>
      </c>
      <c r="J953" s="306">
        <f t="shared" ca="1" si="420"/>
        <v>2014.6920622979003</v>
      </c>
      <c r="K953" s="307">
        <f t="shared" ca="1" si="421"/>
        <v>4400.695837908982</v>
      </c>
      <c r="L953" s="304">
        <f t="shared" ca="1" si="406"/>
        <v>4839.949169534284</v>
      </c>
      <c r="M953" s="306">
        <f t="shared" ca="1" si="422"/>
        <v>0.41835791617023904</v>
      </c>
      <c r="N953" s="304">
        <f t="shared" ca="1" si="423"/>
        <v>23.970142922442594</v>
      </c>
      <c r="P953" s="310">
        <f t="shared" ca="1" si="424"/>
        <v>23</v>
      </c>
      <c r="Q953" s="304">
        <f t="shared" ca="1" si="425"/>
        <v>0</v>
      </c>
      <c r="R953" s="306">
        <f t="shared" ca="1" si="426"/>
        <v>0</v>
      </c>
      <c r="S953" s="307">
        <f t="shared" ca="1" si="427"/>
        <v>11.416040186296438</v>
      </c>
      <c r="T953" s="304">
        <f t="shared" ca="1" si="407"/>
        <v>111.99135422756807</v>
      </c>
      <c r="U953" s="311">
        <f t="shared" ca="1" si="408"/>
        <v>0</v>
      </c>
      <c r="V953" s="306">
        <f t="shared" ca="1" si="409"/>
        <v>0.78313945329679824</v>
      </c>
      <c r="W953" s="304">
        <f t="shared" ca="1" si="410"/>
        <v>14.467579243904604</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-5.4160644533368796</v>
      </c>
      <c r="AH953" s="304">
        <f t="shared" ca="1" si="434"/>
        <v>-1.2914594240455359</v>
      </c>
    </row>
    <row r="954" spans="1:34" x14ac:dyDescent="0.2">
      <c r="A954" s="347">
        <f t="shared" ca="1" si="412"/>
        <v>0.1</v>
      </c>
      <c r="B954" s="304">
        <f t="shared" ca="1" si="413"/>
        <v>22.999999999999943</v>
      </c>
      <c r="D954" s="306">
        <f t="shared" ca="1" si="414"/>
        <v>-1.15800713088522</v>
      </c>
      <c r="E954" s="307">
        <f t="shared" ca="1" si="415"/>
        <v>-10.324855098058364</v>
      </c>
      <c r="F954" s="304">
        <f t="shared" ca="1" si="416"/>
        <v>10.389591585384037</v>
      </c>
      <c r="G954" s="306">
        <f t="shared" ca="1" si="417"/>
        <v>52.081239013643625</v>
      </c>
      <c r="H954" s="307">
        <f t="shared" ca="1" si="418"/>
        <v>22.1745494816969</v>
      </c>
      <c r="I954" s="304">
        <f t="shared" ca="1" si="419"/>
        <v>56.605354003950005</v>
      </c>
      <c r="J954" s="306">
        <f t="shared" ca="1" si="420"/>
        <v>2019.9059762349191</v>
      </c>
      <c r="K954" s="307">
        <f t="shared" ca="1" si="421"/>
        <v>4402.9649171326419</v>
      </c>
      <c r="L954" s="304">
        <f t="shared" ca="1" si="406"/>
        <v>4844.1841639568574</v>
      </c>
      <c r="M954" s="306">
        <f t="shared" ca="1" si="422"/>
        <v>0.40252136884995604</v>
      </c>
      <c r="N954" s="304">
        <f t="shared" ca="1" si="423"/>
        <v>23.062775598931164</v>
      </c>
      <c r="P954" s="310">
        <f t="shared" ca="1" si="424"/>
        <v>23</v>
      </c>
      <c r="Q954" s="304">
        <f t="shared" ca="1" si="425"/>
        <v>0</v>
      </c>
      <c r="R954" s="306">
        <f t="shared" ca="1" si="426"/>
        <v>0</v>
      </c>
      <c r="S954" s="307">
        <f t="shared" ca="1" si="427"/>
        <v>11.416040186296438</v>
      </c>
      <c r="T954" s="304">
        <f t="shared" ca="1" si="407"/>
        <v>111.99135422756807</v>
      </c>
      <c r="U954" s="311">
        <f t="shared" ca="1" si="408"/>
        <v>0</v>
      </c>
      <c r="V954" s="306">
        <f t="shared" ca="1" si="409"/>
        <v>0.78295272895706491</v>
      </c>
      <c r="W954" s="304">
        <f t="shared" ca="1" si="410"/>
        <v>14.202908489053211</v>
      </c>
      <c r="Y954" s="314" t="str">
        <f t="shared" ca="1" si="428"/>
        <v/>
      </c>
      <c r="Z954" s="315" t="str">
        <f t="shared" ca="1" si="429"/>
        <v/>
      </c>
      <c r="AA954" s="316" t="str">
        <f t="shared" ca="1" si="430"/>
        <v/>
      </c>
      <c r="AC954" s="310">
        <f t="shared" ca="1" si="431"/>
        <v>22.999999999999943</v>
      </c>
      <c r="AD954" s="323">
        <f t="shared" ca="1" si="432"/>
        <v>2019.9059762349191</v>
      </c>
      <c r="AE954" s="324" t="e">
        <f t="shared" ca="1" si="411"/>
        <v>#N/A</v>
      </c>
      <c r="AG954" s="306">
        <f t="shared" ca="1" si="433"/>
        <v>-5.252718612923144</v>
      </c>
      <c r="AH954" s="304">
        <f t="shared" ca="1" si="434"/>
        <v>-1.267302760660493</v>
      </c>
    </row>
    <row r="955" spans="1:34" x14ac:dyDescent="0.2">
      <c r="A955" s="347">
        <f t="shared" ca="1" si="412"/>
        <v>0.1</v>
      </c>
      <c r="B955" s="304">
        <f t="shared" ca="1" si="413"/>
        <v>23.099999999999945</v>
      </c>
      <c r="D955" s="306">
        <f t="shared" ca="1" si="414"/>
        <v>-1.1446839586069915</v>
      </c>
      <c r="E955" s="307">
        <f t="shared" ca="1" si="415"/>
        <v>-10.29737033837436</v>
      </c>
      <c r="F955" s="304">
        <f t="shared" ca="1" si="416"/>
        <v>10.360798099119791</v>
      </c>
      <c r="G955" s="306">
        <f t="shared" ca="1" si="417"/>
        <v>51.966770617782927</v>
      </c>
      <c r="H955" s="307">
        <f t="shared" ca="1" si="418"/>
        <v>21.144812447859465</v>
      </c>
      <c r="I955" s="304">
        <f t="shared" ca="1" si="419"/>
        <v>56.103906654496171</v>
      </c>
      <c r="J955" s="306">
        <f t="shared" ca="1" si="420"/>
        <v>2025.1083767164905</v>
      </c>
      <c r="K955" s="307">
        <f t="shared" ca="1" si="421"/>
        <v>4405.1308852291195</v>
      </c>
      <c r="L955" s="304">
        <f t="shared" ca="1" si="406"/>
        <v>4848.323633323871</v>
      </c>
      <c r="M955" s="306">
        <f t="shared" ca="1" si="422"/>
        <v>0.38643276209037708</v>
      </c>
      <c r="N955" s="304">
        <f t="shared" ca="1" si="423"/>
        <v>22.140966333361643</v>
      </c>
      <c r="P955" s="310">
        <f t="shared" ca="1" si="424"/>
        <v>23</v>
      </c>
      <c r="Q955" s="304">
        <f t="shared" ca="1" si="425"/>
        <v>0</v>
      </c>
      <c r="R955" s="306">
        <f t="shared" ca="1" si="426"/>
        <v>0</v>
      </c>
      <c r="S955" s="307">
        <f t="shared" ca="1" si="427"/>
        <v>11.416040186296438</v>
      </c>
      <c r="T955" s="304">
        <f t="shared" ca="1" si="407"/>
        <v>111.99135422756807</v>
      </c>
      <c r="U955" s="311">
        <f t="shared" ca="1" si="408"/>
        <v>0</v>
      </c>
      <c r="V955" s="306">
        <f t="shared" ca="1" si="409"/>
        <v>0.78277452210496445</v>
      </c>
      <c r="W955" s="304">
        <f t="shared" ca="1" si="410"/>
        <v>13.949210032779607</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-5.0870825209014798</v>
      </c>
      <c r="AH955" s="304">
        <f t="shared" ca="1" si="434"/>
        <v>-1.2441186486100555</v>
      </c>
    </row>
    <row r="956" spans="1:34" x14ac:dyDescent="0.2">
      <c r="A956" s="347">
        <f t="shared" ca="1" si="412"/>
        <v>0.1</v>
      </c>
      <c r="B956" s="304">
        <f t="shared" ca="1" si="413"/>
        <v>23.199999999999946</v>
      </c>
      <c r="D956" s="306">
        <f t="shared" ca="1" si="414"/>
        <v>-1.1317923404769217</v>
      </c>
      <c r="E956" s="307">
        <f t="shared" ca="1" si="415"/>
        <v>-10.270516143004643</v>
      </c>
      <c r="F956" s="304">
        <f t="shared" ca="1" si="416"/>
        <v>10.33268869876961</v>
      </c>
      <c r="G956" s="306">
        <f t="shared" ca="1" si="417"/>
        <v>51.853591383735235</v>
      </c>
      <c r="H956" s="307">
        <f t="shared" ca="1" si="418"/>
        <v>20.117760833559</v>
      </c>
      <c r="I956" s="304">
        <f t="shared" ca="1" si="419"/>
        <v>55.619414239523067</v>
      </c>
      <c r="J956" s="306">
        <f t="shared" ca="1" si="420"/>
        <v>2030.2993948165665</v>
      </c>
      <c r="K956" s="307">
        <f t="shared" ca="1" si="421"/>
        <v>4407.1940138931905</v>
      </c>
      <c r="L956" s="304">
        <f t="shared" ca="1" si="406"/>
        <v>4852.3679486090596</v>
      </c>
      <c r="M956" s="306">
        <f t="shared" ca="1" si="422"/>
        <v>0.37009492567307972</v>
      </c>
      <c r="N956" s="304">
        <f t="shared" ca="1" si="423"/>
        <v>21.204877260275367</v>
      </c>
      <c r="P956" s="310">
        <f t="shared" ca="1" si="424"/>
        <v>23</v>
      </c>
      <c r="Q956" s="304">
        <f t="shared" ca="1" si="425"/>
        <v>0</v>
      </c>
      <c r="R956" s="306">
        <f t="shared" ca="1" si="426"/>
        <v>0</v>
      </c>
      <c r="S956" s="307">
        <f t="shared" ca="1" si="427"/>
        <v>11.416040186296438</v>
      </c>
      <c r="T956" s="304">
        <f t="shared" ca="1" si="407"/>
        <v>111.99135422756807</v>
      </c>
      <c r="U956" s="311">
        <f t="shared" ca="1" si="408"/>
        <v>0</v>
      </c>
      <c r="V956" s="306">
        <f t="shared" ca="1" si="409"/>
        <v>0.78260480586617076</v>
      </c>
      <c r="W956" s="304">
        <f t="shared" ca="1" si="410"/>
        <v>13.706357559919518</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-4.9191535311553327</v>
      </c>
      <c r="AH956" s="304">
        <f t="shared" ca="1" si="434"/>
        <v>-1.2218956665485401</v>
      </c>
    </row>
    <row r="957" spans="1:34" x14ac:dyDescent="0.2">
      <c r="A957" s="347">
        <f t="shared" ca="1" si="412"/>
        <v>0.1</v>
      </c>
      <c r="B957" s="304">
        <f t="shared" ca="1" si="413"/>
        <v>23.299999999999947</v>
      </c>
      <c r="D957" s="306">
        <f t="shared" ca="1" si="414"/>
        <v>-1.1193322030382835</v>
      </c>
      <c r="E957" s="307">
        <f t="shared" ca="1" si="415"/>
        <v>-10.244269969603074</v>
      </c>
      <c r="F957" s="304">
        <f t="shared" ca="1" si="416"/>
        <v>10.305240016169925</v>
      </c>
      <c r="G957" s="306">
        <f t="shared" ca="1" si="417"/>
        <v>51.74165816343141</v>
      </c>
      <c r="H957" s="307">
        <f t="shared" ca="1" si="418"/>
        <v>19.093333836598692</v>
      </c>
      <c r="I957" s="304">
        <f t="shared" ca="1" si="419"/>
        <v>55.152104098549067</v>
      </c>
      <c r="J957" s="306">
        <f t="shared" ca="1" si="420"/>
        <v>2035.4791572939248</v>
      </c>
      <c r="K957" s="307">
        <f t="shared" ca="1" si="421"/>
        <v>4409.1545686266982</v>
      </c>
      <c r="L957" s="304">
        <f t="shared" ca="1" si="406"/>
        <v>4856.3174741587554</v>
      </c>
      <c r="M957" s="306">
        <f t="shared" ca="1" si="422"/>
        <v>0.35351130870057562</v>
      </c>
      <c r="N957" s="304">
        <f t="shared" ca="1" si="423"/>
        <v>20.25470599868936</v>
      </c>
      <c r="P957" s="310">
        <f t="shared" ca="1" si="424"/>
        <v>23</v>
      </c>
      <c r="Q957" s="304">
        <f t="shared" ca="1" si="425"/>
        <v>0</v>
      </c>
      <c r="R957" s="306">
        <f t="shared" ca="1" si="426"/>
        <v>0</v>
      </c>
      <c r="S957" s="307">
        <f t="shared" ca="1" si="427"/>
        <v>11.416040186296438</v>
      </c>
      <c r="T957" s="304">
        <f t="shared" ca="1" si="407"/>
        <v>111.99135422756807</v>
      </c>
      <c r="U957" s="311">
        <f t="shared" ca="1" si="408"/>
        <v>0</v>
      </c>
      <c r="V957" s="306">
        <f t="shared" ca="1" si="409"/>
        <v>0.78244355410736488</v>
      </c>
      <c r="W957" s="304">
        <f t="shared" ca="1" si="410"/>
        <v>13.474228681502701</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-4.7489383240249241</v>
      </c>
      <c r="AH957" s="304">
        <f t="shared" ca="1" si="434"/>
        <v>-1.2006227497667996</v>
      </c>
    </row>
    <row r="958" spans="1:34" x14ac:dyDescent="0.2">
      <c r="A958" s="347">
        <f t="shared" ca="1" si="412"/>
        <v>0.1</v>
      </c>
      <c r="B958" s="304">
        <f t="shared" ca="1" si="413"/>
        <v>23.399999999999949</v>
      </c>
      <c r="D958" s="306">
        <f t="shared" ca="1" si="414"/>
        <v>-1.107303522740914</v>
      </c>
      <c r="E958" s="307">
        <f t="shared" ca="1" si="415"/>
        <v>-10.218609166551147</v>
      </c>
      <c r="F958" s="304">
        <f t="shared" ca="1" si="416"/>
        <v>10.278428595373788</v>
      </c>
      <c r="G958" s="306">
        <f t="shared" ca="1" si="417"/>
        <v>51.630927811157321</v>
      </c>
      <c r="H958" s="307">
        <f t="shared" ca="1" si="418"/>
        <v>18.071472919943577</v>
      </c>
      <c r="I958" s="304">
        <f t="shared" ca="1" si="419"/>
        <v>54.70220141947847</v>
      </c>
      <c r="J958" s="306">
        <f t="shared" ca="1" si="420"/>
        <v>2040.6477865926543</v>
      </c>
      <c r="K958" s="307">
        <f t="shared" ca="1" si="421"/>
        <v>4411.012808964525</v>
      </c>
      <c r="L958" s="304">
        <f t="shared" ca="1" si="406"/>
        <v>4860.1725679007131</v>
      </c>
      <c r="M958" s="306">
        <f t="shared" ca="1" si="422"/>
        <v>0.33668600350350986</v>
      </c>
      <c r="N958" s="304">
        <f t="shared" ca="1" si="423"/>
        <v>19.290687021877964</v>
      </c>
      <c r="P958" s="310">
        <f t="shared" ca="1" si="424"/>
        <v>23</v>
      </c>
      <c r="Q958" s="304">
        <f t="shared" ca="1" si="425"/>
        <v>0</v>
      </c>
      <c r="R958" s="306">
        <f t="shared" ca="1" si="426"/>
        <v>0</v>
      </c>
      <c r="S958" s="307">
        <f t="shared" ca="1" si="427"/>
        <v>11.416040186296438</v>
      </c>
      <c r="T958" s="304">
        <f t="shared" ca="1" si="407"/>
        <v>111.99135422756807</v>
      </c>
      <c r="U958" s="311">
        <f t="shared" ca="1" si="408"/>
        <v>0</v>
      </c>
      <c r="V958" s="306">
        <f t="shared" ca="1" si="409"/>
        <v>0.78229074141510391</v>
      </c>
      <c r="W958" s="304">
        <f t="shared" ca="1" si="410"/>
        <v>13.252704792509851</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-4.5764534398997201</v>
      </c>
      <c r="AH958" s="304">
        <f t="shared" ca="1" si="434"/>
        <v>-1.1802891774747664</v>
      </c>
    </row>
    <row r="959" spans="1:34" x14ac:dyDescent="0.2">
      <c r="A959" s="347">
        <f t="shared" ca="1" si="412"/>
        <v>0.1</v>
      </c>
      <c r="B959" s="304">
        <f t="shared" ca="1" si="413"/>
        <v>23.49999999999995</v>
      </c>
      <c r="D959" s="306">
        <f t="shared" ca="1" si="414"/>
        <v>-1.0957063038917731</v>
      </c>
      <c r="E959" s="307">
        <f t="shared" ca="1" si="415"/>
        <v>-10.193510962100369</v>
      </c>
      <c r="F959" s="304">
        <f t="shared" ca="1" si="416"/>
        <v>10.252230881074059</v>
      </c>
      <c r="G959" s="306">
        <f t="shared" ca="1" si="417"/>
        <v>51.521357180768142</v>
      </c>
      <c r="H959" s="307">
        <f t="shared" ca="1" si="418"/>
        <v>17.05212182373354</v>
      </c>
      <c r="I959" s="304">
        <f t="shared" ca="1" si="419"/>
        <v>54.269928177948962</v>
      </c>
      <c r="J959" s="306">
        <f t="shared" ca="1" si="420"/>
        <v>2045.8054008422505</v>
      </c>
      <c r="K959" s="307">
        <f t="shared" ca="1" si="421"/>
        <v>4412.7689887017086</v>
      </c>
      <c r="L959" s="304">
        <f t="shared" ca="1" si="406"/>
        <v>4863.9335815533932</v>
      </c>
      <c r="M959" s="306">
        <f t="shared" ca="1" si="422"/>
        <v>0.31962376698750944</v>
      </c>
      <c r="N959" s="304">
        <f t="shared" ca="1" si="423"/>
        <v>18.313092880457141</v>
      </c>
      <c r="P959" s="310">
        <f t="shared" ca="1" si="424"/>
        <v>23</v>
      </c>
      <c r="Q959" s="304">
        <f t="shared" ca="1" si="425"/>
        <v>0</v>
      </c>
      <c r="R959" s="306">
        <f t="shared" ca="1" si="426"/>
        <v>0</v>
      </c>
      <c r="S959" s="307">
        <f t="shared" ca="1" si="427"/>
        <v>11.416040186296438</v>
      </c>
      <c r="T959" s="304">
        <f t="shared" ca="1" si="407"/>
        <v>111.99135422756807</v>
      </c>
      <c r="U959" s="311">
        <f t="shared" ca="1" si="408"/>
        <v>0</v>
      </c>
      <c r="V959" s="306">
        <f t="shared" ca="1" si="409"/>
        <v>0.78214634307469699</v>
      </c>
      <c r="W959" s="304">
        <f t="shared" ca="1" si="410"/>
        <v>13.041670932394213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-4.401725783260197</v>
      </c>
      <c r="AH959" s="304">
        <f t="shared" ca="1" si="434"/>
        <v>-1.1608845603415188</v>
      </c>
    </row>
    <row r="960" spans="1:34" x14ac:dyDescent="0.2">
      <c r="A960" s="347">
        <f t="shared" ca="1" si="412"/>
        <v>0.1</v>
      </c>
      <c r="B960" s="304">
        <f t="shared" ca="1" si="413"/>
        <v>23.599999999999952</v>
      </c>
      <c r="D960" s="306">
        <f t="shared" ca="1" si="414"/>
        <v>-1.0845405558965291</v>
      </c>
      <c r="E960" s="307">
        <f t="shared" ca="1" si="415"/>
        <v>-10.168952455717347</v>
      </c>
      <c r="F960" s="304">
        <f t="shared" ca="1" si="416"/>
        <v>10.226623209252613</v>
      </c>
      <c r="G960" s="306">
        <f t="shared" ca="1" si="417"/>
        <v>51.412903125178488</v>
      </c>
      <c r="H960" s="307">
        <f t="shared" ca="1" si="418"/>
        <v>16.035226578161804</v>
      </c>
      <c r="I960" s="304">
        <f t="shared" ca="1" si="419"/>
        <v>53.855502032494087</v>
      </c>
      <c r="J960" s="306">
        <f t="shared" ca="1" si="420"/>
        <v>2050.9521138575478</v>
      </c>
      <c r="K960" s="307">
        <f t="shared" ca="1" si="421"/>
        <v>4414.4233561218034</v>
      </c>
      <c r="L960" s="304">
        <f t="shared" ca="1" si="406"/>
        <v>4867.6008608359034</v>
      </c>
      <c r="M960" s="306">
        <f t="shared" ca="1" si="422"/>
        <v>0.30233003896931232</v>
      </c>
      <c r="N960" s="304">
        <f t="shared" ca="1" si="423"/>
        <v>17.322235252967307</v>
      </c>
      <c r="P960" s="310">
        <f t="shared" ca="1" si="424"/>
        <v>23</v>
      </c>
      <c r="Q960" s="304">
        <f t="shared" ca="1" si="425"/>
        <v>0</v>
      </c>
      <c r="R960" s="306">
        <f t="shared" ca="1" si="426"/>
        <v>0</v>
      </c>
      <c r="S960" s="307">
        <f t="shared" ca="1" si="427"/>
        <v>11.416040186296438</v>
      </c>
      <c r="T960" s="304">
        <f t="shared" ca="1" si="407"/>
        <v>111.99135422756807</v>
      </c>
      <c r="U960" s="311">
        <f t="shared" ca="1" si="408"/>
        <v>0</v>
      </c>
      <c r="V960" s="306">
        <f t="shared" ca="1" si="409"/>
        <v>0.78201033504907591</v>
      </c>
      <c r="W960" s="304">
        <f t="shared" ca="1" si="410"/>
        <v>12.841015648205596</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-4.2247930879919897</v>
      </c>
      <c r="AH960" s="304">
        <f t="shared" ca="1" si="434"/>
        <v>-1.142398828277527</v>
      </c>
    </row>
    <row r="961" spans="1:34" x14ac:dyDescent="0.2">
      <c r="A961" s="347">
        <f t="shared" ca="1" si="412"/>
        <v>0.1</v>
      </c>
      <c r="B961" s="304">
        <f t="shared" ca="1" si="413"/>
        <v>23.699999999999953</v>
      </c>
      <c r="D961" s="306">
        <f t="shared" ca="1" si="414"/>
        <v>-1.0738062698786361</v>
      </c>
      <c r="E961" s="307">
        <f t="shared" ca="1" si="415"/>
        <v>-10.144910611770573</v>
      </c>
      <c r="F961" s="304">
        <f t="shared" ca="1" si="416"/>
        <v>10.201581800193823</v>
      </c>
      <c r="G961" s="306">
        <f t="shared" ca="1" si="417"/>
        <v>51.305522498190626</v>
      </c>
      <c r="H961" s="307">
        <f t="shared" ca="1" si="418"/>
        <v>15.020735516984747</v>
      </c>
      <c r="I961" s="304">
        <f t="shared" ca="1" si="419"/>
        <v>53.459135180842118</v>
      </c>
      <c r="J961" s="306">
        <f t="shared" ca="1" si="420"/>
        <v>2056.0880351387164</v>
      </c>
      <c r="K961" s="307">
        <f t="shared" ca="1" si="421"/>
        <v>4415.9761542265605</v>
      </c>
      <c r="L961" s="304">
        <f t="shared" ca="1" si="406"/>
        <v>4871.1747456787252</v>
      </c>
      <c r="M961" s="306">
        <f t="shared" ca="1" si="422"/>
        <v>0.28481095704913023</v>
      </c>
      <c r="N961" s="304">
        <f t="shared" ca="1" si="423"/>
        <v>16.318465797996925</v>
      </c>
      <c r="P961" s="310">
        <f t="shared" ca="1" si="424"/>
        <v>23</v>
      </c>
      <c r="Q961" s="304">
        <f t="shared" ca="1" si="425"/>
        <v>0</v>
      </c>
      <c r="R961" s="306">
        <f t="shared" ca="1" si="426"/>
        <v>0</v>
      </c>
      <c r="S961" s="307">
        <f t="shared" ca="1" si="427"/>
        <v>11.416040186296438</v>
      </c>
      <c r="T961" s="304">
        <f t="shared" ca="1" si="407"/>
        <v>111.99135422756807</v>
      </c>
      <c r="U961" s="311">
        <f t="shared" ca="1" si="408"/>
        <v>0</v>
      </c>
      <c r="V961" s="306">
        <f t="shared" ca="1" si="409"/>
        <v>0.78188269395765231</v>
      </c>
      <c r="W961" s="304">
        <f t="shared" ca="1" si="410"/>
        <v>12.650630860168446</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-4.0457043343864356</v>
      </c>
      <c r="AH961" s="304">
        <f t="shared" ca="1" si="434"/>
        <v>-1.1248222184448569</v>
      </c>
    </row>
    <row r="962" spans="1:34" x14ac:dyDescent="0.2">
      <c r="A962" s="347">
        <f t="shared" ca="1" si="412"/>
        <v>0.1</v>
      </c>
      <c r="B962" s="304">
        <f t="shared" ca="1" si="413"/>
        <v>23.799999999999955</v>
      </c>
      <c r="D962" s="306">
        <f t="shared" ca="1" si="414"/>
        <v>-1.0635033947805246</v>
      </c>
      <c r="E962" s="307">
        <f t="shared" ca="1" si="415"/>
        <v>-10.12136225569045</v>
      </c>
      <c r="F962" s="304">
        <f t="shared" ca="1" si="416"/>
        <v>10.177082753993158</v>
      </c>
      <c r="G962" s="306">
        <f t="shared" ca="1" si="417"/>
        <v>51.199172158712571</v>
      </c>
      <c r="H962" s="307">
        <f t="shared" ca="1" si="418"/>
        <v>14.008599291415702</v>
      </c>
      <c r="I962" s="304">
        <f t="shared" ca="1" si="419"/>
        <v>53.081033183661198</v>
      </c>
      <c r="J962" s="306">
        <f t="shared" ca="1" si="420"/>
        <v>2061.2132698715614</v>
      </c>
      <c r="K962" s="307">
        <f t="shared" ca="1" si="421"/>
        <v>4417.4276209669806</v>
      </c>
      <c r="L962" s="304">
        <f t="shared" ca="1" si="406"/>
        <v>4874.6555704353732</v>
      </c>
      <c r="M962" s="306">
        <f t="shared" ca="1" si="422"/>
        <v>0.26707336757215827</v>
      </c>
      <c r="N962" s="304">
        <f t="shared" ca="1" si="423"/>
        <v>15.30217678223077</v>
      </c>
      <c r="P962" s="310">
        <f t="shared" ca="1" si="424"/>
        <v>23</v>
      </c>
      <c r="Q962" s="304">
        <f t="shared" ca="1" si="425"/>
        <v>0</v>
      </c>
      <c r="R962" s="306">
        <f t="shared" ca="1" si="426"/>
        <v>0</v>
      </c>
      <c r="S962" s="307">
        <f t="shared" ca="1" si="427"/>
        <v>11.416040186296438</v>
      </c>
      <c r="T962" s="304">
        <f t="shared" ca="1" si="407"/>
        <v>111.99135422756807</v>
      </c>
      <c r="U962" s="311">
        <f t="shared" ca="1" si="408"/>
        <v>0</v>
      </c>
      <c r="V962" s="306">
        <f t="shared" ca="1" si="409"/>
        <v>0.7817633970551523</v>
      </c>
      <c r="W962" s="304">
        <f t="shared" ca="1" si="410"/>
        <v>12.47041172957881</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-3.8645201079902374</v>
      </c>
      <c r="AH962" s="304">
        <f t="shared" ca="1" si="434"/>
        <v>-1.1081452634823399</v>
      </c>
    </row>
    <row r="963" spans="1:34" x14ac:dyDescent="0.2">
      <c r="A963" s="347">
        <f t="shared" ca="1" si="412"/>
        <v>0.1</v>
      </c>
      <c r="B963" s="304">
        <f t="shared" ca="1" si="413"/>
        <v>23.899999999999956</v>
      </c>
      <c r="D963" s="306">
        <f t="shared" ca="1" si="414"/>
        <v>-1.05363181306973</v>
      </c>
      <c r="E963" s="307">
        <f t="shared" ca="1" si="415"/>
        <v>-10.09828407272343</v>
      </c>
      <c r="F963" s="304">
        <f t="shared" ca="1" si="416"/>
        <v>10.153102048681099</v>
      </c>
      <c r="G963" s="306">
        <f t="shared" ca="1" si="417"/>
        <v>51.093808977405601</v>
      </c>
      <c r="H963" s="307">
        <f t="shared" ca="1" si="418"/>
        <v>12.99877088414336</v>
      </c>
      <c r="I963" s="304">
        <f t="shared" ca="1" si="419"/>
        <v>52.721393763045249</v>
      </c>
      <c r="J963" s="306">
        <f t="shared" ca="1" si="420"/>
        <v>2066.3279189283671</v>
      </c>
      <c r="K963" s="307">
        <f t="shared" ca="1" si="421"/>
        <v>4418.7779894757587</v>
      </c>
      <c r="L963" s="304">
        <f t="shared" ca="1" si="406"/>
        <v>4878.0436640950911</v>
      </c>
      <c r="M963" s="306">
        <f t="shared" ca="1" si="422"/>
        <v>0.24912483224771015</v>
      </c>
      <c r="N963" s="304">
        <f t="shared" ca="1" si="423"/>
        <v>14.273801459698422</v>
      </c>
      <c r="P963" s="310">
        <f t="shared" ca="1" si="424"/>
        <v>23</v>
      </c>
      <c r="Q963" s="304">
        <f t="shared" ca="1" si="425"/>
        <v>0</v>
      </c>
      <c r="R963" s="306">
        <f t="shared" ca="1" si="426"/>
        <v>0</v>
      </c>
      <c r="S963" s="307">
        <f t="shared" ca="1" si="427"/>
        <v>11.416040186296438</v>
      </c>
      <c r="T963" s="304">
        <f t="shared" ca="1" si="407"/>
        <v>111.99135422756807</v>
      </c>
      <c r="U963" s="311">
        <f t="shared" ca="1" si="408"/>
        <v>0</v>
      </c>
      <c r="V963" s="306">
        <f t="shared" ca="1" si="409"/>
        <v>0.7816524222104192</v>
      </c>
      <c r="W963" s="304">
        <f t="shared" ca="1" si="410"/>
        <v>12.300256528899016</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-3.6813128904030026</v>
      </c>
      <c r="AH963" s="304">
        <f t="shared" ca="1" si="434"/>
        <v>-1.0923587799338703</v>
      </c>
    </row>
    <row r="964" spans="1:34" x14ac:dyDescent="0.2">
      <c r="A964" s="347">
        <f t="shared" ca="1" si="412"/>
        <v>0.1</v>
      </c>
      <c r="B964" s="304">
        <f t="shared" ca="1" si="413"/>
        <v>23.999999999999957</v>
      </c>
      <c r="D964" s="306">
        <f t="shared" ca="1" si="414"/>
        <v>-1.044191316190739</v>
      </c>
      <c r="E964" s="307">
        <f t="shared" ca="1" si="415"/>
        <v>-10.075652609387133</v>
      </c>
      <c r="F964" s="304">
        <f t="shared" ca="1" si="416"/>
        <v>10.129615541068569</v>
      </c>
      <c r="G964" s="306">
        <f t="shared" ca="1" si="417"/>
        <v>50.989389845786526</v>
      </c>
      <c r="H964" s="307">
        <f t="shared" ca="1" si="418"/>
        <v>11.991205623204646</v>
      </c>
      <c r="I964" s="304">
        <f t="shared" ca="1" si="419"/>
        <v>52.38040558399269</v>
      </c>
      <c r="J964" s="306">
        <f t="shared" ca="1" si="420"/>
        <v>2071.4320788695268</v>
      </c>
      <c r="K964" s="307">
        <f t="shared" ca="1" si="421"/>
        <v>4420.0274883011261</v>
      </c>
      <c r="L964" s="304">
        <f t="shared" ref="L964:L1004" ca="1" si="435">SQRT(pos_x^2+pos_z^2)</f>
        <v>4881.3393504966734</v>
      </c>
      <c r="M964" s="306">
        <f t="shared" ca="1" si="422"/>
        <v>0.23097363002042548</v>
      </c>
      <c r="N964" s="304">
        <f t="shared" ca="1" si="423"/>
        <v>13.233814178986551</v>
      </c>
      <c r="P964" s="310">
        <f t="shared" ca="1" si="424"/>
        <v>23</v>
      </c>
      <c r="Q964" s="304">
        <f t="shared" ca="1" si="425"/>
        <v>0</v>
      </c>
      <c r="R964" s="306">
        <f t="shared" ca="1" si="426"/>
        <v>0</v>
      </c>
      <c r="S964" s="307">
        <f t="shared" ca="1" si="427"/>
        <v>11.416040186296438</v>
      </c>
      <c r="T964" s="304">
        <f t="shared" ref="T964:T1004" ca="1" si="436">m*g</f>
        <v>111.99135422756807</v>
      </c>
      <c r="U964" s="311">
        <f t="shared" ref="U964:U1004" ca="1" si="437">IF(pos_xz&lt;L_rampe,Poids*COS(Beta),0)</f>
        <v>0</v>
      </c>
      <c r="V964" s="306">
        <f t="shared" ref="V964:V1004" ca="1" si="438">Rho_moyen*(20000-Alt_rampe-pos_z)/(20000+Alt_rampe+pos_z)</f>
        <v>0.78154974788518872</v>
      </c>
      <c r="W964" s="304">
        <f t="shared" ref="W964:W1003" ca="1" si="439">1/2*Rho*Sref*Cx*vit_xz^2</f>
        <v>12.140066513942767</v>
      </c>
      <c r="Y964" s="314" t="str">
        <f t="shared" ca="1" si="428"/>
        <v/>
      </c>
      <c r="Z964" s="315" t="str">
        <f t="shared" ca="1" si="429"/>
        <v/>
      </c>
      <c r="AA964" s="316" t="str">
        <f t="shared" ca="1" si="430"/>
        <v/>
      </c>
      <c r="AC964" s="310">
        <f t="shared" ca="1" si="431"/>
        <v>23.999999999999957</v>
      </c>
      <c r="AD964" s="323">
        <f t="shared" ca="1" si="432"/>
        <v>2071.4320788695268</v>
      </c>
      <c r="AE964" s="324" t="e">
        <f t="shared" ref="AE964:AE1004" ca="1" si="440">IF(t&lt;T_para, pos_z, NA())</f>
        <v>#N/A</v>
      </c>
      <c r="AG964" s="306">
        <f t="shared" ca="1" si="433"/>
        <v>-3.4961672722726815</v>
      </c>
      <c r="AH964" s="304">
        <f t="shared" ca="1" si="434"/>
        <v>-1.077453856869212</v>
      </c>
    </row>
    <row r="965" spans="1:34" x14ac:dyDescent="0.2">
      <c r="A965" s="347">
        <f t="shared" ref="A965:A1004" ca="1" si="441">IF(B964+0.01&lt;=T_ini+ROUNDUP(Temps_fin_propu,0), 0.01, IF(K964&gt;0, 0.1, 0.0001))</f>
        <v>0.1</v>
      </c>
      <c r="B965" s="304">
        <f t="shared" ref="B965:B1004" ca="1" si="442">B964+pas</f>
        <v>24.099999999999959</v>
      </c>
      <c r="D965" s="306">
        <f t="shared" ref="D965:D1004" ca="1" si="443">IF(AND(L964&lt;L_rampe,Poussee&lt;Poids*SIN(M964)),0,(-W964+Poussee)/m*COS(M964)-U964/m*SIN(M964))</f>
        <v>-1.0351815799205686</v>
      </c>
      <c r="E965" s="307">
        <f t="shared" ref="E965:E1004" ca="1" si="444">IF(AND(L964&lt;L_rampe,Poussee&lt;Poids*SIN(M964)),0,(-W964+Poussee)/m*SIN(M964)+U964/m*COS(M964)-Poids/m)</f>
        <v>-10.05344427771589</v>
      </c>
      <c r="F965" s="304">
        <f t="shared" ref="F965:F1004" ca="1" si="445">SQRT(acc_x^2+acc_z^2)</f>
        <v>10.106598970402715</v>
      </c>
      <c r="G965" s="306">
        <f t="shared" ref="G965:G1004" ca="1" si="446">G964+acc_x*pas</f>
        <v>50.88587168779447</v>
      </c>
      <c r="H965" s="307">
        <f t="shared" ref="H965:H1004" ca="1" si="447">H964+acc_z*pas</f>
        <v>10.985861195433056</v>
      </c>
      <c r="I965" s="304">
        <f t="shared" ref="I965:I1004" ca="1" si="448">SQRT(vit_x^2+vit_z^2)</f>
        <v>52.058247028035865</v>
      </c>
      <c r="J965" s="306">
        <f t="shared" ref="J965:J1004" ca="1" si="449">J964+0.5*(vit_x+G964)*pas*(K964&gt;=0)</f>
        <v>2076.5258419462057</v>
      </c>
      <c r="K965" s="307">
        <f t="shared" ref="K965:K1004" ca="1" si="450">K964+0.5*(vit_z+H964)*pas</f>
        <v>4421.1763416420581</v>
      </c>
      <c r="L965" s="304">
        <f t="shared" ca="1" si="435"/>
        <v>4884.5429485434815</v>
      </c>
      <c r="M965" s="306">
        <f t="shared" ref="M965:M1004" ca="1" si="451">IF(AND(L964&gt;L_rampe,G965&gt;0),ATAN2(G965,H965),$M$4)</f>
        <v>0.2126287538249339</v>
      </c>
      <c r="N965" s="304">
        <f t="shared" ref="N965:N1004" ca="1" si="452">DEGREES(Beta)</f>
        <v>12.182730197294873</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11.416040186296438</v>
      </c>
      <c r="T965" s="304">
        <f t="shared" ca="1" si="436"/>
        <v>111.99135422756807</v>
      </c>
      <c r="U965" s="311">
        <f t="shared" ca="1" si="437"/>
        <v>0</v>
      </c>
      <c r="V965" s="306">
        <f t="shared" ca="1" si="438"/>
        <v>0.78145535311282577</v>
      </c>
      <c r="W965" s="304">
        <f t="shared" ca="1" si="439"/>
        <v>11.989745798057049</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-3.309180079129427</v>
      </c>
      <c r="AH965" s="304">
        <f t="shared" ref="AH965:AH1004" ca="1" si="463">IF(AND(L964&lt;L_rampe,Poussee&lt;Poids*SIN(M964)), g*SIN(M964), (-W964+Poussee)/m)</f>
        <v>-1.0634218446879184</v>
      </c>
    </row>
    <row r="966" spans="1:34" x14ac:dyDescent="0.2">
      <c r="A966" s="347">
        <f t="shared" ca="1" si="441"/>
        <v>0.1</v>
      </c>
      <c r="B966" s="304">
        <f t="shared" ca="1" si="442"/>
        <v>24.19999999999996</v>
      </c>
      <c r="D966" s="306">
        <f t="shared" ca="1" si="443"/>
        <v>-1.0266021398020997</v>
      </c>
      <c r="E966" s="307">
        <f t="shared" ca="1" si="444"/>
        <v>-10.031635362365339</v>
      </c>
      <c r="F966" s="304">
        <f t="shared" ca="1" si="445"/>
        <v>10.084027964900981</v>
      </c>
      <c r="G966" s="306">
        <f t="shared" ca="1" si="446"/>
        <v>50.783211473814262</v>
      </c>
      <c r="H966" s="307">
        <f t="shared" ca="1" si="447"/>
        <v>9.9826976591965231</v>
      </c>
      <c r="I966" s="304">
        <f t="shared" ca="1" si="448"/>
        <v>51.755084969006361</v>
      </c>
      <c r="J966" s="306">
        <f t="shared" ca="1" si="449"/>
        <v>2081.6092961042859</v>
      </c>
      <c r="K966" s="307">
        <f t="shared" ca="1" si="450"/>
        <v>4422.22476958479</v>
      </c>
      <c r="L966" s="304">
        <f t="shared" ca="1" si="435"/>
        <v>4887.6547724196962</v>
      </c>
      <c r="M966" s="306">
        <f t="shared" ca="1" si="451"/>
        <v>0.19409990190354581</v>
      </c>
      <c r="N966" s="304">
        <f t="shared" ca="1" si="452"/>
        <v>11.12110518297647</v>
      </c>
      <c r="P966" s="310">
        <f t="shared" ca="1" si="453"/>
        <v>23</v>
      </c>
      <c r="Q966" s="304">
        <f t="shared" ca="1" si="454"/>
        <v>0</v>
      </c>
      <c r="R966" s="306">
        <f t="shared" ca="1" si="455"/>
        <v>0</v>
      </c>
      <c r="S966" s="307">
        <f t="shared" ca="1" si="456"/>
        <v>11.416040186296438</v>
      </c>
      <c r="T966" s="304">
        <f t="shared" ca="1" si="436"/>
        <v>111.99135422756807</v>
      </c>
      <c r="U966" s="311">
        <f t="shared" ca="1" si="437"/>
        <v>0</v>
      </c>
      <c r="V966" s="306">
        <f t="shared" ca="1" si="438"/>
        <v>0.78136921747703103</v>
      </c>
      <c r="W966" s="304">
        <f t="shared" ca="1" si="439"/>
        <v>11.849201228221379</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-3.1204604013470427</v>
      </c>
      <c r="AH966" s="304">
        <f t="shared" ca="1" si="463"/>
        <v>-1.050254344098164</v>
      </c>
    </row>
    <row r="967" spans="1:34" x14ac:dyDescent="0.2">
      <c r="A967" s="347">
        <f t="shared" ca="1" si="441"/>
        <v>0.1</v>
      </c>
      <c r="B967" s="304">
        <f t="shared" ca="1" si="442"/>
        <v>24.299999999999962</v>
      </c>
      <c r="D967" s="306">
        <f t="shared" ca="1" si="443"/>
        <v>-1.0184523668435639</v>
      </c>
      <c r="E967" s="307">
        <f t="shared" ca="1" si="444"/>
        <v>-10.01020203062059</v>
      </c>
      <c r="F967" s="304">
        <f t="shared" ca="1" si="445"/>
        <v>10.061878051207431</v>
      </c>
      <c r="G967" s="306">
        <f t="shared" ca="1" si="446"/>
        <v>50.681366237129907</v>
      </c>
      <c r="H967" s="307">
        <f t="shared" ca="1" si="447"/>
        <v>8.9816774561344648</v>
      </c>
      <c r="I967" s="304">
        <f t="shared" ca="1" si="448"/>
        <v>51.471073561643585</v>
      </c>
      <c r="J967" s="306">
        <f t="shared" ca="1" si="449"/>
        <v>2086.6825249898329</v>
      </c>
      <c r="K967" s="307">
        <f t="shared" ca="1" si="450"/>
        <v>4423.1729883405569</v>
      </c>
      <c r="L967" s="304">
        <f t="shared" ca="1" si="435"/>
        <v>4890.6751318078241</v>
      </c>
      <c r="M967" s="306">
        <f t="shared" ca="1" si="451"/>
        <v>0.1753974634259039</v>
      </c>
      <c r="N967" s="304">
        <f t="shared" ca="1" si="452"/>
        <v>10.04953439160451</v>
      </c>
      <c r="P967" s="310">
        <f t="shared" ca="1" si="453"/>
        <v>23</v>
      </c>
      <c r="Q967" s="304">
        <f t="shared" ca="1" si="454"/>
        <v>0</v>
      </c>
      <c r="R967" s="306">
        <f t="shared" ca="1" si="455"/>
        <v>0</v>
      </c>
      <c r="S967" s="307">
        <f t="shared" ca="1" si="456"/>
        <v>11.416040186296438</v>
      </c>
      <c r="T967" s="304">
        <f t="shared" ca="1" si="436"/>
        <v>111.99135422756807</v>
      </c>
      <c r="U967" s="311">
        <f t="shared" ca="1" si="437"/>
        <v>0</v>
      </c>
      <c r="V967" s="306">
        <f t="shared" ca="1" si="438"/>
        <v>0.7812913210905168</v>
      </c>
      <c r="W967" s="304">
        <f t="shared" ca="1" si="439"/>
        <v>11.718342262998775</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-2.9301295204403428</v>
      </c>
      <c r="AH967" s="304">
        <f t="shared" ca="1" si="463"/>
        <v>-1.037943195263529</v>
      </c>
    </row>
    <row r="968" spans="1:34" x14ac:dyDescent="0.2">
      <c r="A968" s="347">
        <f t="shared" ca="1" si="441"/>
        <v>0.1</v>
      </c>
      <c r="B968" s="304">
        <f t="shared" ca="1" si="442"/>
        <v>24.399999999999963</v>
      </c>
      <c r="D968" s="306">
        <f t="shared" ca="1" si="443"/>
        <v>-1.0107314436847261</v>
      </c>
      <c r="E968" s="307">
        <f t="shared" ca="1" si="444"/>
        <v>-9.9891203453252349</v>
      </c>
      <c r="F968" s="304">
        <f t="shared" ca="1" si="445"/>
        <v>10.040124666787936</v>
      </c>
      <c r="G968" s="306">
        <f t="shared" ca="1" si="446"/>
        <v>50.580293092761437</v>
      </c>
      <c r="H968" s="307">
        <f t="shared" ca="1" si="447"/>
        <v>7.9827654216019415</v>
      </c>
      <c r="I968" s="304">
        <f t="shared" ca="1" si="448"/>
        <v>51.206353054342522</v>
      </c>
      <c r="J968" s="306">
        <f t="shared" ca="1" si="449"/>
        <v>2091.7456079563276</v>
      </c>
      <c r="K968" s="307">
        <f t="shared" ca="1" si="450"/>
        <v>4424.0212104844441</v>
      </c>
      <c r="L968" s="304">
        <f t="shared" ca="1" si="435"/>
        <v>4893.604332107453</v>
      </c>
      <c r="M968" s="306">
        <f t="shared" ca="1" si="451"/>
        <v>0.15653249821962972</v>
      </c>
      <c r="N968" s="304">
        <f t="shared" ca="1" si="452"/>
        <v>8.9686515046238551</v>
      </c>
      <c r="P968" s="310">
        <f t="shared" ca="1" si="453"/>
        <v>23</v>
      </c>
      <c r="Q968" s="304">
        <f t="shared" ca="1" si="454"/>
        <v>0</v>
      </c>
      <c r="R968" s="306">
        <f t="shared" ca="1" si="455"/>
        <v>0</v>
      </c>
      <c r="S968" s="307">
        <f t="shared" ca="1" si="456"/>
        <v>11.416040186296438</v>
      </c>
      <c r="T968" s="304">
        <f t="shared" ca="1" si="436"/>
        <v>111.99135422756807</v>
      </c>
      <c r="U968" s="311">
        <f t="shared" ca="1" si="437"/>
        <v>0</v>
      </c>
      <c r="V968" s="306">
        <f t="shared" ca="1" si="438"/>
        <v>0.78122164457365795</v>
      </c>
      <c r="W968" s="304">
        <f t="shared" ca="1" si="439"/>
        <v>11.59708085228646</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-2.7383207250999049</v>
      </c>
      <c r="AH968" s="304">
        <f t="shared" ca="1" si="463"/>
        <v>-1.0264804671119863</v>
      </c>
    </row>
    <row r="969" spans="1:34" x14ac:dyDescent="0.2">
      <c r="A969" s="347">
        <f t="shared" ca="1" si="441"/>
        <v>0.1</v>
      </c>
      <c r="B969" s="304">
        <f t="shared" ca="1" si="442"/>
        <v>24.499999999999964</v>
      </c>
      <c r="D969" s="306">
        <f t="shared" ca="1" si="443"/>
        <v>-1.00343834143979</v>
      </c>
      <c r="E969" s="307">
        <f t="shared" ca="1" si="444"/>
        <v>-9.9683662807185573</v>
      </c>
      <c r="F969" s="304">
        <f t="shared" ca="1" si="445"/>
        <v>10.018743175250984</v>
      </c>
      <c r="G969" s="306">
        <f t="shared" ca="1" si="446"/>
        <v>50.479949258617459</v>
      </c>
      <c r="H969" s="307">
        <f t="shared" ca="1" si="447"/>
        <v>6.9859287935300856</v>
      </c>
      <c r="I969" s="304">
        <f t="shared" ca="1" si="448"/>
        <v>50.961048637767121</v>
      </c>
      <c r="J969" s="306">
        <f t="shared" ca="1" si="449"/>
        <v>2096.7986200738965</v>
      </c>
      <c r="K969" s="307">
        <f t="shared" ca="1" si="450"/>
        <v>4424.7696451952006</v>
      </c>
      <c r="L969" s="304">
        <f t="shared" ca="1" si="435"/>
        <v>4896.442674655209</v>
      </c>
      <c r="M969" s="306">
        <f t="shared" ca="1" si="451"/>
        <v>0.13751671050096209</v>
      </c>
      <c r="N969" s="304">
        <f t="shared" ca="1" si="452"/>
        <v>7.8791271242274963</v>
      </c>
      <c r="P969" s="310">
        <f t="shared" ca="1" si="453"/>
        <v>23</v>
      </c>
      <c r="Q969" s="304">
        <f t="shared" ca="1" si="454"/>
        <v>0</v>
      </c>
      <c r="R969" s="306">
        <f t="shared" ca="1" si="455"/>
        <v>0</v>
      </c>
      <c r="S969" s="307">
        <f t="shared" ca="1" si="456"/>
        <v>11.416040186296438</v>
      </c>
      <c r="T969" s="304">
        <f t="shared" ca="1" si="436"/>
        <v>111.99135422756807</v>
      </c>
      <c r="U969" s="311">
        <f t="shared" ca="1" si="437"/>
        <v>0</v>
      </c>
      <c r="V969" s="306">
        <f t="shared" ca="1" si="438"/>
        <v>0.78116016903312746</v>
      </c>
      <c r="W969" s="304">
        <f t="shared" ca="1" si="439"/>
        <v>11.485331318828013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-2.5451790118271145</v>
      </c>
      <c r="AH969" s="304">
        <f t="shared" ca="1" si="463"/>
        <v>-1.0158584468025382</v>
      </c>
    </row>
    <row r="970" spans="1:34" x14ac:dyDescent="0.2">
      <c r="A970" s="347">
        <f t="shared" ca="1" si="441"/>
        <v>0.1</v>
      </c>
      <c r="B970" s="304">
        <f t="shared" ca="1" si="442"/>
        <v>24.599999999999966</v>
      </c>
      <c r="D970" s="306">
        <f t="shared" ca="1" si="443"/>
        <v>-0.99657179743338509</v>
      </c>
      <c r="E970" s="307">
        <f t="shared" ca="1" si="444"/>
        <v>-9.9479157411360006</v>
      </c>
      <c r="F970" s="304">
        <f t="shared" ca="1" si="445"/>
        <v>9.9977088845485511</v>
      </c>
      <c r="G970" s="306">
        <f t="shared" ca="1" si="446"/>
        <v>50.38029207887412</v>
      </c>
      <c r="H970" s="307">
        <f t="shared" ca="1" si="447"/>
        <v>5.9911372194164851</v>
      </c>
      <c r="I970" s="304">
        <f t="shared" ca="1" si="448"/>
        <v>50.735269341302839</v>
      </c>
      <c r="J970" s="306">
        <f t="shared" ca="1" si="449"/>
        <v>2101.8416321407713</v>
      </c>
      <c r="K970" s="307">
        <f t="shared" ca="1" si="450"/>
        <v>4425.4184984958483</v>
      </c>
      <c r="L970" s="304">
        <f t="shared" ca="1" si="435"/>
        <v>4899.1904569458648</v>
      </c>
      <c r="M970" s="306">
        <f t="shared" ca="1" si="451"/>
        <v>0.11836241658292725</v>
      </c>
      <c r="N970" s="304">
        <f t="shared" ca="1" si="452"/>
        <v>6.7816669231709987</v>
      </c>
      <c r="P970" s="310">
        <f t="shared" ca="1" si="453"/>
        <v>23</v>
      </c>
      <c r="Q970" s="304">
        <f t="shared" ca="1" si="454"/>
        <v>0</v>
      </c>
      <c r="R970" s="306">
        <f t="shared" ca="1" si="455"/>
        <v>0</v>
      </c>
      <c r="S970" s="307">
        <f t="shared" ca="1" si="456"/>
        <v>11.416040186296438</v>
      </c>
      <c r="T970" s="304">
        <f t="shared" ca="1" si="436"/>
        <v>111.99135422756807</v>
      </c>
      <c r="U970" s="311">
        <f t="shared" ca="1" si="437"/>
        <v>0</v>
      </c>
      <c r="V970" s="306">
        <f t="shared" ca="1" si="438"/>
        <v>0.78110687604052687</v>
      </c>
      <c r="W970" s="304">
        <f t="shared" ca="1" si="439"/>
        <v>11.383010241461943</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-2.3508606667452758</v>
      </c>
      <c r="AH970" s="304">
        <f t="shared" ca="1" si="463"/>
        <v>-1.0060696293461502</v>
      </c>
    </row>
    <row r="971" spans="1:34" x14ac:dyDescent="0.2">
      <c r="A971" s="347">
        <f t="shared" ca="1" si="441"/>
        <v>0.1</v>
      </c>
      <c r="B971" s="304">
        <f t="shared" ca="1" si="442"/>
        <v>24.699999999999967</v>
      </c>
      <c r="D971" s="306">
        <f t="shared" ca="1" si="443"/>
        <v>-0.99013029404876951</v>
      </c>
      <c r="E971" s="307">
        <f t="shared" ca="1" si="444"/>
        <v>-9.9277445824938919</v>
      </c>
      <c r="F971" s="304">
        <f t="shared" ca="1" si="445"/>
        <v>9.9769970679774147</v>
      </c>
      <c r="G971" s="306">
        <f t="shared" ca="1" si="446"/>
        <v>50.281279049469241</v>
      </c>
      <c r="H971" s="307">
        <f t="shared" ca="1" si="447"/>
        <v>4.9983627611670958</v>
      </c>
      <c r="I971" s="304">
        <f t="shared" ca="1" si="448"/>
        <v>50.529106989366198</v>
      </c>
      <c r="J971" s="306">
        <f t="shared" ca="1" si="449"/>
        <v>2106.8747106971882</v>
      </c>
      <c r="K971" s="307">
        <f t="shared" ca="1" si="450"/>
        <v>4425.9679734948777</v>
      </c>
      <c r="L971" s="304">
        <f t="shared" ca="1" si="435"/>
        <v>4901.8479728544944</v>
      </c>
      <c r="M971" s="306">
        <f t="shared" ca="1" si="451"/>
        <v>9.9082506633982367E-2</v>
      </c>
      <c r="N971" s="304">
        <f t="shared" ca="1" si="452"/>
        <v>5.6770094537041702</v>
      </c>
      <c r="P971" s="310">
        <f t="shared" ca="1" si="453"/>
        <v>23</v>
      </c>
      <c r="Q971" s="304">
        <f t="shared" ca="1" si="454"/>
        <v>0</v>
      </c>
      <c r="R971" s="306">
        <f t="shared" ca="1" si="455"/>
        <v>0</v>
      </c>
      <c r="S971" s="307">
        <f t="shared" ca="1" si="456"/>
        <v>11.416040186296438</v>
      </c>
      <c r="T971" s="304">
        <f t="shared" ca="1" si="436"/>
        <v>111.99135422756807</v>
      </c>
      <c r="U971" s="311">
        <f t="shared" ca="1" si="437"/>
        <v>0</v>
      </c>
      <c r="V971" s="306">
        <f t="shared" ca="1" si="438"/>
        <v>0.78106174761102254</v>
      </c>
      <c r="W971" s="304">
        <f t="shared" ca="1" si="439"/>
        <v>11.290036340094355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-2.1555327270989459</v>
      </c>
      <c r="AH971" s="304">
        <f t="shared" ca="1" si="463"/>
        <v>-0.99710670737878582</v>
      </c>
    </row>
    <row r="972" spans="1:34" x14ac:dyDescent="0.2">
      <c r="A972" s="347">
        <f t="shared" ca="1" si="441"/>
        <v>0.1</v>
      </c>
      <c r="B972" s="304">
        <f t="shared" ca="1" si="442"/>
        <v>24.799999999999969</v>
      </c>
      <c r="D972" s="306">
        <f t="shared" ca="1" si="443"/>
        <v>-0.98411203890623011</v>
      </c>
      <c r="E972" s="307">
        <f t="shared" ca="1" si="444"/>
        <v>-9.9078286364443038</v>
      </c>
      <c r="F972" s="304">
        <f t="shared" ca="1" si="445"/>
        <v>9.9565829878661667</v>
      </c>
      <c r="G972" s="306">
        <f t="shared" ca="1" si="446"/>
        <v>50.18286784557862</v>
      </c>
      <c r="H972" s="307">
        <f t="shared" ca="1" si="447"/>
        <v>4.0075798975226657</v>
      </c>
      <c r="I972" s="304">
        <f t="shared" ca="1" si="448"/>
        <v>50.342635229414007</v>
      </c>
      <c r="J972" s="306">
        <f t="shared" ca="1" si="449"/>
        <v>2111.8979180419406</v>
      </c>
      <c r="K972" s="307">
        <f t="shared" ca="1" si="450"/>
        <v>4426.4182706278125</v>
      </c>
      <c r="L972" s="304">
        <f t="shared" ca="1" si="435"/>
        <v>4904.4155128595703</v>
      </c>
      <c r="M972" s="306">
        <f t="shared" ca="1" si="451"/>
        <v>7.9690400660232683E-2</v>
      </c>
      <c r="N972" s="304">
        <f t="shared" ca="1" si="452"/>
        <v>4.5659236255378817</v>
      </c>
      <c r="P972" s="310">
        <f t="shared" ca="1" si="453"/>
        <v>23</v>
      </c>
      <c r="Q972" s="304">
        <f t="shared" ca="1" si="454"/>
        <v>0</v>
      </c>
      <c r="R972" s="306">
        <f t="shared" ca="1" si="455"/>
        <v>0</v>
      </c>
      <c r="S972" s="307">
        <f t="shared" ca="1" si="456"/>
        <v>11.416040186296438</v>
      </c>
      <c r="T972" s="304">
        <f t="shared" ca="1" si="436"/>
        <v>111.99135422756807</v>
      </c>
      <c r="U972" s="311">
        <f t="shared" ca="1" si="437"/>
        <v>0</v>
      </c>
      <c r="V972" s="306">
        <f t="shared" ca="1" si="438"/>
        <v>0.78102476618200456</v>
      </c>
      <c r="W972" s="304">
        <f t="shared" ca="1" si="439"/>
        <v>11.20633036239599</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-1.9593723230741051</v>
      </c>
      <c r="AH972" s="304">
        <f t="shared" ca="1" si="463"/>
        <v>-0.98896256108546854</v>
      </c>
    </row>
    <row r="973" spans="1:34" x14ac:dyDescent="0.2">
      <c r="A973" s="347">
        <f t="shared" ca="1" si="441"/>
        <v>0.1</v>
      </c>
      <c r="B973" s="304">
        <f t="shared" ca="1" si="442"/>
        <v>24.89999999999997</v>
      </c>
      <c r="D973" s="306">
        <f t="shared" ca="1" si="443"/>
        <v>-0.97851494658436811</v>
      </c>
      <c r="E973" s="307">
        <f t="shared" ca="1" si="444"/>
        <v>-9.8881437370503438</v>
      </c>
      <c r="F973" s="304">
        <f t="shared" ca="1" si="445"/>
        <v>9.9364419217976074</v>
      </c>
      <c r="G973" s="306">
        <f t="shared" ca="1" si="446"/>
        <v>50.085016350920185</v>
      </c>
      <c r="H973" s="307">
        <f t="shared" ca="1" si="447"/>
        <v>3.0187655238176312</v>
      </c>
      <c r="I973" s="304">
        <f t="shared" ca="1" si="448"/>
        <v>50.175908643090182</v>
      </c>
      <c r="J973" s="306">
        <f t="shared" ca="1" si="449"/>
        <v>2116.9113122517656</v>
      </c>
      <c r="K973" s="307">
        <f t="shared" ca="1" si="450"/>
        <v>4426.7695878988798</v>
      </c>
      <c r="L973" s="304">
        <f t="shared" ca="1" si="435"/>
        <v>4906.8933642668362</v>
      </c>
      <c r="M973" s="306">
        <f t="shared" ca="1" si="451"/>
        <v>6.0199998986787746E-2</v>
      </c>
      <c r="N973" s="304">
        <f t="shared" ca="1" si="452"/>
        <v>3.44920586863477</v>
      </c>
      <c r="P973" s="310">
        <f t="shared" ca="1" si="453"/>
        <v>23</v>
      </c>
      <c r="Q973" s="304">
        <f t="shared" ca="1" si="454"/>
        <v>0</v>
      </c>
      <c r="R973" s="306">
        <f t="shared" ca="1" si="455"/>
        <v>0</v>
      </c>
      <c r="S973" s="307">
        <f t="shared" ca="1" si="456"/>
        <v>11.416040186296438</v>
      </c>
      <c r="T973" s="304">
        <f t="shared" ca="1" si="436"/>
        <v>111.99135422756807</v>
      </c>
      <c r="U973" s="311">
        <f t="shared" ca="1" si="437"/>
        <v>0</v>
      </c>
      <c r="V973" s="306">
        <f t="shared" ca="1" si="438"/>
        <v>0.78099591459178441</v>
      </c>
      <c r="W973" s="304">
        <f t="shared" ca="1" si="439"/>
        <v>11.131814972235349</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-1.7625659028262437</v>
      </c>
      <c r="AH973" s="304">
        <f t="shared" ca="1" si="463"/>
        <v>-0.98163024827538892</v>
      </c>
    </row>
    <row r="974" spans="1:34" x14ac:dyDescent="0.2">
      <c r="A974" s="347">
        <f t="shared" ca="1" si="441"/>
        <v>0.1</v>
      </c>
      <c r="B974" s="304">
        <f t="shared" ca="1" si="442"/>
        <v>24.999999999999972</v>
      </c>
      <c r="D974" s="306">
        <f t="shared" ca="1" si="443"/>
        <v>-0.97333662208732086</v>
      </c>
      <c r="E974" s="307">
        <f t="shared" ca="1" si="444"/>
        <v>-9.868665749797092</v>
      </c>
      <c r="F974" s="304">
        <f t="shared" ca="1" si="445"/>
        <v>9.916549191181101</v>
      </c>
      <c r="G974" s="306">
        <f t="shared" ca="1" si="446"/>
        <v>49.987682688711452</v>
      </c>
      <c r="H974" s="307">
        <f t="shared" ca="1" si="447"/>
        <v>2.031898948837922</v>
      </c>
      <c r="I974" s="304">
        <f t="shared" ca="1" si="448"/>
        <v>50.028961951309675</v>
      </c>
      <c r="J974" s="306">
        <f t="shared" ca="1" si="449"/>
        <v>2121.914947203747</v>
      </c>
      <c r="K974" s="307">
        <f t="shared" ca="1" si="450"/>
        <v>4427.0221211225125</v>
      </c>
      <c r="L974" s="304">
        <f t="shared" ca="1" si="435"/>
        <v>4909.2818114338015</v>
      </c>
      <c r="M974" s="306">
        <f t="shared" ca="1" si="451"/>
        <v>4.0625627615882891E-2</v>
      </c>
      <c r="N974" s="304">
        <f t="shared" ca="1" si="452"/>
        <v>2.3276770024602143</v>
      </c>
      <c r="P974" s="310">
        <f t="shared" ca="1" si="453"/>
        <v>23</v>
      </c>
      <c r="Q974" s="304">
        <f t="shared" ca="1" si="454"/>
        <v>0</v>
      </c>
      <c r="R974" s="306">
        <f t="shared" ca="1" si="455"/>
        <v>0</v>
      </c>
      <c r="S974" s="307">
        <f t="shared" ca="1" si="456"/>
        <v>11.416040186296438</v>
      </c>
      <c r="T974" s="304">
        <f t="shared" ca="1" si="436"/>
        <v>111.99135422756807</v>
      </c>
      <c r="U974" s="311">
        <f t="shared" ca="1" si="437"/>
        <v>0</v>
      </c>
      <c r="V974" s="306">
        <f t="shared" ca="1" si="438"/>
        <v>0.78097517605835243</v>
      </c>
      <c r="W974" s="304">
        <f t="shared" ca="1" si="439"/>
        <v>11.06641463987107</v>
      </c>
      <c r="Y974" s="314" t="str">
        <f t="shared" ca="1" si="457"/>
        <v/>
      </c>
      <c r="Z974" s="315" t="str">
        <f t="shared" ca="1" si="458"/>
        <v/>
      </c>
      <c r="AA974" s="316" t="str">
        <f t="shared" ca="1" si="459"/>
        <v/>
      </c>
      <c r="AC974" s="310">
        <f t="shared" ca="1" si="460"/>
        <v>24.999999999999972</v>
      </c>
      <c r="AD974" s="323">
        <f t="shared" ca="1" si="461"/>
        <v>2121.914947203747</v>
      </c>
      <c r="AE974" s="324" t="e">
        <f t="shared" ca="1" si="440"/>
        <v>#N/A</v>
      </c>
      <c r="AG974" s="306">
        <f t="shared" ca="1" si="462"/>
        <v>-1.565308345932191</v>
      </c>
      <c r="AH974" s="304">
        <f t="shared" ca="1" si="463"/>
        <v>-0.975102994609088</v>
      </c>
    </row>
    <row r="975" spans="1:34" x14ac:dyDescent="0.2">
      <c r="A975" s="347">
        <f t="shared" ca="1" si="441"/>
        <v>0.1</v>
      </c>
      <c r="B975" s="304">
        <f t="shared" ca="1" si="442"/>
        <v>25.099999999999973</v>
      </c>
      <c r="D975" s="306">
        <f t="shared" ca="1" si="443"/>
        <v>-0.96857434624704419</v>
      </c>
      <c r="E975" s="307">
        <f t="shared" ca="1" si="444"/>
        <v>-9.8493706027196009</v>
      </c>
      <c r="F975" s="304">
        <f t="shared" ca="1" si="445"/>
        <v>9.8968801919556935</v>
      </c>
      <c r="G975" s="306">
        <f t="shared" ca="1" si="446"/>
        <v>49.890825254086749</v>
      </c>
      <c r="H975" s="307">
        <f t="shared" ca="1" si="447"/>
        <v>1.0469618885659617</v>
      </c>
      <c r="I975" s="304">
        <f t="shared" ca="1" si="448"/>
        <v>49.901809323209214</v>
      </c>
      <c r="J975" s="306">
        <f t="shared" ca="1" si="449"/>
        <v>2126.9088726008868</v>
      </c>
      <c r="K975" s="307">
        <f t="shared" ca="1" si="450"/>
        <v>4427.1760641643823</v>
      </c>
      <c r="L975" s="304">
        <f t="shared" ca="1" si="435"/>
        <v>4911.581135994641</v>
      </c>
      <c r="M975" s="306">
        <f t="shared" ca="1" si="451"/>
        <v>2.0981978938160169E-2</v>
      </c>
      <c r="N975" s="304">
        <f t="shared" ca="1" si="452"/>
        <v>1.2021788389889623</v>
      </c>
      <c r="P975" s="310">
        <f t="shared" ca="1" si="453"/>
        <v>23</v>
      </c>
      <c r="Q975" s="304">
        <f t="shared" ca="1" si="454"/>
        <v>0</v>
      </c>
      <c r="R975" s="306">
        <f t="shared" ca="1" si="455"/>
        <v>0</v>
      </c>
      <c r="S975" s="307">
        <f t="shared" ca="1" si="456"/>
        <v>11.416040186296438</v>
      </c>
      <c r="T975" s="304">
        <f t="shared" ca="1" si="436"/>
        <v>111.99135422756807</v>
      </c>
      <c r="U975" s="311">
        <f t="shared" ca="1" si="437"/>
        <v>0</v>
      </c>
      <c r="V975" s="306">
        <f t="shared" ca="1" si="438"/>
        <v>0.78096253415821193</v>
      </c>
      <c r="W975" s="304">
        <f t="shared" ca="1" si="439"/>
        <v>11.010055533936359</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-1.3678019728173292</v>
      </c>
      <c r="AH975" s="304">
        <f t="shared" ca="1" si="463"/>
        <v>-0.96937418397974362</v>
      </c>
    </row>
    <row r="976" spans="1:34" x14ac:dyDescent="0.2">
      <c r="A976" s="347">
        <f t="shared" ca="1" si="441"/>
        <v>0.1</v>
      </c>
      <c r="B976" s="304">
        <f t="shared" ca="1" si="442"/>
        <v>25.199999999999974</v>
      </c>
      <c r="D976" s="306">
        <f t="shared" ca="1" si="443"/>
        <v>-0.96422506323154067</v>
      </c>
      <c r="E976" s="307">
        <f t="shared" ca="1" si="444"/>
        <v>-9.8302343193976505</v>
      </c>
      <c r="F976" s="304">
        <f t="shared" ca="1" si="445"/>
        <v>9.8774104271730678</v>
      </c>
      <c r="G976" s="306">
        <f t="shared" ca="1" si="446"/>
        <v>49.794402747763598</v>
      </c>
      <c r="H976" s="307">
        <f t="shared" ca="1" si="447"/>
        <v>6.3938456626196682E-2</v>
      </c>
      <c r="I976" s="304">
        <f t="shared" ca="1" si="448"/>
        <v>49.794443797804618</v>
      </c>
      <c r="J976" s="306">
        <f t="shared" ca="1" si="449"/>
        <v>2131.8931340009794</v>
      </c>
      <c r="K976" s="307">
        <f t="shared" ca="1" si="450"/>
        <v>4427.2316091816419</v>
      </c>
      <c r="L976" s="304">
        <f t="shared" ca="1" si="435"/>
        <v>4913.7916170852823</v>
      </c>
      <c r="M976" s="306">
        <f t="shared" ca="1" si="451"/>
        <v>1.2840483660366941E-3</v>
      </c>
      <c r="N976" s="304">
        <f t="shared" ca="1" si="452"/>
        <v>7.3570552064572053E-2</v>
      </c>
      <c r="P976" s="310">
        <f t="shared" ca="1" si="453"/>
        <v>23</v>
      </c>
      <c r="Q976" s="304">
        <f t="shared" ca="1" si="454"/>
        <v>0</v>
      </c>
      <c r="R976" s="306">
        <f t="shared" ca="1" si="455"/>
        <v>0</v>
      </c>
      <c r="S976" s="307">
        <f t="shared" ca="1" si="456"/>
        <v>11.416040186296438</v>
      </c>
      <c r="T976" s="304">
        <f t="shared" ca="1" si="436"/>
        <v>111.99135422756807</v>
      </c>
      <c r="U976" s="311">
        <f t="shared" ca="1" si="437"/>
        <v>0</v>
      </c>
      <c r="V976" s="306">
        <f t="shared" ca="1" si="438"/>
        <v>0.78095797280531831</v>
      </c>
      <c r="W976" s="304">
        <f t="shared" ca="1" si="439"/>
        <v>10.962665415258099</v>
      </c>
      <c r="Y976" s="314" t="str">
        <f t="shared" ca="1" si="457"/>
        <v>Apogée</v>
      </c>
      <c r="Z976" s="315" t="str">
        <f t="shared" ca="1" si="458"/>
        <v/>
      </c>
      <c r="AA976" s="316" t="str">
        <f t="shared" ca="1" si="459"/>
        <v/>
      </c>
      <c r="AC976" s="310" t="e">
        <f t="shared" ca="1" si="460"/>
        <v>#N/A</v>
      </c>
      <c r="AD976" s="323" t="e">
        <f t="shared" ca="1" si="461"/>
        <v>#N/A</v>
      </c>
      <c r="AE976" s="324" t="e">
        <f t="shared" ca="1" si="440"/>
        <v>#N/A</v>
      </c>
      <c r="AG976" s="306">
        <f t="shared" ca="1" si="462"/>
        <v>-1.1702554599802322</v>
      </c>
      <c r="AH976" s="304">
        <f t="shared" ca="1" si="463"/>
        <v>-0.96443734905143252</v>
      </c>
    </row>
    <row r="977" spans="1:34" x14ac:dyDescent="0.2">
      <c r="A977" s="347">
        <f t="shared" ca="1" si="441"/>
        <v>0.1</v>
      </c>
      <c r="B977" s="304">
        <f t="shared" ca="1" si="442"/>
        <v>25.299999999999976</v>
      </c>
      <c r="D977" s="306">
        <f t="shared" ca="1" si="443"/>
        <v>-0.96028537030780581</v>
      </c>
      <c r="E977" s="307">
        <f t="shared" ca="1" si="444"/>
        <v>-9.8112330535383521</v>
      </c>
      <c r="F977" s="304">
        <f t="shared" ca="1" si="445"/>
        <v>9.8581155411808137</v>
      </c>
      <c r="G977" s="306">
        <f t="shared" ca="1" si="446"/>
        <v>49.698374210732815</v>
      </c>
      <c r="H977" s="307">
        <f t="shared" ca="1" si="447"/>
        <v>-0.91718484872763861</v>
      </c>
      <c r="I977" s="304">
        <f t="shared" ca="1" si="448"/>
        <v>49.706836825901206</v>
      </c>
      <c r="J977" s="306">
        <f t="shared" ca="1" si="449"/>
        <v>2136.8677728489042</v>
      </c>
      <c r="K977" s="307">
        <f t="shared" ca="1" si="450"/>
        <v>4427.1889468620366</v>
      </c>
      <c r="L977" s="304">
        <f t="shared" ca="1" si="435"/>
        <v>4915.9135315684334</v>
      </c>
      <c r="M977" s="306">
        <f t="shared" ca="1" si="451"/>
        <v>-1.8452932458496166E-2</v>
      </c>
      <c r="N977" s="304">
        <f t="shared" ca="1" si="452"/>
        <v>-1.0572751495117965</v>
      </c>
      <c r="P977" s="310">
        <f t="shared" ca="1" si="453"/>
        <v>23</v>
      </c>
      <c r="Q977" s="304">
        <f t="shared" ca="1" si="454"/>
        <v>0</v>
      </c>
      <c r="R977" s="306">
        <f t="shared" ca="1" si="455"/>
        <v>0</v>
      </c>
      <c r="S977" s="307">
        <f t="shared" ca="1" si="456"/>
        <v>11.416040186296438</v>
      </c>
      <c r="T977" s="304">
        <f t="shared" ca="1" si="436"/>
        <v>111.99135422756807</v>
      </c>
      <c r="U977" s="311">
        <f t="shared" ca="1" si="437"/>
        <v>0</v>
      </c>
      <c r="V977" s="306">
        <f t="shared" ca="1" si="438"/>
        <v>0.78096147623014311</v>
      </c>
      <c r="W977" s="304">
        <f t="shared" ca="1" si="439"/>
        <v>10.924173532561078</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-0.97288267296744491</v>
      </c>
      <c r="AH977" s="304">
        <f t="shared" ca="1" si="463"/>
        <v>-0.96028616195810523</v>
      </c>
    </row>
    <row r="978" spans="1:34" x14ac:dyDescent="0.2">
      <c r="A978" s="347">
        <f t="shared" ca="1" si="441"/>
        <v>0.1</v>
      </c>
      <c r="B978" s="304">
        <f t="shared" ca="1" si="442"/>
        <v>25.399999999999977</v>
      </c>
      <c r="D978" s="306">
        <f t="shared" ca="1" si="443"/>
        <v>-0.95675150998244585</v>
      </c>
      <c r="E978" s="307">
        <f t="shared" ca="1" si="444"/>
        <v>-9.7923431248428319</v>
      </c>
      <c r="F978" s="304">
        <f t="shared" ca="1" si="445"/>
        <v>9.8389713551016289</v>
      </c>
      <c r="G978" s="306">
        <f t="shared" ca="1" si="446"/>
        <v>49.602699059734569</v>
      </c>
      <c r="H978" s="307">
        <f t="shared" ca="1" si="447"/>
        <v>-1.8964191612119219</v>
      </c>
      <c r="I978" s="304">
        <f t="shared" ca="1" si="448"/>
        <v>49.638937938332283</v>
      </c>
      <c r="J978" s="306">
        <f t="shared" ca="1" si="449"/>
        <v>2141.8328265124278</v>
      </c>
      <c r="K978" s="307">
        <f t="shared" ca="1" si="450"/>
        <v>4427.0482666615399</v>
      </c>
      <c r="L978" s="304">
        <f t="shared" ca="1" si="435"/>
        <v>4917.9471542582842</v>
      </c>
      <c r="M978" s="306">
        <f t="shared" ca="1" si="451"/>
        <v>-3.8213565157690171E-2</v>
      </c>
      <c r="N978" s="304">
        <f t="shared" ca="1" si="452"/>
        <v>-2.1894760036838208</v>
      </c>
      <c r="P978" s="310">
        <f t="shared" ca="1" si="453"/>
        <v>23</v>
      </c>
      <c r="Q978" s="304">
        <f t="shared" ca="1" si="454"/>
        <v>0</v>
      </c>
      <c r="R978" s="306">
        <f t="shared" ca="1" si="455"/>
        <v>0</v>
      </c>
      <c r="S978" s="307">
        <f t="shared" ca="1" si="456"/>
        <v>11.416040186296438</v>
      </c>
      <c r="T978" s="304">
        <f t="shared" ca="1" si="436"/>
        <v>111.99135422756807</v>
      </c>
      <c r="U978" s="311">
        <f t="shared" ca="1" si="437"/>
        <v>0</v>
      </c>
      <c r="V978" s="306">
        <f t="shared" ca="1" si="438"/>
        <v>0.78097302895888787</v>
      </c>
      <c r="W978" s="304">
        <f t="shared" ca="1" si="439"/>
        <v>10.894510520115146</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-0.7759014309686747</v>
      </c>
      <c r="AH978" s="304">
        <f t="shared" ca="1" si="463"/>
        <v>-0.95691442516768754</v>
      </c>
    </row>
    <row r="979" spans="1:34" x14ac:dyDescent="0.2">
      <c r="A979" s="347">
        <f t="shared" ca="1" si="441"/>
        <v>0.1</v>
      </c>
      <c r="B979" s="304">
        <f t="shared" ca="1" si="442"/>
        <v>25.499999999999979</v>
      </c>
      <c r="D979" s="306">
        <f t="shared" ca="1" si="443"/>
        <v>-0.95361936461409025</v>
      </c>
      <c r="E979" s="307">
        <f t="shared" ca="1" si="444"/>
        <v>-9.7735410558328883</v>
      </c>
      <c r="F979" s="304">
        <f t="shared" ca="1" si="445"/>
        <v>9.8199539032837642</v>
      </c>
      <c r="G979" s="306">
        <f t="shared" ca="1" si="446"/>
        <v>49.50733712327316</v>
      </c>
      <c r="H979" s="307">
        <f t="shared" ca="1" si="447"/>
        <v>-2.8737732667952107</v>
      </c>
      <c r="I979" s="304">
        <f t="shared" ca="1" si="448"/>
        <v>49.590674544982427</v>
      </c>
      <c r="J979" s="306">
        <f t="shared" ca="1" si="449"/>
        <v>2146.7883283215783</v>
      </c>
      <c r="K979" s="307">
        <f t="shared" ca="1" si="450"/>
        <v>4426.8097570401396</v>
      </c>
      <c r="L979" s="304">
        <f t="shared" ca="1" si="435"/>
        <v>4919.8927581445851</v>
      </c>
      <c r="M979" s="306">
        <f t="shared" ca="1" si="451"/>
        <v>-5.7982356032095755E-2</v>
      </c>
      <c r="N979" s="304">
        <f t="shared" ca="1" si="452"/>
        <v>-3.3221442868639972</v>
      </c>
      <c r="P979" s="310">
        <f t="shared" ca="1" si="453"/>
        <v>23</v>
      </c>
      <c r="Q979" s="304">
        <f t="shared" ca="1" si="454"/>
        <v>0</v>
      </c>
      <c r="R979" s="306">
        <f t="shared" ca="1" si="455"/>
        <v>0</v>
      </c>
      <c r="S979" s="307">
        <f t="shared" ca="1" si="456"/>
        <v>11.416040186296438</v>
      </c>
      <c r="T979" s="304">
        <f t="shared" ca="1" si="436"/>
        <v>111.99135422756807</v>
      </c>
      <c r="U979" s="311">
        <f t="shared" ca="1" si="437"/>
        <v>0</v>
      </c>
      <c r="V979" s="306">
        <f t="shared" ca="1" si="438"/>
        <v>0.78099261579288015</v>
      </c>
      <c r="W979" s="304">
        <f t="shared" ca="1" si="439"/>
        <v>10.873608297389023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-0.57953221853887271</v>
      </c>
      <c r="AH979" s="304">
        <f t="shared" ca="1" si="463"/>
        <v>-0.95431606251637713</v>
      </c>
    </row>
    <row r="980" spans="1:34" x14ac:dyDescent="0.2">
      <c r="A980" s="347">
        <f t="shared" ca="1" si="441"/>
        <v>0.1</v>
      </c>
      <c r="B980" s="304">
        <f t="shared" ca="1" si="442"/>
        <v>25.59999999999998</v>
      </c>
      <c r="D980" s="306">
        <f t="shared" ca="1" si="443"/>
        <v>-0.9508844535604003</v>
      </c>
      <c r="E980" s="307">
        <f t="shared" ca="1" si="444"/>
        <v>-9.7548036092983796</v>
      </c>
      <c r="F980" s="304">
        <f t="shared" ca="1" si="445"/>
        <v>9.8010394703829018</v>
      </c>
      <c r="G980" s="306">
        <f t="shared" ca="1" si="446"/>
        <v>49.41224867791712</v>
      </c>
      <c r="H980" s="307">
        <f t="shared" ca="1" si="447"/>
        <v>-3.8492536277250489</v>
      </c>
      <c r="I980" s="304">
        <f t="shared" ca="1" si="448"/>
        <v>49.561951867323351</v>
      </c>
      <c r="J980" s="306">
        <f t="shared" ca="1" si="449"/>
        <v>2151.7343076116376</v>
      </c>
      <c r="K980" s="307">
        <f t="shared" ca="1" si="450"/>
        <v>4426.4736056954134</v>
      </c>
      <c r="L980" s="304">
        <f t="shared" ca="1" si="435"/>
        <v>4921.7506146158084</v>
      </c>
      <c r="M980" s="306">
        <f t="shared" ca="1" si="451"/>
        <v>-7.7743788572178965E-2</v>
      </c>
      <c r="N980" s="304">
        <f t="shared" ca="1" si="452"/>
        <v>-4.4543909685432554</v>
      </c>
      <c r="P980" s="310">
        <f t="shared" ca="1" si="453"/>
        <v>23</v>
      </c>
      <c r="Q980" s="304">
        <f t="shared" ca="1" si="454"/>
        <v>0</v>
      </c>
      <c r="R980" s="306">
        <f t="shared" ca="1" si="455"/>
        <v>0</v>
      </c>
      <c r="S980" s="307">
        <f t="shared" ca="1" si="456"/>
        <v>11.416040186296438</v>
      </c>
      <c r="T980" s="304">
        <f t="shared" ca="1" si="436"/>
        <v>111.99135422756807</v>
      </c>
      <c r="U980" s="311">
        <f t="shared" ca="1" si="437"/>
        <v>0</v>
      </c>
      <c r="V980" s="306">
        <f t="shared" ca="1" si="438"/>
        <v>0.78102022178817032</v>
      </c>
      <c r="W980" s="304">
        <f t="shared" ca="1" si="439"/>
        <v>10.861399970779079</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-0.38399686124821486</v>
      </c>
      <c r="AH980" s="304">
        <f t="shared" ca="1" si="463"/>
        <v>-0.95248511041871253</v>
      </c>
    </row>
    <row r="981" spans="1:34" x14ac:dyDescent="0.2">
      <c r="A981" s="347">
        <f t="shared" ca="1" si="441"/>
        <v>0.1</v>
      </c>
      <c r="B981" s="304">
        <f t="shared" ca="1" si="442"/>
        <v>25.699999999999982</v>
      </c>
      <c r="D981" s="306">
        <f t="shared" ca="1" si="443"/>
        <v>-0.94854193288940492</v>
      </c>
      <c r="E981" s="307">
        <f t="shared" ca="1" si="444"/>
        <v>-9.7361078260165161</v>
      </c>
      <c r="F981" s="304">
        <f t="shared" ca="1" si="445"/>
        <v>9.7822046287260633</v>
      </c>
      <c r="G981" s="306">
        <f t="shared" ca="1" si="446"/>
        <v>49.317394484628181</v>
      </c>
      <c r="H981" s="307">
        <f t="shared" ca="1" si="447"/>
        <v>-4.8228644103267007</v>
      </c>
      <c r="I981" s="304">
        <f t="shared" ca="1" si="448"/>
        <v>49.552653005392457</v>
      </c>
      <c r="J981" s="306">
        <f t="shared" ca="1" si="449"/>
        <v>2156.6707897697647</v>
      </c>
      <c r="K981" s="307">
        <f t="shared" ca="1" si="450"/>
        <v>4426.039999793511</v>
      </c>
      <c r="L981" s="304">
        <f t="shared" ca="1" si="435"/>
        <v>4923.5209936810752</v>
      </c>
      <c r="M981" s="306">
        <f t="shared" ca="1" si="451"/>
        <v>-9.74823962210737E-2</v>
      </c>
      <c r="N981" s="304">
        <f t="shared" ca="1" si="452"/>
        <v>-5.5853298802895681</v>
      </c>
      <c r="P981" s="310">
        <f t="shared" ca="1" si="453"/>
        <v>23</v>
      </c>
      <c r="Q981" s="304">
        <f t="shared" ca="1" si="454"/>
        <v>0</v>
      </c>
      <c r="R981" s="306">
        <f t="shared" ca="1" si="455"/>
        <v>0</v>
      </c>
      <c r="S981" s="307">
        <f t="shared" ca="1" si="456"/>
        <v>11.416040186296438</v>
      </c>
      <c r="T981" s="304">
        <f t="shared" ca="1" si="436"/>
        <v>111.99135422756807</v>
      </c>
      <c r="U981" s="311">
        <f t="shared" ca="1" si="437"/>
        <v>0</v>
      </c>
      <c r="V981" s="306">
        <f t="shared" ca="1" si="438"/>
        <v>0.78105583223536157</v>
      </c>
      <c r="W981" s="304">
        <f t="shared" ca="1" si="439"/>
        <v>10.857819737485192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-0.18951718296510256</v>
      </c>
      <c r="AH981" s="304">
        <f t="shared" ca="1" si="463"/>
        <v>-0.95141570925940355</v>
      </c>
    </row>
    <row r="982" spans="1:34" x14ac:dyDescent="0.2">
      <c r="A982" s="347">
        <f t="shared" ca="1" si="441"/>
        <v>0.1</v>
      </c>
      <c r="B982" s="304">
        <f t="shared" ca="1" si="442"/>
        <v>25.799999999999983</v>
      </c>
      <c r="D982" s="306">
        <f t="shared" ca="1" si="443"/>
        <v>-0.9465865976509259</v>
      </c>
      <c r="E982" s="307">
        <f t="shared" ca="1" si="444"/>
        <v>-9.7174310623906575</v>
      </c>
      <c r="F982" s="304">
        <f t="shared" ca="1" si="445"/>
        <v>9.7634262756046439</v>
      </c>
      <c r="G982" s="306">
        <f t="shared" ca="1" si="446"/>
        <v>49.222735824863086</v>
      </c>
      <c r="H982" s="307">
        <f t="shared" ca="1" si="447"/>
        <v>-5.7946075165657662</v>
      </c>
      <c r="I982" s="304">
        <f t="shared" ca="1" si="448"/>
        <v>49.562639138319703</v>
      </c>
      <c r="J982" s="306">
        <f t="shared" ca="1" si="449"/>
        <v>2161.5977962852394</v>
      </c>
      <c r="K982" s="307">
        <f t="shared" ca="1" si="450"/>
        <v>4425.5091261971666</v>
      </c>
      <c r="L982" s="304">
        <f t="shared" ca="1" si="435"/>
        <v>4925.2041641905171</v>
      </c>
      <c r="M982" s="306">
        <f t="shared" ca="1" si="451"/>
        <v>-0.11718283453666721</v>
      </c>
      <c r="N982" s="304">
        <f t="shared" ca="1" si="452"/>
        <v>-6.714081850330893</v>
      </c>
      <c r="P982" s="310">
        <f t="shared" ca="1" si="453"/>
        <v>23</v>
      </c>
      <c r="Q982" s="304">
        <f t="shared" ca="1" si="454"/>
        <v>0</v>
      </c>
      <c r="R982" s="306">
        <f t="shared" ca="1" si="455"/>
        <v>0</v>
      </c>
      <c r="S982" s="307">
        <f t="shared" ca="1" si="456"/>
        <v>11.416040186296438</v>
      </c>
      <c r="T982" s="304">
        <f t="shared" ca="1" si="436"/>
        <v>111.99135422756807</v>
      </c>
      <c r="U982" s="311">
        <f t="shared" ca="1" si="437"/>
        <v>0</v>
      </c>
      <c r="V982" s="306">
        <f t="shared" ca="1" si="438"/>
        <v>0.78109943263970205</v>
      </c>
      <c r="W982" s="304">
        <f t="shared" ca="1" si="439"/>
        <v>10.86280279160767</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3.6863370438405818E-3</v>
      </c>
      <c r="AH982" s="304">
        <f t="shared" ca="1" si="463"/>
        <v>-0.95110209497323583</v>
      </c>
    </row>
    <row r="983" spans="1:34" x14ac:dyDescent="0.2">
      <c r="A983" s="347">
        <f t="shared" ca="1" si="441"/>
        <v>0.1</v>
      </c>
      <c r="B983" s="304">
        <f t="shared" ca="1" si="442"/>
        <v>25.899999999999984</v>
      </c>
      <c r="D983" s="306">
        <f t="shared" ca="1" si="443"/>
        <v>-0.94501288666970407</v>
      </c>
      <c r="E983" s="307">
        <f t="shared" ca="1" si="444"/>
        <v>-9.6987510276586093</v>
      </c>
      <c r="F983" s="304">
        <f t="shared" ca="1" si="445"/>
        <v>9.7446816701460666</v>
      </c>
      <c r="G983" s="306">
        <f t="shared" ca="1" si="446"/>
        <v>49.128234536196118</v>
      </c>
      <c r="H983" s="307">
        <f t="shared" ca="1" si="447"/>
        <v>-6.764482619331627</v>
      </c>
      <c r="I983" s="304">
        <f t="shared" ca="1" si="448"/>
        <v>49.591749855704151</v>
      </c>
      <c r="J983" s="306">
        <f t="shared" ca="1" si="449"/>
        <v>2166.5153448032925</v>
      </c>
      <c r="K983" s="307">
        <f t="shared" ca="1" si="450"/>
        <v>4424.881171690372</v>
      </c>
      <c r="L983" s="304">
        <f t="shared" ca="1" si="435"/>
        <v>4926.8003940537401</v>
      </c>
      <c r="M983" s="306">
        <f t="shared" ca="1" si="451"/>
        <v>-0.13682995191439981</v>
      </c>
      <c r="N983" s="304">
        <f t="shared" ca="1" si="452"/>
        <v>-7.839778755673108</v>
      </c>
      <c r="P983" s="310">
        <f t="shared" ca="1" si="453"/>
        <v>23</v>
      </c>
      <c r="Q983" s="304">
        <f t="shared" ca="1" si="454"/>
        <v>0</v>
      </c>
      <c r="R983" s="306">
        <f t="shared" ca="1" si="455"/>
        <v>0</v>
      </c>
      <c r="S983" s="307">
        <f t="shared" ca="1" si="456"/>
        <v>11.416040186296438</v>
      </c>
      <c r="T983" s="304">
        <f t="shared" ca="1" si="436"/>
        <v>111.99135422756807</v>
      </c>
      <c r="U983" s="311">
        <f t="shared" ca="1" si="437"/>
        <v>0</v>
      </c>
      <c r="V983" s="306">
        <f t="shared" ca="1" si="438"/>
        <v>0.78115100870146248</v>
      </c>
      <c r="W983" s="304">
        <f t="shared" ca="1" si="439"/>
        <v>10.87628523254045</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0.19539588897817373</v>
      </c>
      <c r="AH983" s="304">
        <f t="shared" ca="1" si="463"/>
        <v>-0.95153859081953285</v>
      </c>
    </row>
    <row r="984" spans="1:34" x14ac:dyDescent="0.2">
      <c r="A984" s="347">
        <f t="shared" ca="1" si="441"/>
        <v>0.1</v>
      </c>
      <c r="B984" s="304">
        <f t="shared" ca="1" si="442"/>
        <v>25.999999999999986</v>
      </c>
      <c r="D984" s="306">
        <f t="shared" ca="1" si="443"/>
        <v>-0.94381488978847272</v>
      </c>
      <c r="E984" s="307">
        <f t="shared" ca="1" si="444"/>
        <v>-9.680045820328905</v>
      </c>
      <c r="F984" s="304">
        <f t="shared" ca="1" si="445"/>
        <v>9.7259484694220717</v>
      </c>
      <c r="G984" s="306">
        <f t="shared" ca="1" si="446"/>
        <v>49.033853047217271</v>
      </c>
      <c r="H984" s="307">
        <f t="shared" ca="1" si="447"/>
        <v>-7.7324872013645178</v>
      </c>
      <c r="I984" s="304">
        <f t="shared" ca="1" si="448"/>
        <v>49.639803615398847</v>
      </c>
      <c r="J984" s="306">
        <f t="shared" ca="1" si="449"/>
        <v>2171.4234491824632</v>
      </c>
      <c r="K984" s="307">
        <f t="shared" ca="1" si="450"/>
        <v>4424.1563231993368</v>
      </c>
      <c r="L984" s="304">
        <f t="shared" ca="1" si="435"/>
        <v>4928.3099504560523</v>
      </c>
      <c r="M984" s="306">
        <f t="shared" ca="1" si="451"/>
        <v>-0.15640885806344182</v>
      </c>
      <c r="N984" s="304">
        <f t="shared" ca="1" si="452"/>
        <v>-8.96156744549595</v>
      </c>
      <c r="P984" s="310">
        <f t="shared" ca="1" si="453"/>
        <v>23</v>
      </c>
      <c r="Q984" s="304">
        <f t="shared" ca="1" si="454"/>
        <v>0</v>
      </c>
      <c r="R984" s="306">
        <f t="shared" ca="1" si="455"/>
        <v>0</v>
      </c>
      <c r="S984" s="307">
        <f t="shared" ca="1" si="456"/>
        <v>11.416040186296438</v>
      </c>
      <c r="T984" s="304">
        <f t="shared" ca="1" si="436"/>
        <v>111.99135422756807</v>
      </c>
      <c r="U984" s="311">
        <f t="shared" ca="1" si="437"/>
        <v>0</v>
      </c>
      <c r="V984" s="306">
        <f t="shared" ca="1" si="438"/>
        <v>0.78121054629662878</v>
      </c>
      <c r="W984" s="304">
        <f t="shared" ca="1" si="439"/>
        <v>10.898203975735196</v>
      </c>
      <c r="Y984" s="314" t="str">
        <f t="shared" ca="1" si="457"/>
        <v/>
      </c>
      <c r="Z984" s="315" t="str">
        <f t="shared" ca="1" si="458"/>
        <v/>
      </c>
      <c r="AA984" s="316" t="str">
        <f t="shared" ca="1" si="459"/>
        <v/>
      </c>
      <c r="AC984" s="310">
        <f t="shared" ca="1" si="460"/>
        <v>25.999999999999986</v>
      </c>
      <c r="AD984" s="323">
        <f t="shared" ca="1" si="461"/>
        <v>2171.4234491824632</v>
      </c>
      <c r="AE984" s="324" t="e">
        <f t="shared" ca="1" si="440"/>
        <v>#N/A</v>
      </c>
      <c r="AG984" s="306">
        <f t="shared" ca="1" si="462"/>
        <v>0.38539762152530921</v>
      </c>
      <c r="AH984" s="304">
        <f t="shared" ca="1" si="463"/>
        <v>-0.95271959935776174</v>
      </c>
    </row>
    <row r="985" spans="1:34" x14ac:dyDescent="0.2">
      <c r="A985" s="347">
        <f t="shared" ca="1" si="441"/>
        <v>0.1</v>
      </c>
      <c r="B985" s="304">
        <f t="shared" ca="1" si="442"/>
        <v>26.099999999999987</v>
      </c>
      <c r="D985" s="306">
        <f t="shared" ca="1" si="443"/>
        <v>-0.94298635745734194</v>
      </c>
      <c r="E985" s="307">
        <f t="shared" ca="1" si="444"/>
        <v>-9.6612939635178421</v>
      </c>
      <c r="F985" s="304">
        <f t="shared" ca="1" si="445"/>
        <v>9.707204763465997</v>
      </c>
      <c r="G985" s="306">
        <f t="shared" ca="1" si="446"/>
        <v>48.939554411471534</v>
      </c>
      <c r="H985" s="307">
        <f t="shared" ca="1" si="447"/>
        <v>-8.6986165977163026</v>
      </c>
      <c r="I985" s="304">
        <f t="shared" ca="1" si="448"/>
        <v>49.706598321625755</v>
      </c>
      <c r="J985" s="306">
        <f t="shared" ca="1" si="449"/>
        <v>2176.3221195553974</v>
      </c>
      <c r="K985" s="307">
        <f t="shared" ca="1" si="450"/>
        <v>4423.334768009383</v>
      </c>
      <c r="L985" s="304">
        <f t="shared" ca="1" si="435"/>
        <v>4929.7331000721242</v>
      </c>
      <c r="M985" s="306">
        <f t="shared" ca="1" si="451"/>
        <v>-0.17590498947720595</v>
      </c>
      <c r="N985" s="304">
        <f t="shared" ca="1" si="452"/>
        <v>-10.078613492337059</v>
      </c>
      <c r="P985" s="310">
        <f t="shared" ca="1" si="453"/>
        <v>23</v>
      </c>
      <c r="Q985" s="304">
        <f t="shared" ca="1" si="454"/>
        <v>0</v>
      </c>
      <c r="R985" s="306">
        <f t="shared" ca="1" si="455"/>
        <v>0</v>
      </c>
      <c r="S985" s="307">
        <f t="shared" ca="1" si="456"/>
        <v>11.416040186296438</v>
      </c>
      <c r="T985" s="304">
        <f t="shared" ca="1" si="436"/>
        <v>111.99135422756807</v>
      </c>
      <c r="U985" s="311">
        <f t="shared" ca="1" si="437"/>
        <v>0</v>
      </c>
      <c r="V985" s="306">
        <f t="shared" ca="1" si="438"/>
        <v>0.78127803145793484</v>
      </c>
      <c r="W985" s="304">
        <f t="shared" ca="1" si="439"/>
        <v>10.928496665909794</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0.57348287807482412</v>
      </c>
      <c r="AH985" s="304">
        <f t="shared" ca="1" si="463"/>
        <v>-0.95463959463082115</v>
      </c>
    </row>
    <row r="986" spans="1:34" x14ac:dyDescent="0.2">
      <c r="A986" s="347">
        <f t="shared" ca="1" si="441"/>
        <v>0.1</v>
      </c>
      <c r="B986" s="304">
        <f t="shared" ca="1" si="442"/>
        <v>26.199999999999989</v>
      </c>
      <c r="D986" s="306">
        <f t="shared" ca="1" si="443"/>
        <v>-0.94252071253633307</v>
      </c>
      <c r="E986" s="307">
        <f t="shared" ca="1" si="444"/>
        <v>-9.6424744388796864</v>
      </c>
      <c r="F986" s="304">
        <f t="shared" ca="1" si="445"/>
        <v>9.6884291088910857</v>
      </c>
      <c r="G986" s="306">
        <f t="shared" ca="1" si="446"/>
        <v>48.845302340217899</v>
      </c>
      <c r="H986" s="307">
        <f t="shared" ca="1" si="447"/>
        <v>-9.662864041604271</v>
      </c>
      <c r="I986" s="304">
        <f t="shared" ca="1" si="448"/>
        <v>49.791912015846762</v>
      </c>
      <c r="J986" s="306">
        <f t="shared" ca="1" si="449"/>
        <v>2181.2113623929818</v>
      </c>
      <c r="K986" s="307">
        <f t="shared" ca="1" si="450"/>
        <v>4422.4166939774168</v>
      </c>
      <c r="L986" s="304">
        <f t="shared" ca="1" si="435"/>
        <v>4931.0701092767267</v>
      </c>
      <c r="M986" s="306">
        <f t="shared" ca="1" si="451"/>
        <v>-0.19530417120280696</v>
      </c>
      <c r="N986" s="304">
        <f t="shared" ca="1" si="452"/>
        <v>-11.190104731221309</v>
      </c>
      <c r="P986" s="310">
        <f t="shared" ca="1" si="453"/>
        <v>23</v>
      </c>
      <c r="Q986" s="304">
        <f t="shared" ca="1" si="454"/>
        <v>0</v>
      </c>
      <c r="R986" s="306">
        <f t="shared" ca="1" si="455"/>
        <v>0</v>
      </c>
      <c r="S986" s="307">
        <f t="shared" ca="1" si="456"/>
        <v>11.416040186296438</v>
      </c>
      <c r="T986" s="304">
        <f t="shared" ca="1" si="436"/>
        <v>111.99135422756807</v>
      </c>
      <c r="U986" s="311">
        <f t="shared" ca="1" si="437"/>
        <v>0</v>
      </c>
      <c r="V986" s="306">
        <f t="shared" ca="1" si="438"/>
        <v>0.78135345035626369</v>
      </c>
      <c r="W986" s="304">
        <f t="shared" ca="1" si="439"/>
        <v>10.967101592771806</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0.7594493644027851</v>
      </c>
      <c r="AH986" s="304">
        <f t="shared" ca="1" si="463"/>
        <v>-0.95729311456244859</v>
      </c>
    </row>
    <row r="987" spans="1:34" x14ac:dyDescent="0.2">
      <c r="A987" s="347">
        <f t="shared" ca="1" si="441"/>
        <v>0.1</v>
      </c>
      <c r="B987" s="304">
        <f t="shared" ca="1" si="442"/>
        <v>26.29999999999999</v>
      </c>
      <c r="D987" s="306">
        <f t="shared" ca="1" si="443"/>
        <v>-0.94241106415129272</v>
      </c>
      <c r="E987" s="307">
        <f t="shared" ca="1" si="444"/>
        <v>-9.6235667188469929</v>
      </c>
      <c r="F987" s="304">
        <f t="shared" ca="1" si="445"/>
        <v>9.6696005608264013</v>
      </c>
      <c r="G987" s="306">
        <f t="shared" ca="1" si="446"/>
        <v>48.751061233802773</v>
      </c>
      <c r="H987" s="307">
        <f t="shared" ca="1" si="447"/>
        <v>-10.62522071348897</v>
      </c>
      <c r="I987" s="304">
        <f t="shared" ca="1" si="448"/>
        <v>49.895503671496719</v>
      </c>
      <c r="J987" s="306">
        <f t="shared" ca="1" si="449"/>
        <v>2186.0911805716828</v>
      </c>
      <c r="K987" s="307">
        <f t="shared" ca="1" si="450"/>
        <v>4421.4022897396617</v>
      </c>
      <c r="L987" s="304">
        <f t="shared" ca="1" si="435"/>
        <v>4932.3212443522389</v>
      </c>
      <c r="M987" s="306">
        <f t="shared" ca="1" si="451"/>
        <v>-0.21459267429095272</v>
      </c>
      <c r="N987" s="304">
        <f t="shared" ca="1" si="452"/>
        <v>-12.295254551297116</v>
      </c>
      <c r="P987" s="310">
        <f t="shared" ca="1" si="453"/>
        <v>23</v>
      </c>
      <c r="Q987" s="304">
        <f t="shared" ca="1" si="454"/>
        <v>0</v>
      </c>
      <c r="R987" s="306">
        <f t="shared" ca="1" si="455"/>
        <v>0</v>
      </c>
      <c r="S987" s="307">
        <f t="shared" ca="1" si="456"/>
        <v>11.416040186296438</v>
      </c>
      <c r="T987" s="304">
        <f t="shared" ca="1" si="436"/>
        <v>111.99135422756807</v>
      </c>
      <c r="U987" s="311">
        <f t="shared" ca="1" si="437"/>
        <v>0</v>
      </c>
      <c r="V987" s="306">
        <f t="shared" ca="1" si="438"/>
        <v>0.78143678928243709</v>
      </c>
      <c r="W987" s="304">
        <f t="shared" ca="1" si="439"/>
        <v>11.013957609323889</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0.94310223369901336</v>
      </c>
      <c r="AH987" s="304">
        <f t="shared" ca="1" si="463"/>
        <v>-0.96067475357492804</v>
      </c>
    </row>
    <row r="988" spans="1:34" x14ac:dyDescent="0.2">
      <c r="A988" s="347">
        <f t="shared" ca="1" si="441"/>
        <v>0.1</v>
      </c>
      <c r="B988" s="304">
        <f t="shared" ca="1" si="442"/>
        <v>26.399999999999991</v>
      </c>
      <c r="D988" s="306">
        <f t="shared" ca="1" si="443"/>
        <v>-0.94265022342038651</v>
      </c>
      <c r="E988" s="307">
        <f t="shared" ca="1" si="444"/>
        <v>-9.6045507969267234</v>
      </c>
      <c r="F988" s="304">
        <f t="shared" ca="1" si="445"/>
        <v>9.6506987029157774</v>
      </c>
      <c r="G988" s="306">
        <f t="shared" ca="1" si="446"/>
        <v>48.656796211460737</v>
      </c>
      <c r="H988" s="307">
        <f t="shared" ca="1" si="447"/>
        <v>-11.585675793181641</v>
      </c>
      <c r="I988" s="304">
        <f t="shared" ca="1" si="448"/>
        <v>50.017114082565129</v>
      </c>
      <c r="J988" s="306">
        <f t="shared" ca="1" si="449"/>
        <v>2190.9615734439458</v>
      </c>
      <c r="K988" s="307">
        <f t="shared" ca="1" si="450"/>
        <v>4420.2917449143279</v>
      </c>
      <c r="L988" s="304">
        <f t="shared" ca="1" si="435"/>
        <v>4933.4867716925846</v>
      </c>
      <c r="M988" s="306">
        <f t="shared" ca="1" si="451"/>
        <v>-0.23375726839531741</v>
      </c>
      <c r="N988" s="304">
        <f t="shared" ca="1" si="452"/>
        <v>-13.393304909558513</v>
      </c>
      <c r="P988" s="310">
        <f t="shared" ca="1" si="453"/>
        <v>23</v>
      </c>
      <c r="Q988" s="304">
        <f t="shared" ca="1" si="454"/>
        <v>0</v>
      </c>
      <c r="R988" s="306">
        <f t="shared" ca="1" si="455"/>
        <v>0</v>
      </c>
      <c r="S988" s="307">
        <f t="shared" ca="1" si="456"/>
        <v>11.416040186296438</v>
      </c>
      <c r="T988" s="304">
        <f t="shared" ca="1" si="436"/>
        <v>111.99135422756807</v>
      </c>
      <c r="U988" s="311">
        <f t="shared" ca="1" si="437"/>
        <v>0</v>
      </c>
      <c r="V988" s="306">
        <f t="shared" ca="1" si="438"/>
        <v>0.78152803462942022</v>
      </c>
      <c r="W988" s="304">
        <f t="shared" ca="1" si="439"/>
        <v>11.069004052813634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1.1242550767010826</v>
      </c>
      <c r="AH988" s="304">
        <f t="shared" ca="1" si="463"/>
        <v>-0.96477915543296699</v>
      </c>
    </row>
    <row r="989" spans="1:34" x14ac:dyDescent="0.2">
      <c r="A989" s="347">
        <f t="shared" ca="1" si="441"/>
        <v>0.1</v>
      </c>
      <c r="B989" s="304">
        <f t="shared" ca="1" si="442"/>
        <v>26.499999999999993</v>
      </c>
      <c r="D989" s="306">
        <f t="shared" ca="1" si="443"/>
        <v>-0.94323072084933501</v>
      </c>
      <c r="E989" s="307">
        <f t="shared" ca="1" si="444"/>
        <v>-9.5854072158298944</v>
      </c>
      <c r="F989" s="304">
        <f t="shared" ca="1" si="445"/>
        <v>9.6317036751572545</v>
      </c>
      <c r="G989" s="306">
        <f t="shared" ca="1" si="446"/>
        <v>48.562473139375804</v>
      </c>
      <c r="H989" s="307">
        <f t="shared" ca="1" si="447"/>
        <v>-12.544216514764631</v>
      </c>
      <c r="I989" s="304">
        <f t="shared" ca="1" si="448"/>
        <v>50.156466835113996</v>
      </c>
      <c r="J989" s="306">
        <f t="shared" ca="1" si="449"/>
        <v>2195.8225369114875</v>
      </c>
      <c r="K989" s="307">
        <f t="shared" ca="1" si="450"/>
        <v>4419.085250298931</v>
      </c>
      <c r="L989" s="304">
        <f t="shared" ca="1" si="435"/>
        <v>4934.5669580033027</v>
      </c>
      <c r="M989" s="306">
        <f t="shared" ca="1" si="451"/>
        <v>-0.25278526908592186</v>
      </c>
      <c r="N989" s="304">
        <f t="shared" ca="1" si="452"/>
        <v>-14.483529041702164</v>
      </c>
      <c r="P989" s="310">
        <f t="shared" ca="1" si="453"/>
        <v>23</v>
      </c>
      <c r="Q989" s="304">
        <f t="shared" ca="1" si="454"/>
        <v>0</v>
      </c>
      <c r="R989" s="306">
        <f t="shared" ca="1" si="455"/>
        <v>0</v>
      </c>
      <c r="S989" s="307">
        <f t="shared" ca="1" si="456"/>
        <v>11.416040186296438</v>
      </c>
      <c r="T989" s="304">
        <f t="shared" ca="1" si="436"/>
        <v>111.99135422756807</v>
      </c>
      <c r="U989" s="311">
        <f t="shared" ca="1" si="437"/>
        <v>0</v>
      </c>
      <c r="V989" s="306">
        <f t="shared" ca="1" si="438"/>
        <v>0.78162717287496108</v>
      </c>
      <c r="W989" s="304">
        <f t="shared" ca="1" si="439"/>
        <v>11.132180668384638</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1.3027308068177144</v>
      </c>
      <c r="AH989" s="304">
        <f t="shared" ca="1" si="463"/>
        <v>-0.96960100631921575</v>
      </c>
    </row>
    <row r="990" spans="1:34" x14ac:dyDescent="0.2">
      <c r="A990" s="347">
        <f t="shared" ca="1" si="441"/>
        <v>0.1</v>
      </c>
      <c r="B990" s="304">
        <f t="shared" ca="1" si="442"/>
        <v>26.599999999999994</v>
      </c>
      <c r="D990" s="306">
        <f t="shared" ca="1" si="443"/>
        <v>-0.94414482517878306</v>
      </c>
      <c r="E990" s="307">
        <f t="shared" ca="1" si="444"/>
        <v>-9.5661170932471702</v>
      </c>
      <c r="F990" s="304">
        <f t="shared" ca="1" si="445"/>
        <v>9.6125961993952274</v>
      </c>
      <c r="G990" s="306">
        <f t="shared" ca="1" si="446"/>
        <v>48.468058656857927</v>
      </c>
      <c r="H990" s="307">
        <f t="shared" ca="1" si="447"/>
        <v>-13.500828224089348</v>
      </c>
      <c r="I990" s="304">
        <f t="shared" ca="1" si="448"/>
        <v>50.313269350152432</v>
      </c>
      <c r="J990" s="306">
        <f t="shared" ca="1" si="449"/>
        <v>2200.6740635012993</v>
      </c>
      <c r="K990" s="307">
        <f t="shared" ca="1" si="450"/>
        <v>4417.7829980619881</v>
      </c>
      <c r="L990" s="304">
        <f t="shared" ca="1" si="435"/>
        <v>4935.5620704974308</v>
      </c>
      <c r="M990" s="306">
        <f t="shared" ca="1" si="451"/>
        <v>-0.27166457954150608</v>
      </c>
      <c r="N990" s="304">
        <f t="shared" ca="1" si="452"/>
        <v>-15.565233850924347</v>
      </c>
      <c r="P990" s="310">
        <f t="shared" ca="1" si="453"/>
        <v>23</v>
      </c>
      <c r="Q990" s="304">
        <f t="shared" ca="1" si="454"/>
        <v>0</v>
      </c>
      <c r="R990" s="306">
        <f t="shared" ca="1" si="455"/>
        <v>0</v>
      </c>
      <c r="S990" s="307">
        <f t="shared" ca="1" si="456"/>
        <v>11.416040186296438</v>
      </c>
      <c r="T990" s="304">
        <f t="shared" ca="1" si="436"/>
        <v>111.99135422756807</v>
      </c>
      <c r="U990" s="311">
        <f t="shared" ca="1" si="437"/>
        <v>0</v>
      </c>
      <c r="V990" s="306">
        <f t="shared" ca="1" si="438"/>
        <v>0.78173419056468296</v>
      </c>
      <c r="W990" s="304">
        <f t="shared" ca="1" si="439"/>
        <v>11.203427535479532</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1.4783624323981859</v>
      </c>
      <c r="AH990" s="304">
        <f t="shared" ca="1" si="463"/>
        <v>-0.97513502814640241</v>
      </c>
    </row>
    <row r="991" spans="1:34" x14ac:dyDescent="0.2">
      <c r="A991" s="347">
        <f t="shared" ca="1" si="441"/>
        <v>0.1</v>
      </c>
      <c r="B991" s="304">
        <f t="shared" ca="1" si="442"/>
        <v>26.699999999999996</v>
      </c>
      <c r="D991" s="306">
        <f t="shared" ca="1" si="443"/>
        <v>-0.94538456345691602</v>
      </c>
      <c r="E991" s="307">
        <f t="shared" ca="1" si="444"/>
        <v>-9.5466621451191234</v>
      </c>
      <c r="F991" s="304">
        <f t="shared" ca="1" si="445"/>
        <v>9.5933576023138567</v>
      </c>
      <c r="G991" s="306">
        <f t="shared" ca="1" si="446"/>
        <v>48.373520200512239</v>
      </c>
      <c r="H991" s="307">
        <f t="shared" ca="1" si="447"/>
        <v>-14.45549443860126</v>
      </c>
      <c r="I991" s="304">
        <f t="shared" ca="1" si="448"/>
        <v>50.487213985857828</v>
      </c>
      <c r="J991" s="306">
        <f t="shared" ca="1" si="449"/>
        <v>2205.5161424441676</v>
      </c>
      <c r="K991" s="307">
        <f t="shared" ca="1" si="450"/>
        <v>4416.3851819288539</v>
      </c>
      <c r="L991" s="304">
        <f t="shared" ca="1" si="435"/>
        <v>4936.4723770869577</v>
      </c>
      <c r="M991" s="306">
        <f t="shared" ca="1" si="451"/>
        <v>-0.29038372638839199</v>
      </c>
      <c r="N991" s="304">
        <f t="shared" ca="1" si="452"/>
        <v>-16.637761961336533</v>
      </c>
      <c r="P991" s="310">
        <f t="shared" ca="1" si="453"/>
        <v>23</v>
      </c>
      <c r="Q991" s="304">
        <f t="shared" ca="1" si="454"/>
        <v>0</v>
      </c>
      <c r="R991" s="306">
        <f t="shared" ca="1" si="455"/>
        <v>0</v>
      </c>
      <c r="S991" s="307">
        <f t="shared" ca="1" si="456"/>
        <v>11.416040186296438</v>
      </c>
      <c r="T991" s="304">
        <f t="shared" ca="1" si="436"/>
        <v>111.99135422756807</v>
      </c>
      <c r="U991" s="311">
        <f t="shared" ca="1" si="437"/>
        <v>0</v>
      </c>
      <c r="V991" s="306">
        <f t="shared" ca="1" si="438"/>
        <v>0.78184907429565231</v>
      </c>
      <c r="W991" s="304">
        <f t="shared" ca="1" si="439"/>
        <v>11.28268499703883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1.6509937106581629</v>
      </c>
      <c r="AH991" s="304">
        <f t="shared" ca="1" si="463"/>
        <v>-0.98137597211052907</v>
      </c>
    </row>
    <row r="992" spans="1:34" x14ac:dyDescent="0.2">
      <c r="A992" s="347">
        <f t="shared" ca="1" si="441"/>
        <v>0.1</v>
      </c>
      <c r="B992" s="304">
        <f t="shared" ca="1" si="442"/>
        <v>26.799999999999997</v>
      </c>
      <c r="D992" s="306">
        <f t="shared" ca="1" si="443"/>
        <v>-0.94694174210463045</v>
      </c>
      <c r="E992" s="307">
        <f t="shared" ca="1" si="444"/>
        <v>-9.5270247062869764</v>
      </c>
      <c r="F992" s="304">
        <f t="shared" ca="1" si="445"/>
        <v>9.5739698358174596</v>
      </c>
      <c r="G992" s="306">
        <f t="shared" ca="1" si="446"/>
        <v>48.278826026301779</v>
      </c>
      <c r="H992" s="307">
        <f t="shared" ca="1" si="447"/>
        <v>-15.408196909229957</v>
      </c>
      <c r="I992" s="304">
        <f t="shared" ca="1" si="448"/>
        <v>50.677979186935993</v>
      </c>
      <c r="J992" s="306">
        <f t="shared" ca="1" si="449"/>
        <v>2210.3487597555081</v>
      </c>
      <c r="K992" s="307">
        <f t="shared" ca="1" si="450"/>
        <v>4414.891997361462</v>
      </c>
      <c r="L992" s="304">
        <f t="shared" ca="1" si="435"/>
        <v>4937.2981465695375</v>
      </c>
      <c r="M992" s="306">
        <f t="shared" ca="1" si="451"/>
        <v>-0.30893188955507478</v>
      </c>
      <c r="N992" s="304">
        <f t="shared" ca="1" si="452"/>
        <v>-17.700493428507464</v>
      </c>
      <c r="P992" s="310">
        <f t="shared" ca="1" si="453"/>
        <v>23</v>
      </c>
      <c r="Q992" s="304">
        <f t="shared" ca="1" si="454"/>
        <v>0</v>
      </c>
      <c r="R992" s="306">
        <f t="shared" ca="1" si="455"/>
        <v>0</v>
      </c>
      <c r="S992" s="307">
        <f t="shared" ca="1" si="456"/>
        <v>11.416040186296438</v>
      </c>
      <c r="T992" s="304">
        <f t="shared" ca="1" si="436"/>
        <v>111.99135422756807</v>
      </c>
      <c r="U992" s="311">
        <f t="shared" ca="1" si="437"/>
        <v>0</v>
      </c>
      <c r="V992" s="306">
        <f t="shared" ca="1" si="438"/>
        <v>0.78197181070043131</v>
      </c>
      <c r="W992" s="304">
        <f t="shared" ca="1" si="439"/>
        <v>11.36989359153206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1.8204796801322245</v>
      </c>
      <c r="AH992" s="304">
        <f t="shared" ca="1" si="463"/>
        <v>-0.98831861248897102</v>
      </c>
    </row>
    <row r="993" spans="1:34" x14ac:dyDescent="0.2">
      <c r="A993" s="347">
        <f t="shared" ca="1" si="441"/>
        <v>0.1</v>
      </c>
      <c r="B993" s="304">
        <f t="shared" ca="1" si="442"/>
        <v>26.9</v>
      </c>
      <c r="D993" s="306">
        <f t="shared" ca="1" si="443"/>
        <v>-0.94880796873912587</v>
      </c>
      <c r="E993" s="307">
        <f t="shared" ca="1" si="444"/>
        <v>-9.5071877484466079</v>
      </c>
      <c r="F993" s="304">
        <f t="shared" ca="1" si="445"/>
        <v>9.5544154947205513</v>
      </c>
      <c r="G993" s="306">
        <f t="shared" ca="1" si="446"/>
        <v>48.183945229427863</v>
      </c>
      <c r="H993" s="307">
        <f t="shared" ca="1" si="447"/>
        <v>-16.358915684074617</v>
      </c>
      <c r="I993" s="304">
        <f t="shared" ca="1" si="448"/>
        <v>50.885230668939357</v>
      </c>
      <c r="J993" s="306">
        <f t="shared" ca="1" si="449"/>
        <v>2215.1718983182946</v>
      </c>
      <c r="K993" s="307">
        <f t="shared" ca="1" si="450"/>
        <v>4413.3036417317971</v>
      </c>
      <c r="L993" s="304">
        <f t="shared" ca="1" si="435"/>
        <v>4938.039648810266</v>
      </c>
      <c r="M993" s="306">
        <f t="shared" ca="1" si="451"/>
        <v>-0.32729892611014272</v>
      </c>
      <c r="N993" s="304">
        <f t="shared" ca="1" si="452"/>
        <v>-18.752847105275361</v>
      </c>
      <c r="P993" s="310">
        <f t="shared" ca="1" si="453"/>
        <v>23</v>
      </c>
      <c r="Q993" s="304">
        <f t="shared" ca="1" si="454"/>
        <v>0</v>
      </c>
      <c r="R993" s="306">
        <f t="shared" ca="1" si="455"/>
        <v>0</v>
      </c>
      <c r="S993" s="307">
        <f t="shared" ca="1" si="456"/>
        <v>11.416040186296438</v>
      </c>
      <c r="T993" s="304">
        <f t="shared" ca="1" si="436"/>
        <v>111.99135422756807</v>
      </c>
      <c r="U993" s="311">
        <f t="shared" ca="1" si="437"/>
        <v>0</v>
      </c>
      <c r="V993" s="306">
        <f t="shared" ca="1" si="438"/>
        <v>0.78210238643163443</v>
      </c>
      <c r="W993" s="304">
        <f t="shared" ca="1" si="439"/>
        <v>11.464993987850171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1.9866870708197653</v>
      </c>
      <c r="AH993" s="304">
        <f t="shared" ca="1" si="463"/>
        <v>-0.99595774068667242</v>
      </c>
    </row>
    <row r="994" spans="1:34" x14ac:dyDescent="0.2">
      <c r="A994" s="347">
        <f t="shared" ca="1" si="441"/>
        <v>0.1</v>
      </c>
      <c r="B994" s="304">
        <f t="shared" ca="1" si="442"/>
        <v>27</v>
      </c>
      <c r="D994" s="306">
        <f t="shared" ca="1" si="443"/>
        <v>-0.95097467452452422</v>
      </c>
      <c r="E994" s="307">
        <f t="shared" ca="1" si="444"/>
        <v>-9.4871348953647789</v>
      </c>
      <c r="F994" s="304">
        <f t="shared" ca="1" si="445"/>
        <v>9.5346778317064853</v>
      </c>
      <c r="G994" s="306">
        <f t="shared" ca="1" si="446"/>
        <v>48.088847761975408</v>
      </c>
      <c r="H994" s="307">
        <f t="shared" ca="1" si="447"/>
        <v>-17.307629173611094</v>
      </c>
      <c r="I994" s="304">
        <f t="shared" ca="1" si="448"/>
        <v>51.108622625596958</v>
      </c>
      <c r="J994" s="306">
        <f t="shared" ca="1" si="449"/>
        <v>2219.9855379678647</v>
      </c>
      <c r="K994" s="307">
        <f t="shared" ca="1" si="450"/>
        <v>4411.6203144889132</v>
      </c>
      <c r="L994" s="304">
        <f t="shared" ca="1" si="435"/>
        <v>4938.6971549182608</v>
      </c>
      <c r="M994" s="306">
        <f t="shared" ca="1" si="451"/>
        <v>-0.34547538814379541</v>
      </c>
      <c r="N994" s="304">
        <f t="shared" ca="1" si="452"/>
        <v>-19.794281666283435</v>
      </c>
      <c r="P994" s="310">
        <f t="shared" ca="1" si="453"/>
        <v>23</v>
      </c>
      <c r="Q994" s="304">
        <f t="shared" ca="1" si="454"/>
        <v>0</v>
      </c>
      <c r="R994" s="306">
        <f t="shared" ca="1" si="455"/>
        <v>0</v>
      </c>
      <c r="S994" s="307">
        <f t="shared" ca="1" si="456"/>
        <v>11.416040186296438</v>
      </c>
      <c r="T994" s="304">
        <f t="shared" ca="1" si="436"/>
        <v>111.99135422756807</v>
      </c>
      <c r="U994" s="311">
        <f t="shared" ca="1" si="437"/>
        <v>0</v>
      </c>
      <c r="V994" s="306">
        <f t="shared" ca="1" si="438"/>
        <v>0.78224078814699838</v>
      </c>
      <c r="W994" s="304">
        <f t="shared" ca="1" si="439"/>
        <v>11.567926923080071</v>
      </c>
      <c r="Y994" s="314" t="str">
        <f t="shared" ca="1" si="457"/>
        <v/>
      </c>
      <c r="Z994" s="315" t="str">
        <f t="shared" ca="1" si="458"/>
        <v/>
      </c>
      <c r="AA994" s="316" t="str">
        <f t="shared" ca="1" si="459"/>
        <v/>
      </c>
      <c r="AC994" s="310">
        <f t="shared" ca="1" si="460"/>
        <v>27</v>
      </c>
      <c r="AD994" s="323">
        <f t="shared" ca="1" si="461"/>
        <v>2219.9855379678647</v>
      </c>
      <c r="AE994" s="324" t="e">
        <f t="shared" ca="1" si="440"/>
        <v>#N/A</v>
      </c>
      <c r="AG994" s="306">
        <f t="shared" ca="1" si="462"/>
        <v>2.1494945933617728</v>
      </c>
      <c r="AH994" s="304">
        <f t="shared" ca="1" si="463"/>
        <v>-1.0042881595329785</v>
      </c>
    </row>
    <row r="995" spans="1:34" x14ac:dyDescent="0.2">
      <c r="A995" s="347">
        <f t="shared" ca="1" si="441"/>
        <v>0.1</v>
      </c>
      <c r="B995" s="304">
        <f t="shared" ca="1" si="442"/>
        <v>27.1</v>
      </c>
      <c r="D995" s="306">
        <f t="shared" ca="1" si="443"/>
        <v>-0.95343313682462993</v>
      </c>
      <c r="E995" s="307">
        <f t="shared" ca="1" si="444"/>
        <v>-9.4668504353510095</v>
      </c>
      <c r="F995" s="304">
        <f t="shared" ca="1" si="445"/>
        <v>9.5147407695481032</v>
      </c>
      <c r="G995" s="306">
        <f t="shared" ca="1" si="446"/>
        <v>47.993504448292946</v>
      </c>
      <c r="H995" s="307">
        <f t="shared" ca="1" si="447"/>
        <v>-18.254314217146195</v>
      </c>
      <c r="I995" s="304">
        <f t="shared" ca="1" si="448"/>
        <v>51.347798947633777</v>
      </c>
      <c r="J995" s="306">
        <f t="shared" ca="1" si="449"/>
        <v>2224.7896555783782</v>
      </c>
      <c r="K995" s="307">
        <f t="shared" ca="1" si="450"/>
        <v>4409.8422173193758</v>
      </c>
      <c r="L995" s="304">
        <f t="shared" ca="1" si="435"/>
        <v>4939.2709374178721</v>
      </c>
      <c r="M995" s="306">
        <f t="shared" ca="1" si="451"/>
        <v>-0.36345253483826956</v>
      </c>
      <c r="N995" s="304">
        <f t="shared" ca="1" si="452"/>
        <v>-20.824296299564363</v>
      </c>
      <c r="P995" s="310">
        <f t="shared" ca="1" si="453"/>
        <v>23</v>
      </c>
      <c r="Q995" s="304">
        <f t="shared" ca="1" si="454"/>
        <v>0</v>
      </c>
      <c r="R995" s="306">
        <f t="shared" ca="1" si="455"/>
        <v>0</v>
      </c>
      <c r="S995" s="307">
        <f t="shared" ca="1" si="456"/>
        <v>11.416040186296438</v>
      </c>
      <c r="T995" s="304">
        <f t="shared" ca="1" si="436"/>
        <v>111.99135422756807</v>
      </c>
      <c r="U995" s="311">
        <f t="shared" ca="1" si="437"/>
        <v>0</v>
      </c>
      <c r="V995" s="306">
        <f t="shared" ca="1" si="438"/>
        <v>0.78238700249497362</v>
      </c>
      <c r="W995" s="304">
        <f t="shared" ca="1" si="439"/>
        <v>11.678633143174244</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2.3087931105780499</v>
      </c>
      <c r="AH995" s="304">
        <f t="shared" ca="1" si="463"/>
        <v>-1.0133046778309307</v>
      </c>
    </row>
    <row r="996" spans="1:34" x14ac:dyDescent="0.2">
      <c r="A996" s="347">
        <f t="shared" ca="1" si="441"/>
        <v>0.1</v>
      </c>
      <c r="B996" s="304">
        <f t="shared" ca="1" si="442"/>
        <v>27.200000000000003</v>
      </c>
      <c r="D996" s="306">
        <f t="shared" ca="1" si="443"/>
        <v>-0.95617450194288633</v>
      </c>
      <c r="E996" s="307">
        <f t="shared" ca="1" si="444"/>
        <v>-9.4463193310108551</v>
      </c>
      <c r="F996" s="304">
        <f t="shared" ca="1" si="445"/>
        <v>9.4945889106161463</v>
      </c>
      <c r="G996" s="306">
        <f t="shared" ca="1" si="446"/>
        <v>47.897886998098656</v>
      </c>
      <c r="H996" s="307">
        <f t="shared" ca="1" si="447"/>
        <v>-19.198946150247281</v>
      </c>
      <c r="I996" s="304">
        <f t="shared" ca="1" si="448"/>
        <v>51.602394442145055</v>
      </c>
      <c r="J996" s="306">
        <f t="shared" ca="1" si="449"/>
        <v>2229.5842251506979</v>
      </c>
      <c r="K996" s="307">
        <f t="shared" ca="1" si="450"/>
        <v>4407.9695543010057</v>
      </c>
      <c r="L996" s="304">
        <f t="shared" ca="1" si="435"/>
        <v>4939.7612704143348</v>
      </c>
      <c r="M996" s="306">
        <f t="shared" ca="1" si="451"/>
        <v>-0.38122233894834884</v>
      </c>
      <c r="N996" s="304">
        <f t="shared" ca="1" si="452"/>
        <v>-21.842431077846129</v>
      </c>
      <c r="P996" s="310">
        <f t="shared" ca="1" si="453"/>
        <v>23</v>
      </c>
      <c r="Q996" s="304">
        <f t="shared" ca="1" si="454"/>
        <v>0</v>
      </c>
      <c r="R996" s="306">
        <f t="shared" ca="1" si="455"/>
        <v>0</v>
      </c>
      <c r="S996" s="307">
        <f t="shared" ca="1" si="456"/>
        <v>11.416040186296438</v>
      </c>
      <c r="T996" s="304">
        <f t="shared" ca="1" si="436"/>
        <v>111.99135422756807</v>
      </c>
      <c r="U996" s="311">
        <f t="shared" ca="1" si="437"/>
        <v>0</v>
      </c>
      <c r="V996" s="306">
        <f t="shared" ca="1" si="438"/>
        <v>0.78254101610084803</v>
      </c>
      <c r="W996" s="304">
        <f t="shared" ca="1" si="439"/>
        <v>11.797053346520443</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2.4644856964655872</v>
      </c>
      <c r="AH996" s="304">
        <f t="shared" ca="1" si="463"/>
        <v>-1.0230021051601601</v>
      </c>
    </row>
    <row r="997" spans="1:34" x14ac:dyDescent="0.2">
      <c r="A997" s="347">
        <f t="shared" ca="1" si="441"/>
        <v>0.1</v>
      </c>
      <c r="B997" s="304">
        <f t="shared" ca="1" si="442"/>
        <v>27.300000000000004</v>
      </c>
      <c r="D997" s="306">
        <f t="shared" ca="1" si="443"/>
        <v>-0.95918980774743046</v>
      </c>
      <c r="E997" s="307">
        <f t="shared" ca="1" si="444"/>
        <v>-9.4255272263358929</v>
      </c>
      <c r="F997" s="304">
        <f t="shared" ca="1" si="445"/>
        <v>9.4742075437308078</v>
      </c>
      <c r="G997" s="306">
        <f t="shared" ca="1" si="446"/>
        <v>47.801968017323915</v>
      </c>
      <c r="H997" s="307">
        <f t="shared" ca="1" si="447"/>
        <v>-20.14149887288087</v>
      </c>
      <c r="I997" s="304">
        <f t="shared" ca="1" si="448"/>
        <v>51.872036042317831</v>
      </c>
      <c r="J997" s="306">
        <f t="shared" ca="1" si="449"/>
        <v>2234.3692179014688</v>
      </c>
      <c r="K997" s="307">
        <f t="shared" ca="1" si="450"/>
        <v>4406.0025320498489</v>
      </c>
      <c r="L997" s="304">
        <f t="shared" ca="1" si="435"/>
        <v>4940.1684297537167</v>
      </c>
      <c r="M997" s="306">
        <f t="shared" ca="1" si="451"/>
        <v>-0.39877748797872864</v>
      </c>
      <c r="N997" s="304">
        <f t="shared" ca="1" si="452"/>
        <v>-22.848267026010074</v>
      </c>
      <c r="P997" s="310">
        <f t="shared" ca="1" si="453"/>
        <v>23</v>
      </c>
      <c r="Q997" s="304">
        <f t="shared" ca="1" si="454"/>
        <v>0</v>
      </c>
      <c r="R997" s="306">
        <f t="shared" ca="1" si="455"/>
        <v>0</v>
      </c>
      <c r="S997" s="307">
        <f t="shared" ca="1" si="456"/>
        <v>11.416040186296438</v>
      </c>
      <c r="T997" s="304">
        <f t="shared" ca="1" si="436"/>
        <v>111.99135422756807</v>
      </c>
      <c r="U997" s="311">
        <f t="shared" ca="1" si="437"/>
        <v>0</v>
      </c>
      <c r="V997" s="306">
        <f t="shared" ca="1" si="438"/>
        <v>0.78270281555340437</v>
      </c>
      <c r="W997" s="304">
        <f t="shared" ca="1" si="439"/>
        <v>11.923128130408383</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2.6164875892779507</v>
      </c>
      <c r="AH997" s="304">
        <f t="shared" ca="1" si="463"/>
        <v>-1.0333752469338155</v>
      </c>
    </row>
    <row r="998" spans="1:34" x14ac:dyDescent="0.2">
      <c r="A998" s="347">
        <f t="shared" ca="1" si="441"/>
        <v>0.1</v>
      </c>
      <c r="B998" s="304">
        <f t="shared" ca="1" si="442"/>
        <v>27.400000000000006</v>
      </c>
      <c r="D998" s="306">
        <f t="shared" ca="1" si="443"/>
        <v>-0.96247000599438337</v>
      </c>
      <c r="E998" s="307">
        <f t="shared" ca="1" si="444"/>
        <v>-9.4044604512121346</v>
      </c>
      <c r="F998" s="304">
        <f t="shared" ca="1" si="445"/>
        <v>9.4535826484382088</v>
      </c>
      <c r="G998" s="306">
        <f t="shared" ca="1" si="446"/>
        <v>47.705721016724475</v>
      </c>
      <c r="H998" s="307">
        <f t="shared" ca="1" si="447"/>
        <v>-21.081944918002083</v>
      </c>
      <c r="I998" s="304">
        <f t="shared" ca="1" si="448"/>
        <v>52.156343998129522</v>
      </c>
      <c r="J998" s="306">
        <f t="shared" ca="1" si="449"/>
        <v>2239.1446023531712</v>
      </c>
      <c r="K998" s="307">
        <f t="shared" ca="1" si="450"/>
        <v>4403.9413598603051</v>
      </c>
      <c r="L998" s="304">
        <f t="shared" ca="1" si="435"/>
        <v>4940.4926931770251</v>
      </c>
      <c r="M998" s="306">
        <f t="shared" ca="1" si="451"/>
        <v>-0.41611138039963513</v>
      </c>
      <c r="N998" s="304">
        <f t="shared" ca="1" si="452"/>
        <v>-23.841425904261818</v>
      </c>
      <c r="P998" s="310">
        <f t="shared" ca="1" si="453"/>
        <v>23</v>
      </c>
      <c r="Q998" s="304">
        <f t="shared" ca="1" si="454"/>
        <v>0</v>
      </c>
      <c r="R998" s="306">
        <f t="shared" ca="1" si="455"/>
        <v>0</v>
      </c>
      <c r="S998" s="307">
        <f t="shared" ca="1" si="456"/>
        <v>11.416040186296438</v>
      </c>
      <c r="T998" s="304">
        <f t="shared" ca="1" si="436"/>
        <v>111.99135422756807</v>
      </c>
      <c r="U998" s="311">
        <f t="shared" ca="1" si="437"/>
        <v>0</v>
      </c>
      <c r="V998" s="306">
        <f t="shared" ca="1" si="438"/>
        <v>0.78287238739211962</v>
      </c>
      <c r="W998" s="304">
        <f t="shared" ca="1" si="439"/>
        <v>12.056797940382745</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2.7647260465536316</v>
      </c>
      <c r="AH998" s="304">
        <f t="shared" ca="1" si="463"/>
        <v>-1.0444188997092565</v>
      </c>
    </row>
    <row r="999" spans="1:34" x14ac:dyDescent="0.2">
      <c r="A999" s="347">
        <f t="shared" ca="1" si="441"/>
        <v>0.1</v>
      </c>
      <c r="B999" s="304">
        <f t="shared" ca="1" si="442"/>
        <v>27.500000000000007</v>
      </c>
      <c r="D999" s="306">
        <f t="shared" ca="1" si="443"/>
        <v>-0.96600598417963568</v>
      </c>
      <c r="E999" s="307">
        <f t="shared" ca="1" si="444"/>
        <v>-9.3831060234516546</v>
      </c>
      <c r="F999" s="304">
        <f t="shared" ca="1" si="445"/>
        <v>9.4327008968166481</v>
      </c>
      <c r="G999" s="306">
        <f t="shared" ca="1" si="446"/>
        <v>47.60912041830651</v>
      </c>
      <c r="H999" s="307">
        <f t="shared" ca="1" si="447"/>
        <v>-22.020255520347249</v>
      </c>
      <c r="I999" s="304">
        <f t="shared" ca="1" si="448"/>
        <v>52.454933039574009</v>
      </c>
      <c r="J999" s="306">
        <f t="shared" ca="1" si="449"/>
        <v>2243.9103444249226</v>
      </c>
      <c r="K999" s="307">
        <f t="shared" ca="1" si="450"/>
        <v>4401.7862498383874</v>
      </c>
      <c r="L999" s="304">
        <f t="shared" ca="1" si="435"/>
        <v>4940.7343404683752</v>
      </c>
      <c r="M999" s="306">
        <f t="shared" ca="1" si="451"/>
        <v>-0.43321811728548626</v>
      </c>
      <c r="N999" s="304">
        <f t="shared" ca="1" si="452"/>
        <v>-24.82156972906186</v>
      </c>
      <c r="P999" s="310">
        <f t="shared" ca="1" si="453"/>
        <v>23</v>
      </c>
      <c r="Q999" s="304">
        <f t="shared" ca="1" si="454"/>
        <v>0</v>
      </c>
      <c r="R999" s="306">
        <f t="shared" ca="1" si="455"/>
        <v>0</v>
      </c>
      <c r="S999" s="307">
        <f t="shared" ca="1" si="456"/>
        <v>11.416040186296438</v>
      </c>
      <c r="T999" s="304">
        <f t="shared" ca="1" si="436"/>
        <v>111.99135422756807</v>
      </c>
      <c r="U999" s="311">
        <f t="shared" ca="1" si="437"/>
        <v>0</v>
      </c>
      <c r="V999" s="306">
        <f t="shared" ca="1" si="438"/>
        <v>0.78304971809490087</v>
      </c>
      <c r="W999" s="304">
        <f t="shared" ca="1" si="439"/>
        <v>12.19800302246434</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2.9091401109299913</v>
      </c>
      <c r="AH999" s="304">
        <f t="shared" ca="1" si="463"/>
        <v>-1.0561278467515784</v>
      </c>
    </row>
    <row r="1000" spans="1:34" x14ac:dyDescent="0.2">
      <c r="A1000" s="347">
        <f t="shared" ca="1" si="441"/>
        <v>0.1</v>
      </c>
      <c r="B1000" s="304">
        <f t="shared" ca="1" si="442"/>
        <v>27.600000000000009</v>
      </c>
      <c r="D1000" s="306">
        <f t="shared" ca="1" si="443"/>
        <v>-0.96978858676781488</v>
      </c>
      <c r="E1000" s="307">
        <f t="shared" ca="1" si="444"/>
        <v>-9.3614516484717001</v>
      </c>
      <c r="F1000" s="304">
        <f t="shared" ca="1" si="445"/>
        <v>9.4115496529370031</v>
      </c>
      <c r="G1000" s="306">
        <f t="shared" ca="1" si="446"/>
        <v>47.512141559629725</v>
      </c>
      <c r="H1000" s="307">
        <f t="shared" ca="1" si="447"/>
        <v>-22.956400685194417</v>
      </c>
      <c r="I1000" s="304">
        <f t="shared" ca="1" si="448"/>
        <v>52.767413504941558</v>
      </c>
      <c r="J1000" s="306">
        <f t="shared" ca="1" si="449"/>
        <v>2248.6664075238195</v>
      </c>
      <c r="K1000" s="307">
        <f t="shared" ca="1" si="450"/>
        <v>4399.5374170281102</v>
      </c>
      <c r="L1000" s="304">
        <f t="shared" ca="1" si="435"/>
        <v>4940.8936535971361</v>
      </c>
      <c r="M1000" s="306">
        <f t="shared" ca="1" si="451"/>
        <v>-0.45009248979361283</v>
      </c>
      <c r="N1000" s="304">
        <f t="shared" ca="1" si="452"/>
        <v>-25.788400055709097</v>
      </c>
      <c r="P1000" s="310">
        <f t="shared" ca="1" si="453"/>
        <v>23</v>
      </c>
      <c r="Q1000" s="304">
        <f t="shared" ca="1" si="454"/>
        <v>0</v>
      </c>
      <c r="R1000" s="306">
        <f t="shared" ca="1" si="455"/>
        <v>0</v>
      </c>
      <c r="S1000" s="307">
        <f t="shared" ca="1" si="456"/>
        <v>11.416040186296438</v>
      </c>
      <c r="T1000" s="304">
        <f t="shared" ca="1" si="436"/>
        <v>111.99135422756807</v>
      </c>
      <c r="U1000" s="311">
        <f t="shared" ca="1" si="437"/>
        <v>0</v>
      </c>
      <c r="V1000" s="306">
        <f t="shared" ca="1" si="438"/>
        <v>0.78323479406636443</v>
      </c>
      <c r="W1000" s="304">
        <f t="shared" ca="1" si="439"/>
        <v>12.346683378214214</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3.0496802962708296</v>
      </c>
      <c r="AH1000" s="304">
        <f t="shared" ca="1" si="463"/>
        <v>-1.068496853848373</v>
      </c>
    </row>
    <row r="1001" spans="1:34" x14ac:dyDescent="0.2">
      <c r="A1001" s="347">
        <f t="shared" ca="1" si="441"/>
        <v>0.1</v>
      </c>
      <c r="B1001" s="304">
        <f t="shared" ca="1" si="442"/>
        <v>27.70000000000001</v>
      </c>
      <c r="D1001" s="306">
        <f t="shared" ca="1" si="443"/>
        <v>-0.97380863566639808</v>
      </c>
      <c r="E1001" s="307">
        <f t="shared" ca="1" si="444"/>
        <v>-9.3394857167613949</v>
      </c>
      <c r="F1001" s="304">
        <f t="shared" ca="1" si="445"/>
        <v>9.3901169701174947</v>
      </c>
      <c r="G1001" s="306">
        <f t="shared" ca="1" si="446"/>
        <v>47.414760696063084</v>
      </c>
      <c r="H1001" s="307">
        <f t="shared" ca="1" si="447"/>
        <v>-23.890349256870557</v>
      </c>
      <c r="I1001" s="304">
        <f t="shared" ca="1" si="448"/>
        <v>53.093392427685238</v>
      </c>
      <c r="J1001" s="306">
        <f t="shared" ca="1" si="449"/>
        <v>2253.4127526366042</v>
      </c>
      <c r="K1001" s="307">
        <f t="shared" ca="1" si="450"/>
        <v>4397.1950795310067</v>
      </c>
      <c r="L1001" s="304">
        <f t="shared" ca="1" si="435"/>
        <v>4940.9709168539912</v>
      </c>
      <c r="M1001" s="306">
        <f t="shared" ca="1" si="451"/>
        <v>-0.46672996292153812</v>
      </c>
      <c r="N1001" s="304">
        <f t="shared" ca="1" si="452"/>
        <v>-26.741657047701537</v>
      </c>
      <c r="P1001" s="310">
        <f t="shared" ca="1" si="453"/>
        <v>23</v>
      </c>
      <c r="Q1001" s="304">
        <f t="shared" ca="1" si="454"/>
        <v>0</v>
      </c>
      <c r="R1001" s="306">
        <f t="shared" ca="1" si="455"/>
        <v>0</v>
      </c>
      <c r="S1001" s="307">
        <f t="shared" ca="1" si="456"/>
        <v>11.416040186296438</v>
      </c>
      <c r="T1001" s="304">
        <f t="shared" ca="1" si="436"/>
        <v>111.99135422756807</v>
      </c>
      <c r="U1001" s="311">
        <f t="shared" ca="1" si="437"/>
        <v>0</v>
      </c>
      <c r="V1001" s="306">
        <f t="shared" ca="1" si="438"/>
        <v>0.78342760162665137</v>
      </c>
      <c r="W1001" s="304">
        <f t="shared" ca="1" si="439"/>
        <v>12.502778722608726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3.1863082040605915</v>
      </c>
      <c r="AH1001" s="304">
        <f t="shared" ca="1" si="463"/>
        <v>-1.0815206653735241</v>
      </c>
    </row>
    <row r="1002" spans="1:34" x14ac:dyDescent="0.2">
      <c r="A1002" s="347">
        <f t="shared" ca="1" si="441"/>
        <v>0.1</v>
      </c>
      <c r="B1002" s="304">
        <f t="shared" ca="1" si="442"/>
        <v>27.800000000000011</v>
      </c>
      <c r="D1002" s="306">
        <f t="shared" ca="1" si="443"/>
        <v>-0.97805694983249591</v>
      </c>
      <c r="E1002" s="307">
        <f t="shared" ca="1" si="444"/>
        <v>-9.3171972992885319</v>
      </c>
      <c r="F1002" s="304">
        <f t="shared" ca="1" si="445"/>
        <v>9.3683915861253979</v>
      </c>
      <c r="G1002" s="306">
        <f t="shared" ca="1" si="446"/>
        <v>47.316955001079833</v>
      </c>
      <c r="H1002" s="307">
        <f t="shared" ca="1" si="447"/>
        <v>-24.822068986799412</v>
      </c>
      <c r="I1002" s="304">
        <f t="shared" ca="1" si="448"/>
        <v>53.432474576418812</v>
      </c>
      <c r="J1002" s="306">
        <f t="shared" ca="1" si="449"/>
        <v>2258.1493384214614</v>
      </c>
      <c r="K1002" s="307">
        <f t="shared" ca="1" si="450"/>
        <v>4394.7594586188234</v>
      </c>
      <c r="L1002" s="304">
        <f t="shared" ca="1" si="435"/>
        <v>4940.9664169808821</v>
      </c>
      <c r="M1002" s="306">
        <f t="shared" ca="1" si="451"/>
        <v>-0.4831266559927137</v>
      </c>
      <c r="N1002" s="304">
        <f t="shared" ca="1" si="452"/>
        <v>-27.681118358651297</v>
      </c>
      <c r="P1002" s="310">
        <f t="shared" ca="1" si="453"/>
        <v>23</v>
      </c>
      <c r="Q1002" s="304">
        <f t="shared" ca="1" si="454"/>
        <v>0</v>
      </c>
      <c r="R1002" s="306">
        <f t="shared" ca="1" si="455"/>
        <v>0</v>
      </c>
      <c r="S1002" s="307">
        <f t="shared" ca="1" si="456"/>
        <v>11.416040186296438</v>
      </c>
      <c r="T1002" s="304">
        <f t="shared" ca="1" si="436"/>
        <v>111.99135422756807</v>
      </c>
      <c r="U1002" s="311">
        <f t="shared" ca="1" si="437"/>
        <v>0</v>
      </c>
      <c r="V1002" s="306">
        <f t="shared" ca="1" si="438"/>
        <v>0.78362812700077633</v>
      </c>
      <c r="W1002" s="304">
        <f t="shared" ca="1" si="439"/>
        <v>12.666228444687498</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3.3189960801950527</v>
      </c>
      <c r="AH1002" s="304">
        <f t="shared" ca="1" si="463"/>
        <v>-1.0951940005972285</v>
      </c>
    </row>
    <row r="1003" spans="1:34" x14ac:dyDescent="0.2">
      <c r="A1003" s="347">
        <f t="shared" ca="1" si="441"/>
        <v>0.1</v>
      </c>
      <c r="B1003" s="304">
        <f t="shared" ca="1" si="442"/>
        <v>27.900000000000013</v>
      </c>
      <c r="D1003" s="306">
        <f t="shared" ca="1" si="443"/>
        <v>-0.98252436391935505</v>
      </c>
      <c r="E1003" s="307">
        <f t="shared" ca="1" si="444"/>
        <v>-9.2945761410077878</v>
      </c>
      <c r="F1003" s="304">
        <f t="shared" ca="1" si="445"/>
        <v>9.3463629164871591</v>
      </c>
      <c r="G1003" s="306">
        <f t="shared" ca="1" si="446"/>
        <v>47.218702564687895</v>
      </c>
      <c r="H1003" s="307">
        <f t="shared" ca="1" si="447"/>
        <v>-25.751526600900192</v>
      </c>
      <c r="I1003" s="304">
        <f t="shared" ca="1" si="448"/>
        <v>53.784263443588529</v>
      </c>
      <c r="J1003" s="306">
        <f t="shared" ca="1" si="449"/>
        <v>2262.8761212997497</v>
      </c>
      <c r="K1003" s="307">
        <f t="shared" ca="1" si="450"/>
        <v>4392.2307788394382</v>
      </c>
      <c r="L1003" s="304">
        <f t="shared" ca="1" si="435"/>
        <v>4940.8804432948082</v>
      </c>
      <c r="M1003" s="306">
        <f t="shared" ca="1" si="451"/>
        <v>-0.49927932032281086</v>
      </c>
      <c r="N1003" s="304">
        <f t="shared" ca="1" si="452"/>
        <v>-28.606597852657373</v>
      </c>
      <c r="P1003" s="310">
        <f t="shared" ca="1" si="453"/>
        <v>23</v>
      </c>
      <c r="Q1003" s="304">
        <f t="shared" ca="1" si="454"/>
        <v>0</v>
      </c>
      <c r="R1003" s="306">
        <f t="shared" ca="1" si="455"/>
        <v>0</v>
      </c>
      <c r="S1003" s="307">
        <f t="shared" ca="1" si="456"/>
        <v>11.416040186296438</v>
      </c>
      <c r="T1003" s="304">
        <f t="shared" ca="1" si="436"/>
        <v>111.99135422756807</v>
      </c>
      <c r="U1003" s="311">
        <f t="shared" ca="1" si="437"/>
        <v>0</v>
      </c>
      <c r="V1003" s="306">
        <f ca="1">Rho_moyen*(20000-Alt_rampe-pos_z)/(20000+Alt_rampe+pos_z)</f>
        <v>0.78383635630850557</v>
      </c>
      <c r="W1003" s="304">
        <f t="shared" ca="1" si="439"/>
        <v>12.83697157093042</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3.4477263222508494</v>
      </c>
      <c r="AH1003" s="304">
        <f t="shared" ca="1" si="463"/>
        <v>-1.1095115502389137</v>
      </c>
    </row>
    <row r="1004" spans="1:34" x14ac:dyDescent="0.2">
      <c r="A1004" s="348">
        <f t="shared" ca="1" si="441"/>
        <v>0.1</v>
      </c>
      <c r="B1004" s="305">
        <f t="shared" ca="1" si="442"/>
        <v>28.000000000000014</v>
      </c>
      <c r="D1004" s="308">
        <f t="shared" ca="1" si="443"/>
        <v>-0.98720174588861731</v>
      </c>
      <c r="E1004" s="309">
        <f t="shared" ca="1" si="444"/>
        <v>-9.2716126526374012</v>
      </c>
      <c r="F1004" s="305">
        <f t="shared" ca="1" si="445"/>
        <v>9.3240210460740318</v>
      </c>
      <c r="G1004" s="308">
        <f t="shared" ca="1" si="446"/>
        <v>47.119982390099032</v>
      </c>
      <c r="H1004" s="309">
        <f t="shared" ca="1" si="447"/>
        <v>-26.678687866163934</v>
      </c>
      <c r="I1004" s="305">
        <f t="shared" ca="1" si="448"/>
        <v>54.148362179325851</v>
      </c>
      <c r="J1004" s="308">
        <f t="shared" ca="1" si="449"/>
        <v>2267.5930555474893</v>
      </c>
      <c r="K1004" s="309">
        <f t="shared" ca="1" si="450"/>
        <v>4389.6092681160853</v>
      </c>
      <c r="L1004" s="305">
        <f t="shared" ca="1" si="435"/>
        <v>4940.7132878054999</v>
      </c>
      <c r="M1004" s="308">
        <f t="shared" ca="1" si="451"/>
        <v>-0.51518531451268745</v>
      </c>
      <c r="N1004" s="305">
        <f t="shared" ca="1" si="452"/>
        <v>-29.517944188696912</v>
      </c>
      <c r="P1004" s="312">
        <f t="shared" ca="1" si="453"/>
        <v>23</v>
      </c>
      <c r="Q1004" s="305">
        <f t="shared" ca="1" si="454"/>
        <v>0</v>
      </c>
      <c r="R1004" s="308">
        <f t="shared" ca="1" si="455"/>
        <v>0</v>
      </c>
      <c r="S1004" s="309">
        <f t="shared" ca="1" si="456"/>
        <v>11.416040186296438</v>
      </c>
      <c r="T1004" s="305">
        <f t="shared" ca="1" si="436"/>
        <v>111.99135422756807</v>
      </c>
      <c r="U1004" s="313">
        <f t="shared" ca="1" si="437"/>
        <v>0</v>
      </c>
      <c r="V1004" s="308">
        <f t="shared" ca="1" si="438"/>
        <v>0.78405227555475654</v>
      </c>
      <c r="W1004" s="305">
        <f ca="1">1/2*Rho*Sref*Cx*vit_xz^2</f>
        <v>13.0149467313146</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f t="shared" ca="1" si="460"/>
        <v>28.000000000000014</v>
      </c>
      <c r="AD1004" s="325">
        <f t="shared" ca="1" si="461"/>
        <v>2267.5930555474893</v>
      </c>
      <c r="AE1004" s="326" t="e">
        <f t="shared" ca="1" si="440"/>
        <v>#N/A</v>
      </c>
      <c r="AG1004" s="308">
        <f t="shared" ca="1" si="462"/>
        <v>3.5724909470724473</v>
      </c>
      <c r="AH1004" s="305">
        <f t="shared" ca="1" si="463"/>
        <v>-1.1244679732592073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266</v>
      </c>
    </row>
    <row r="1055" spans="5:20" x14ac:dyDescent="0.2">
      <c r="E1055" s="299" t="s">
        <v>250</v>
      </c>
    </row>
    <row r="1058" spans="5:20" x14ac:dyDescent="0.2">
      <c r="T1058" s="299" t="s">
        <v>267</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ColWidth="11.42578125"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279</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f>Nom</f>
        <v>0</v>
      </c>
      <c r="D8" s="633"/>
      <c r="M8" s="75"/>
    </row>
    <row r="9" spans="1:13" ht="15.75" x14ac:dyDescent="0.25">
      <c r="A9" s="59"/>
      <c r="B9" s="140" t="s">
        <v>4</v>
      </c>
      <c r="C9" s="633" t="str">
        <f>Club</f>
        <v>S&amp;T Sorbonne</v>
      </c>
      <c r="D9" s="633"/>
      <c r="M9" s="75"/>
    </row>
    <row r="10" spans="1:13" ht="15.75" x14ac:dyDescent="0.25">
      <c r="A10" s="59"/>
      <c r="B10" s="140" t="s">
        <v>561</v>
      </c>
      <c r="C10" s="662" t="str">
        <f>Matricule</f>
        <v>FX</v>
      </c>
      <c r="D10" s="663"/>
      <c r="M10" s="75"/>
    </row>
    <row r="11" spans="1:13" x14ac:dyDescent="0.2">
      <c r="A11" s="59"/>
      <c r="B11" s="140" t="str">
        <f>IF(Lang="Français","Masse sans propu",IF(Lang="English","Mass without M",""))</f>
        <v>Masse sans propu</v>
      </c>
      <c r="C11" s="664">
        <f ca="1">MasseSans</f>
        <v>6.7520000000000007</v>
      </c>
      <c r="D11" s="664"/>
      <c r="M11" s="75"/>
    </row>
    <row r="12" spans="1:13" x14ac:dyDescent="0.2">
      <c r="A12" s="59"/>
      <c r="B12" s="140" t="str">
        <f>IF(Lang="Français","Masse totale",IF(Lang="English","Total mass",""))</f>
        <v>Masse totale</v>
      </c>
      <c r="C12" s="667" t="str">
        <f ca="1">MassePlein &amp; " kg ±" &amp; MasseSans &amp; " kg"</f>
        <v>20 kg ±6,752 kg</v>
      </c>
      <c r="D12" s="667"/>
      <c r="M12" s="75"/>
    </row>
    <row r="13" spans="1:13" x14ac:dyDescent="0.2">
      <c r="A13" s="59"/>
      <c r="B13" s="227" t="str">
        <f>IF(Lang="Français","Propulseur",IF(Lang="English","Motor",""))</f>
        <v>Propulseur</v>
      </c>
      <c r="C13" s="610" t="str">
        <f>Propu</f>
        <v>Pro98-6G Green</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150</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283</v>
      </c>
      <c r="D41" s="134" t="s">
        <v>280</v>
      </c>
      <c r="E41" s="134" t="s">
        <v>284</v>
      </c>
      <c r="F41" s="134" t="s">
        <v>285</v>
      </c>
      <c r="G41" s="134" t="s">
        <v>13</v>
      </c>
      <c r="H41" s="134" t="s">
        <v>281</v>
      </c>
      <c r="I41" s="134" t="s">
        <v>282</v>
      </c>
      <c r="J41" s="134" t="s">
        <v>297</v>
      </c>
      <c r="K41" s="134" t="s">
        <v>298</v>
      </c>
      <c r="L41" s="134" t="s">
        <v>300</v>
      </c>
      <c r="M41" s="134" t="s">
        <v>288</v>
      </c>
    </row>
    <row r="42" spans="1:13" x14ac:dyDescent="0.2">
      <c r="B42" s="420" t="s">
        <v>289</v>
      </c>
      <c r="C42" s="170" t="s">
        <v>290</v>
      </c>
      <c r="D42" s="134" t="s">
        <v>291</v>
      </c>
      <c r="E42" s="134" t="s">
        <v>292</v>
      </c>
      <c r="F42" s="134" t="s">
        <v>293</v>
      </c>
      <c r="G42" s="134" t="s">
        <v>294</v>
      </c>
      <c r="H42" s="134" t="s">
        <v>295</v>
      </c>
      <c r="I42" s="134" t="s">
        <v>296</v>
      </c>
      <c r="J42" s="134" t="s">
        <v>286</v>
      </c>
      <c r="K42" s="134" t="s">
        <v>287</v>
      </c>
      <c r="L42" s="134"/>
      <c r="M42" s="134"/>
    </row>
    <row r="43" spans="1:13" x14ac:dyDescent="0.2">
      <c r="B43" s="425">
        <f t="shared" ref="B43:B51" ca="1" si="0">MAX(D_ref*0.5, Diam_propu)</f>
        <v>98</v>
      </c>
      <c r="C43" s="403">
        <f t="shared" ref="C43:C69" ca="1" si="1">1/2*Rho_moyen*PI()*D_var^2/4*Cx/10^6</f>
        <v>2.772039255766392E-3</v>
      </c>
      <c r="D43" s="400">
        <f ca="1">MpropuPlein+0*MasseSans</f>
        <v>13.247999999999999</v>
      </c>
      <c r="E43" s="400">
        <f t="shared" ref="E43:E69" ca="1" si="2">m_var - 0.5*m_poudre</f>
        <v>8.9559999999999995</v>
      </c>
      <c r="F43" s="400">
        <f t="shared" ref="F43:F69" ca="1" si="3">m_var - m_poudre</f>
        <v>4.6639999999999997</v>
      </c>
      <c r="G43" s="407">
        <f t="shared" ref="G43:G69" ca="1" si="4">MAX(0, (I_total/Temps_fin_propu)/m_prop-g)</f>
        <v>189.41364906905983</v>
      </c>
      <c r="H43" s="406">
        <f t="shared" ref="H43:H69" ca="1" si="5">Q_var/m_prop</f>
        <v>3.0951755870549266E-4</v>
      </c>
      <c r="I43" s="403">
        <f t="shared" ref="I43:I69" ca="1" si="6">Q_var/m_bal</f>
        <v>5.9434803940102744E-4</v>
      </c>
      <c r="J43" s="403">
        <f t="shared" ref="J43:J69" ca="1" si="7">1/(2*b_prop)*LN(  ((EXP(2*SQRT(a_prop*b_prop)*Temps_fin_propu)+1)^2)  /  (((1+1)^2)*EXP(2*SQRT(a_prop*b_prop)*Temps_fin_propu)))</f>
        <v>4085.2353144447588</v>
      </c>
      <c r="K43" s="410">
        <f t="shared" ref="K43:K69" ca="1" si="8">SQRT(a_prop/b_prop)  *  (EXP(2*SQRT(a_prop*b_prop)*Temps_fin_propu)-1)/(EXP(2*SQRT(a_prop*b_prop)*Temps_fin_propu)+1)</f>
        <v>750.44135799458877</v>
      </c>
      <c r="L43" s="413">
        <f t="shared" ref="L43:L69" ca="1" si="9">alt_prop + 1/(2*b_bal) * LN(1+b_bal/g*V_prop^2)</f>
        <v>7079.0725224484131</v>
      </c>
      <c r="M43" s="416">
        <f t="shared" ref="M43:M69" ca="1" si="10">Temps_fin_propu + ATAN(SQRT(b_bal/g)*V_prop)/SQRT(b_bal*g)</f>
        <v>26.350943680826905</v>
      </c>
    </row>
    <row r="44" spans="1:13" x14ac:dyDescent="0.2">
      <c r="B44" s="426">
        <f t="shared" ca="1" si="0"/>
        <v>98</v>
      </c>
      <c r="C44" s="404">
        <f t="shared" ca="1" si="1"/>
        <v>2.772039255766392E-3</v>
      </c>
      <c r="D44" s="401">
        <f ca="1">MpropuPlein+0.25*MasseSans</f>
        <v>14.936</v>
      </c>
      <c r="E44" s="401">
        <f t="shared" ca="1" si="2"/>
        <v>10.644</v>
      </c>
      <c r="F44" s="401">
        <f t="shared" ca="1" si="3"/>
        <v>6.3520000000000003</v>
      </c>
      <c r="G44" s="408">
        <f t="shared" ca="1" si="4"/>
        <v>157.81936875822058</v>
      </c>
      <c r="H44" s="404">
        <f t="shared" ca="1" si="5"/>
        <v>2.6043209843727846E-4</v>
      </c>
      <c r="I44" s="404">
        <f t="shared" ca="1" si="6"/>
        <v>4.3640416495062845E-4</v>
      </c>
      <c r="J44" s="404">
        <f t="shared" ca="1" si="7"/>
        <v>3713.0723905162104</v>
      </c>
      <c r="K44" s="411">
        <f t="shared" ca="1" si="8"/>
        <v>719.98870785538782</v>
      </c>
      <c r="L44" s="414">
        <f t="shared" ca="1" si="9"/>
        <v>7357.145168474256</v>
      </c>
      <c r="M44" s="417">
        <f t="shared" ca="1" si="10"/>
        <v>28.869385856208829</v>
      </c>
    </row>
    <row r="45" spans="1:13" x14ac:dyDescent="0.2">
      <c r="B45" s="426">
        <f t="shared" ca="1" si="0"/>
        <v>98</v>
      </c>
      <c r="C45" s="404">
        <f t="shared" ca="1" si="1"/>
        <v>2.772039255766392E-3</v>
      </c>
      <c r="D45" s="401">
        <f ca="1">MpropuPlein+0.5*MasseSans</f>
        <v>16.623999999999999</v>
      </c>
      <c r="E45" s="401">
        <f t="shared" ca="1" si="2"/>
        <v>12.331999999999999</v>
      </c>
      <c r="F45" s="401">
        <f t="shared" ca="1" si="3"/>
        <v>8.0399999999999991</v>
      </c>
      <c r="G45" s="408">
        <f t="shared" ca="1" si="4"/>
        <v>134.87431730964158</v>
      </c>
      <c r="H45" s="404">
        <f t="shared" ca="1" si="5"/>
        <v>2.2478424065572431E-4</v>
      </c>
      <c r="I45" s="404">
        <f t="shared" ca="1" si="6"/>
        <v>3.4478100196099409E-4</v>
      </c>
      <c r="J45" s="404">
        <f t="shared" ca="1" si="7"/>
        <v>3379.4852880858898</v>
      </c>
      <c r="K45" s="411">
        <f t="shared" ca="1" si="8"/>
        <v>684.61332878593601</v>
      </c>
      <c r="L45" s="414">
        <f t="shared" ca="1" si="9"/>
        <v>7527.9739644588062</v>
      </c>
      <c r="M45" s="417">
        <f t="shared" ca="1" si="10"/>
        <v>30.8555187904098</v>
      </c>
    </row>
    <row r="46" spans="1:13" x14ac:dyDescent="0.2">
      <c r="B46" s="426">
        <f t="shared" ca="1" si="0"/>
        <v>98</v>
      </c>
      <c r="C46" s="404">
        <f t="shared" ca="1" si="1"/>
        <v>2.772039255766392E-3</v>
      </c>
      <c r="D46" s="401">
        <f ca="1">MpropuPlein+0.75*MasseSans</f>
        <v>18.311999999999998</v>
      </c>
      <c r="E46" s="401">
        <f t="shared" ca="1" si="2"/>
        <v>14.019999999999998</v>
      </c>
      <c r="F46" s="401">
        <f t="shared" ca="1" si="3"/>
        <v>9.727999999999998</v>
      </c>
      <c r="G46" s="408">
        <f t="shared" ca="1" si="4"/>
        <v>117.45440806437233</v>
      </c>
      <c r="H46" s="404">
        <f t="shared" ca="1" si="5"/>
        <v>1.9772034634567707E-4</v>
      </c>
      <c r="I46" s="404">
        <f t="shared" ca="1" si="6"/>
        <v>2.8495469323256502E-4</v>
      </c>
      <c r="J46" s="404">
        <f t="shared" ca="1" si="7"/>
        <v>3083.6115180540996</v>
      </c>
      <c r="K46" s="411">
        <f t="shared" ca="1" si="8"/>
        <v>646.95892473463743</v>
      </c>
      <c r="L46" s="414">
        <f t="shared" ca="1" si="9"/>
        <v>7605.4283616683151</v>
      </c>
      <c r="M46" s="417">
        <f t="shared" ca="1" si="10"/>
        <v>32.427082932672242</v>
      </c>
    </row>
    <row r="47" spans="1:13" x14ac:dyDescent="0.2">
      <c r="B47" s="426">
        <f t="shared" ca="1" si="0"/>
        <v>98</v>
      </c>
      <c r="C47" s="404">
        <f t="shared" ca="1" si="1"/>
        <v>2.772039255766392E-3</v>
      </c>
      <c r="D47" s="401">
        <f ca="1">MpropuPlein+1*MasseSans</f>
        <v>20</v>
      </c>
      <c r="E47" s="401">
        <f t="shared" ca="1" si="2"/>
        <v>15.708</v>
      </c>
      <c r="F47" s="401">
        <f t="shared" ca="1" si="3"/>
        <v>11.416</v>
      </c>
      <c r="G47" s="408">
        <f t="shared" ca="1" si="4"/>
        <v>103.77842634724342</v>
      </c>
      <c r="H47" s="404">
        <f t="shared" ca="1" si="5"/>
        <v>1.7647308732915662E-4</v>
      </c>
      <c r="I47" s="404">
        <f t="shared" ca="1" si="6"/>
        <v>2.4282053747077715E-4</v>
      </c>
      <c r="J47" s="404">
        <f t="shared" ca="1" si="7"/>
        <v>2822.4787191847449</v>
      </c>
      <c r="K47" s="411">
        <f t="shared" ca="1" si="8"/>
        <v>609.01842598355972</v>
      </c>
      <c r="L47" s="414">
        <f t="shared" ca="1" si="9"/>
        <v>7600.6924225131879</v>
      </c>
      <c r="M47" s="417">
        <f t="shared" ca="1" si="10"/>
        <v>33.652680996571128</v>
      </c>
    </row>
    <row r="48" spans="1:13" x14ac:dyDescent="0.2">
      <c r="B48" s="426">
        <f t="shared" ca="1" si="0"/>
        <v>98</v>
      </c>
      <c r="C48" s="404">
        <f t="shared" ca="1" si="1"/>
        <v>2.772039255766392E-3</v>
      </c>
      <c r="D48" s="401">
        <f ca="1">MpropuPlein+1.25*MasseSans</f>
        <v>21.688000000000002</v>
      </c>
      <c r="E48" s="401">
        <f t="shared" ca="1" si="2"/>
        <v>17.396000000000001</v>
      </c>
      <c r="F48" s="401">
        <f t="shared" ca="1" si="3"/>
        <v>13.104000000000003</v>
      </c>
      <c r="G48" s="408">
        <f t="shared" ca="1" si="4"/>
        <v>92.756509603500788</v>
      </c>
      <c r="H48" s="404">
        <f t="shared" ca="1" si="5"/>
        <v>1.5934923291368084E-4</v>
      </c>
      <c r="I48" s="404">
        <f t="shared" ca="1" si="6"/>
        <v>2.1154145724712998E-4</v>
      </c>
      <c r="J48" s="404">
        <f t="shared" ca="1" si="7"/>
        <v>2592.2804037014148</v>
      </c>
      <c r="K48" s="411">
        <f t="shared" ca="1" si="8"/>
        <v>572.09761633058781</v>
      </c>
      <c r="L48" s="414">
        <f t="shared" ca="1" si="9"/>
        <v>7524.257749973779</v>
      </c>
      <c r="M48" s="417">
        <f t="shared" ca="1" si="10"/>
        <v>34.578784183375078</v>
      </c>
    </row>
    <row r="49" spans="2:13" x14ac:dyDescent="0.2">
      <c r="B49" s="426">
        <f t="shared" ca="1" si="0"/>
        <v>98</v>
      </c>
      <c r="C49" s="404">
        <f t="shared" ca="1" si="1"/>
        <v>2.772039255766392E-3</v>
      </c>
      <c r="D49" s="401">
        <f ca="1">MpropuPlein+1.5*MasseSans</f>
        <v>23.375999999999998</v>
      </c>
      <c r="E49" s="401">
        <f t="shared" ca="1" si="2"/>
        <v>19.083999999999996</v>
      </c>
      <c r="F49" s="401">
        <f t="shared" ca="1" si="3"/>
        <v>14.791999999999998</v>
      </c>
      <c r="G49" s="408">
        <f t="shared" ca="1" si="4"/>
        <v>83.684393264645777</v>
      </c>
      <c r="H49" s="404">
        <f t="shared" ca="1" si="5"/>
        <v>1.4525462459475961E-4</v>
      </c>
      <c r="I49" s="404">
        <f t="shared" ca="1" si="6"/>
        <v>1.874012476856674E-4</v>
      </c>
      <c r="J49" s="404">
        <f t="shared" ca="1" si="7"/>
        <v>2389.1082110659358</v>
      </c>
      <c r="K49" s="411">
        <f t="shared" ca="1" si="8"/>
        <v>536.95743831037282</v>
      </c>
      <c r="L49" s="414">
        <f t="shared" ca="1" si="9"/>
        <v>7386.4369166001707</v>
      </c>
      <c r="M49" s="417">
        <f t="shared" ca="1" si="10"/>
        <v>35.240869276636616</v>
      </c>
    </row>
    <row r="50" spans="2:13" x14ac:dyDescent="0.2">
      <c r="B50" s="426">
        <f t="shared" ca="1" si="0"/>
        <v>98</v>
      </c>
      <c r="C50" s="404">
        <f t="shared" ca="1" si="1"/>
        <v>2.772039255766392E-3</v>
      </c>
      <c r="D50" s="401">
        <f ca="1">MpropuPlein+1.75*MasseSans</f>
        <v>25.064</v>
      </c>
      <c r="E50" s="401">
        <f t="shared" ca="1" si="2"/>
        <v>20.771999999999998</v>
      </c>
      <c r="F50" s="401">
        <f t="shared" ca="1" si="3"/>
        <v>16.48</v>
      </c>
      <c r="G50" s="408">
        <f t="shared" ca="1" si="4"/>
        <v>76.086736041907372</v>
      </c>
      <c r="H50" s="404">
        <f t="shared" ca="1" si="5"/>
        <v>1.3345076332401271E-4</v>
      </c>
      <c r="I50" s="404">
        <f t="shared" ca="1" si="6"/>
        <v>1.6820626551980534E-4</v>
      </c>
      <c r="J50" s="404">
        <f t="shared" ca="1" si="7"/>
        <v>2209.3127391362068</v>
      </c>
      <c r="K50" s="411">
        <f t="shared" ca="1" si="8"/>
        <v>503.97909431905691</v>
      </c>
      <c r="L50" s="414">
        <f t="shared" ca="1" si="9"/>
        <v>7197.3835165987475</v>
      </c>
      <c r="M50" s="417">
        <f t="shared" ca="1" si="10"/>
        <v>35.66864789567073</v>
      </c>
    </row>
    <row r="51" spans="2:13" x14ac:dyDescent="0.2">
      <c r="B51" s="427">
        <f t="shared" ca="1" si="0"/>
        <v>98</v>
      </c>
      <c r="C51" s="405">
        <f t="shared" ca="1" si="1"/>
        <v>2.772039255766392E-3</v>
      </c>
      <c r="D51" s="402">
        <f ca="1">MpropuPlein+2*MasseSans</f>
        <v>26.752000000000002</v>
      </c>
      <c r="E51" s="402">
        <f t="shared" ca="1" si="2"/>
        <v>22.46</v>
      </c>
      <c r="F51" s="402">
        <f t="shared" ca="1" si="3"/>
        <v>18.168000000000003</v>
      </c>
      <c r="G51" s="409">
        <f t="shared" ca="1" si="4"/>
        <v>69.631095327804971</v>
      </c>
      <c r="H51" s="405">
        <f t="shared" ca="1" si="5"/>
        <v>1.2342116009645557E-4</v>
      </c>
      <c r="I51" s="405">
        <f t="shared" ca="1" si="6"/>
        <v>1.5257811843716378E-4</v>
      </c>
      <c r="J51" s="405">
        <f t="shared" ca="1" si="7"/>
        <v>2049.647958500093</v>
      </c>
      <c r="K51" s="412">
        <f t="shared" ca="1" si="8"/>
        <v>473.29903421558629</v>
      </c>
      <c r="L51" s="415">
        <f t="shared" ca="1" si="9"/>
        <v>6966.9478643424263</v>
      </c>
      <c r="M51" s="418">
        <f t="shared" ca="1" si="10"/>
        <v>35.888689504348982</v>
      </c>
    </row>
    <row r="52" spans="2:13" x14ac:dyDescent="0.2">
      <c r="B52" s="425">
        <f t="shared" ref="B52:B60" si="11">D_ref</f>
        <v>150</v>
      </c>
      <c r="C52" s="403">
        <f t="shared" si="1"/>
        <v>6.4942610635926514E-3</v>
      </c>
      <c r="D52" s="400">
        <f ca="1">MpropuPlein+0*MasseSans</f>
        <v>13.247999999999999</v>
      </c>
      <c r="E52" s="400">
        <f t="shared" ca="1" si="2"/>
        <v>8.9559999999999995</v>
      </c>
      <c r="F52" s="400">
        <f t="shared" ca="1" si="3"/>
        <v>4.6639999999999997</v>
      </c>
      <c r="G52" s="407">
        <f t="shared" ca="1" si="4"/>
        <v>189.41364906905983</v>
      </c>
      <c r="H52" s="403">
        <f t="shared" ca="1" si="5"/>
        <v>7.2512964086563771E-4</v>
      </c>
      <c r="I52" s="403">
        <f t="shared" ca="1" si="6"/>
        <v>1.3924230410790419E-3</v>
      </c>
      <c r="J52" s="403">
        <f t="shared" ca="1" si="7"/>
        <v>3136.4922446265755</v>
      </c>
      <c r="K52" s="410">
        <f t="shared" ca="1" si="8"/>
        <v>508.37946869817569</v>
      </c>
      <c r="L52" s="413">
        <f t="shared" ca="1" si="9"/>
        <v>4439.7021490752113</v>
      </c>
      <c r="M52" s="416">
        <f t="shared" ca="1" si="10"/>
        <v>20.039975757275649</v>
      </c>
    </row>
    <row r="53" spans="2:13" x14ac:dyDescent="0.2">
      <c r="B53" s="426">
        <f t="shared" si="11"/>
        <v>150</v>
      </c>
      <c r="C53" s="404">
        <f t="shared" si="1"/>
        <v>6.4942610635926514E-3</v>
      </c>
      <c r="D53" s="401">
        <f ca="1">MpropuPlein+0.25*MasseSans</f>
        <v>14.936</v>
      </c>
      <c r="E53" s="401">
        <f t="shared" ca="1" si="2"/>
        <v>10.644</v>
      </c>
      <c r="F53" s="401">
        <f t="shared" ca="1" si="3"/>
        <v>6.3520000000000003</v>
      </c>
      <c r="G53" s="408">
        <f t="shared" ca="1" si="4"/>
        <v>157.81936875822058</v>
      </c>
      <c r="H53" s="404">
        <f t="shared" ca="1" si="5"/>
        <v>6.1013350841719756E-4</v>
      </c>
      <c r="I53" s="404">
        <f t="shared" ca="1" si="6"/>
        <v>1.0223962631600522E-3</v>
      </c>
      <c r="J53" s="404">
        <f t="shared" ca="1" si="7"/>
        <v>2944.0587245361598</v>
      </c>
      <c r="K53" s="411">
        <f t="shared" ca="1" si="8"/>
        <v>501.54069817077789</v>
      </c>
      <c r="L53" s="414">
        <f t="shared" ca="1" si="9"/>
        <v>4559.7710846772734</v>
      </c>
      <c r="M53" s="417">
        <f t="shared" ca="1" si="10"/>
        <v>21.758747643974083</v>
      </c>
    </row>
    <row r="54" spans="2:13" x14ac:dyDescent="0.2">
      <c r="B54" s="426">
        <f t="shared" si="11"/>
        <v>150</v>
      </c>
      <c r="C54" s="404">
        <f t="shared" si="1"/>
        <v>6.4942610635926514E-3</v>
      </c>
      <c r="D54" s="401">
        <f ca="1">MpropuPlein+0.5*MasseSans</f>
        <v>16.623999999999999</v>
      </c>
      <c r="E54" s="401">
        <f t="shared" ca="1" si="2"/>
        <v>12.331999999999999</v>
      </c>
      <c r="F54" s="401">
        <f t="shared" ca="1" si="3"/>
        <v>8.0399999999999991</v>
      </c>
      <c r="G54" s="408">
        <f t="shared" ca="1" si="4"/>
        <v>134.87431730964158</v>
      </c>
      <c r="H54" s="404">
        <f t="shared" ca="1" si="5"/>
        <v>5.2661863960368573E-4</v>
      </c>
      <c r="I54" s="404">
        <f t="shared" ca="1" si="6"/>
        <v>8.0774391338217066E-4</v>
      </c>
      <c r="J54" s="404">
        <f t="shared" ca="1" si="7"/>
        <v>2758.9127178249905</v>
      </c>
      <c r="K54" s="411">
        <f t="shared" ca="1" si="8"/>
        <v>492.03960984968347</v>
      </c>
      <c r="L54" s="414">
        <f t="shared" ca="1" si="9"/>
        <v>4641.5622213292372</v>
      </c>
      <c r="M54" s="417">
        <f t="shared" ca="1" si="10"/>
        <v>23.170851102686676</v>
      </c>
    </row>
    <row r="55" spans="2:13" x14ac:dyDescent="0.2">
      <c r="B55" s="426">
        <f t="shared" si="11"/>
        <v>150</v>
      </c>
      <c r="C55" s="404">
        <f t="shared" si="1"/>
        <v>6.4942610635926514E-3</v>
      </c>
      <c r="D55" s="401">
        <f ca="1">MpropuPlein+0.75*MasseSans</f>
        <v>18.311999999999998</v>
      </c>
      <c r="E55" s="401">
        <f t="shared" ca="1" si="2"/>
        <v>14.019999999999998</v>
      </c>
      <c r="F55" s="401">
        <f t="shared" ca="1" si="3"/>
        <v>9.727999999999998</v>
      </c>
      <c r="G55" s="408">
        <f t="shared" ca="1" si="4"/>
        <v>117.45440806437233</v>
      </c>
      <c r="H55" s="404">
        <f t="shared" ca="1" si="5"/>
        <v>4.632140558910594E-4</v>
      </c>
      <c r="I55" s="404">
        <f t="shared" ca="1" si="6"/>
        <v>6.6758440209628426E-4</v>
      </c>
      <c r="J55" s="404">
        <f t="shared" ca="1" si="7"/>
        <v>2583.1068366203726</v>
      </c>
      <c r="K55" s="411">
        <f t="shared" ca="1" si="8"/>
        <v>480.00110542320027</v>
      </c>
      <c r="L55" s="414">
        <f t="shared" ca="1" si="9"/>
        <v>4690.8235181687105</v>
      </c>
      <c r="M55" s="417">
        <f t="shared" ca="1" si="10"/>
        <v>24.353521150000393</v>
      </c>
    </row>
    <row r="56" spans="2:13" x14ac:dyDescent="0.2">
      <c r="B56" s="426">
        <f t="shared" si="11"/>
        <v>150</v>
      </c>
      <c r="C56" s="404">
        <f t="shared" si="1"/>
        <v>6.4942610635926514E-3</v>
      </c>
      <c r="D56" s="401">
        <f ca="1">MpropuPlein+1*MasseSans</f>
        <v>20</v>
      </c>
      <c r="E56" s="401">
        <f t="shared" ca="1" si="2"/>
        <v>15.708</v>
      </c>
      <c r="F56" s="401">
        <f t="shared" ca="1" si="3"/>
        <v>11.416</v>
      </c>
      <c r="G56" s="408">
        <f t="shared" ca="1" si="4"/>
        <v>103.77842634724342</v>
      </c>
      <c r="H56" s="404">
        <f t="shared" ca="1" si="5"/>
        <v>4.1343653320554183E-4</v>
      </c>
      <c r="I56" s="404">
        <f t="shared" ca="1" si="6"/>
        <v>5.688736040287887E-4</v>
      </c>
      <c r="J56" s="404">
        <f t="shared" ca="1" si="7"/>
        <v>2417.9471760681827</v>
      </c>
      <c r="K56" s="411">
        <f t="shared" ca="1" si="8"/>
        <v>465.85459904315502</v>
      </c>
      <c r="L56" s="414">
        <f t="shared" ca="1" si="9"/>
        <v>4711.034893741511</v>
      </c>
      <c r="M56" s="417">
        <f t="shared" ca="1" si="10"/>
        <v>25.349035144079309</v>
      </c>
    </row>
    <row r="57" spans="2:13" x14ac:dyDescent="0.2">
      <c r="B57" s="426">
        <f t="shared" si="11"/>
        <v>150</v>
      </c>
      <c r="C57" s="404">
        <f t="shared" si="1"/>
        <v>6.4942610635926514E-3</v>
      </c>
      <c r="D57" s="401">
        <f ca="1">MpropuPlein+1.25*MasseSans</f>
        <v>21.688000000000002</v>
      </c>
      <c r="E57" s="401">
        <f t="shared" ca="1" si="2"/>
        <v>17.396000000000001</v>
      </c>
      <c r="F57" s="401">
        <f t="shared" ca="1" si="3"/>
        <v>13.104000000000003</v>
      </c>
      <c r="G57" s="408">
        <f t="shared" ca="1" si="4"/>
        <v>92.756509603500788</v>
      </c>
      <c r="H57" s="404">
        <f t="shared" ca="1" si="5"/>
        <v>3.7331921496853591E-4</v>
      </c>
      <c r="I57" s="404">
        <f t="shared" ca="1" si="6"/>
        <v>4.9559379300920714E-4</v>
      </c>
      <c r="J57" s="404">
        <f t="shared" ca="1" si="7"/>
        <v>2264.0373835181526</v>
      </c>
      <c r="K57" s="411">
        <f t="shared" ca="1" si="8"/>
        <v>450.15213072591223</v>
      </c>
      <c r="L57" s="414">
        <f t="shared" ca="1" si="9"/>
        <v>4704.7637865337019</v>
      </c>
      <c r="M57" s="417">
        <f t="shared" ca="1" si="10"/>
        <v>26.183501500004809</v>
      </c>
    </row>
    <row r="58" spans="2:13" x14ac:dyDescent="0.2">
      <c r="B58" s="426">
        <f t="shared" si="11"/>
        <v>150</v>
      </c>
      <c r="C58" s="404">
        <f t="shared" si="1"/>
        <v>6.4942610635926514E-3</v>
      </c>
      <c r="D58" s="401">
        <f ca="1">MpropuPlein+1.5*MasseSans</f>
        <v>23.375999999999998</v>
      </c>
      <c r="E58" s="401">
        <f t="shared" ca="1" si="2"/>
        <v>19.083999999999996</v>
      </c>
      <c r="F58" s="401">
        <f t="shared" ca="1" si="3"/>
        <v>14.791999999999998</v>
      </c>
      <c r="G58" s="408">
        <f t="shared" ca="1" si="4"/>
        <v>83.684393264645777</v>
      </c>
      <c r="H58" s="404">
        <f t="shared" ca="1" si="5"/>
        <v>3.4029873525427858E-4</v>
      </c>
      <c r="I58" s="404">
        <f t="shared" ca="1" si="6"/>
        <v>4.3903874145434372E-4</v>
      </c>
      <c r="J58" s="404">
        <f t="shared" ca="1" si="7"/>
        <v>2121.4295917755157</v>
      </c>
      <c r="K58" s="411">
        <f t="shared" ca="1" si="8"/>
        <v>433.44412646564496</v>
      </c>
      <c r="L58" s="414">
        <f t="shared" ca="1" si="9"/>
        <v>4674.2516597028043</v>
      </c>
      <c r="M58" s="417">
        <f t="shared" ca="1" si="10"/>
        <v>26.874749763941626</v>
      </c>
    </row>
    <row r="59" spans="2:13" x14ac:dyDescent="0.2">
      <c r="B59" s="426">
        <f t="shared" si="11"/>
        <v>150</v>
      </c>
      <c r="C59" s="404">
        <f t="shared" si="1"/>
        <v>6.4942610635926514E-3</v>
      </c>
      <c r="D59" s="401">
        <f ca="1">MpropuPlein+1.75*MasseSans</f>
        <v>25.064</v>
      </c>
      <c r="E59" s="401">
        <f t="shared" ca="1" si="2"/>
        <v>20.771999999999998</v>
      </c>
      <c r="F59" s="401">
        <f t="shared" ca="1" si="3"/>
        <v>16.48</v>
      </c>
      <c r="G59" s="408">
        <f t="shared" ca="1" si="4"/>
        <v>76.086736041907372</v>
      </c>
      <c r="H59" s="404">
        <f t="shared" ca="1" si="5"/>
        <v>3.1264495780823474E-4</v>
      </c>
      <c r="I59" s="404">
        <f t="shared" ca="1" si="6"/>
        <v>3.9406923929567061E-4</v>
      </c>
      <c r="J59" s="404">
        <f t="shared" ca="1" si="7"/>
        <v>1989.7919048989947</v>
      </c>
      <c r="K59" s="411">
        <f t="shared" ca="1" si="8"/>
        <v>416.21354863498368</v>
      </c>
      <c r="L59" s="414">
        <f t="shared" ca="1" si="9"/>
        <v>4621.6662674371146</v>
      </c>
      <c r="M59" s="417">
        <f t="shared" ca="1" si="10"/>
        <v>27.436087634846871</v>
      </c>
    </row>
    <row r="60" spans="2:13" x14ac:dyDescent="0.2">
      <c r="B60" s="427">
        <f t="shared" si="11"/>
        <v>150</v>
      </c>
      <c r="C60" s="405">
        <f t="shared" si="1"/>
        <v>6.4942610635926514E-3</v>
      </c>
      <c r="D60" s="402">
        <f ca="1">MpropuPlein+2*MasseSans</f>
        <v>26.752000000000002</v>
      </c>
      <c r="E60" s="402">
        <f t="shared" ca="1" si="2"/>
        <v>22.46</v>
      </c>
      <c r="F60" s="402">
        <f t="shared" ca="1" si="3"/>
        <v>18.168000000000003</v>
      </c>
      <c r="G60" s="409">
        <f t="shared" ca="1" si="4"/>
        <v>69.631095327804971</v>
      </c>
      <c r="H60" s="405">
        <f t="shared" ca="1" si="5"/>
        <v>2.891478656986933E-4</v>
      </c>
      <c r="I60" s="405">
        <f t="shared" ca="1" si="6"/>
        <v>3.5745602507665405E-4</v>
      </c>
      <c r="J60" s="405">
        <f t="shared" ca="1" si="7"/>
        <v>1868.5524015381684</v>
      </c>
      <c r="K60" s="412">
        <f t="shared" ca="1" si="8"/>
        <v>398.85119466779827</v>
      </c>
      <c r="L60" s="415">
        <f t="shared" ca="1" si="9"/>
        <v>4549.1990126479586</v>
      </c>
      <c r="M60" s="418">
        <f t="shared" ca="1" si="10"/>
        <v>27.878257626103139</v>
      </c>
    </row>
    <row r="61" spans="2:13" x14ac:dyDescent="0.2">
      <c r="B61" s="425">
        <f t="shared" ref="B61:B69" si="12">D_ref*1.5</f>
        <v>225</v>
      </c>
      <c r="C61" s="403">
        <f t="shared" si="1"/>
        <v>1.4612087393083464E-2</v>
      </c>
      <c r="D61" s="400">
        <f ca="1">MpropuPlein+0*MasseSans</f>
        <v>13.247999999999999</v>
      </c>
      <c r="E61" s="400">
        <f t="shared" ca="1" si="2"/>
        <v>8.9559999999999995</v>
      </c>
      <c r="F61" s="400">
        <f t="shared" ca="1" si="3"/>
        <v>4.6639999999999997</v>
      </c>
      <c r="G61" s="407">
        <f t="shared" ca="1" si="4"/>
        <v>189.41364906905983</v>
      </c>
      <c r="H61" s="403">
        <f t="shared" ca="1" si="5"/>
        <v>1.6315416919476847E-3</v>
      </c>
      <c r="I61" s="403">
        <f t="shared" ca="1" si="6"/>
        <v>3.1329518424278442E-3</v>
      </c>
      <c r="J61" s="403">
        <f t="shared" ca="1" si="7"/>
        <v>2301.0581883336172</v>
      </c>
      <c r="K61" s="410">
        <f t="shared" ca="1" si="8"/>
        <v>340.63356189313731</v>
      </c>
      <c r="L61" s="413">
        <f t="shared" ca="1" si="9"/>
        <v>2881.8301387204101</v>
      </c>
      <c r="M61" s="416">
        <f t="shared" ca="1" si="10"/>
        <v>16.031263991664794</v>
      </c>
    </row>
    <row r="62" spans="2:13" x14ac:dyDescent="0.2">
      <c r="B62" s="426">
        <f t="shared" si="12"/>
        <v>225</v>
      </c>
      <c r="C62" s="404">
        <f t="shared" si="1"/>
        <v>1.4612087393083464E-2</v>
      </c>
      <c r="D62" s="401">
        <f ca="1">MpropuPlein+0.25*MasseSans</f>
        <v>14.936</v>
      </c>
      <c r="E62" s="401">
        <f t="shared" ca="1" si="2"/>
        <v>10.644</v>
      </c>
      <c r="F62" s="401">
        <f t="shared" ca="1" si="3"/>
        <v>6.3520000000000003</v>
      </c>
      <c r="G62" s="408">
        <f t="shared" ca="1" si="4"/>
        <v>157.81936875822058</v>
      </c>
      <c r="H62" s="404">
        <f t="shared" ca="1" si="5"/>
        <v>1.3728003939386946E-3</v>
      </c>
      <c r="I62" s="404">
        <f t="shared" ca="1" si="6"/>
        <v>2.3003915921101172E-3</v>
      </c>
      <c r="J62" s="404">
        <f t="shared" ca="1" si="7"/>
        <v>2207.9891187262583</v>
      </c>
      <c r="K62" s="411">
        <f t="shared" ca="1" si="8"/>
        <v>338.66482959554088</v>
      </c>
      <c r="L62" s="414">
        <f t="shared" ca="1" si="9"/>
        <v>2931.4421612326987</v>
      </c>
      <c r="M62" s="417">
        <f t="shared" ca="1" si="10"/>
        <v>17.188422945336505</v>
      </c>
    </row>
    <row r="63" spans="2:13" x14ac:dyDescent="0.2">
      <c r="B63" s="426">
        <f t="shared" si="12"/>
        <v>225</v>
      </c>
      <c r="C63" s="404">
        <f t="shared" si="1"/>
        <v>1.4612087393083464E-2</v>
      </c>
      <c r="D63" s="401">
        <f ca="1">MpropuPlein+0.5*MasseSans</f>
        <v>16.623999999999999</v>
      </c>
      <c r="E63" s="401">
        <f t="shared" ca="1" si="2"/>
        <v>12.331999999999999</v>
      </c>
      <c r="F63" s="401">
        <f t="shared" ca="1" si="3"/>
        <v>8.0399999999999991</v>
      </c>
      <c r="G63" s="408">
        <f t="shared" ca="1" si="4"/>
        <v>134.87431730964158</v>
      </c>
      <c r="H63" s="404">
        <f t="shared" ca="1" si="5"/>
        <v>1.1848919391082926E-3</v>
      </c>
      <c r="I63" s="404">
        <f t="shared" ca="1" si="6"/>
        <v>1.8174238051098838E-3</v>
      </c>
      <c r="J63" s="404">
        <f t="shared" ca="1" si="7"/>
        <v>2115.4955493250236</v>
      </c>
      <c r="K63" s="411">
        <f t="shared" ca="1" si="8"/>
        <v>336.26107152346469</v>
      </c>
      <c r="L63" s="414">
        <f t="shared" ca="1" si="9"/>
        <v>2965.2344022150887</v>
      </c>
      <c r="M63" s="417">
        <f t="shared" ca="1" si="10"/>
        <v>18.153061523243984</v>
      </c>
    </row>
    <row r="64" spans="2:13" x14ac:dyDescent="0.2">
      <c r="B64" s="426">
        <f t="shared" si="12"/>
        <v>225</v>
      </c>
      <c r="C64" s="404">
        <f t="shared" si="1"/>
        <v>1.4612087393083464E-2</v>
      </c>
      <c r="D64" s="401">
        <f ca="1">MpropuPlein+0.75*MasseSans</f>
        <v>18.311999999999998</v>
      </c>
      <c r="E64" s="401">
        <f t="shared" ca="1" si="2"/>
        <v>14.019999999999998</v>
      </c>
      <c r="F64" s="401">
        <f t="shared" ca="1" si="3"/>
        <v>9.727999999999998</v>
      </c>
      <c r="G64" s="408">
        <f t="shared" ca="1" si="4"/>
        <v>117.45440806437233</v>
      </c>
      <c r="H64" s="404">
        <f t="shared" ca="1" si="5"/>
        <v>1.0422316257548835E-3</v>
      </c>
      <c r="I64" s="404">
        <f t="shared" ca="1" si="6"/>
        <v>1.5020649047166393E-3</v>
      </c>
      <c r="J64" s="404">
        <f t="shared" ca="1" si="7"/>
        <v>2024.0951820838036</v>
      </c>
      <c r="K64" s="411">
        <f t="shared" ca="1" si="8"/>
        <v>333.22250785049795</v>
      </c>
      <c r="L64" s="414">
        <f t="shared" ca="1" si="9"/>
        <v>2986.2565010021426</v>
      </c>
      <c r="M64" s="417">
        <f t="shared" ca="1" si="10"/>
        <v>18.980130605777063</v>
      </c>
    </row>
    <row r="65" spans="2:13" x14ac:dyDescent="0.2">
      <c r="B65" s="426">
        <f t="shared" si="12"/>
        <v>225</v>
      </c>
      <c r="C65" s="404">
        <f t="shared" si="1"/>
        <v>1.4612087393083464E-2</v>
      </c>
      <c r="D65" s="401">
        <f ca="1">MpropuPlein+1*MasseSans</f>
        <v>20</v>
      </c>
      <c r="E65" s="401">
        <f t="shared" ca="1" si="2"/>
        <v>15.708</v>
      </c>
      <c r="F65" s="401">
        <f t="shared" ca="1" si="3"/>
        <v>11.416</v>
      </c>
      <c r="G65" s="408">
        <f t="shared" ca="1" si="4"/>
        <v>103.77842634724342</v>
      </c>
      <c r="H65" s="404">
        <f t="shared" ca="1" si="5"/>
        <v>9.3023219971246902E-4</v>
      </c>
      <c r="I65" s="404">
        <f t="shared" ca="1" si="6"/>
        <v>1.2799656090647744E-3</v>
      </c>
      <c r="J65" s="404">
        <f t="shared" ca="1" si="7"/>
        <v>1934.3650981941612</v>
      </c>
      <c r="K65" s="411">
        <f t="shared" ca="1" si="8"/>
        <v>329.4084990038229</v>
      </c>
      <c r="L65" s="414">
        <f t="shared" ca="1" si="9"/>
        <v>2996.3162723177693</v>
      </c>
      <c r="M65" s="417">
        <f t="shared" ca="1" si="10"/>
        <v>19.699853279303838</v>
      </c>
    </row>
    <row r="66" spans="2:13" x14ac:dyDescent="0.2">
      <c r="B66" s="426">
        <f t="shared" si="12"/>
        <v>225</v>
      </c>
      <c r="C66" s="404">
        <f t="shared" si="1"/>
        <v>1.4612087393083464E-2</v>
      </c>
      <c r="D66" s="401">
        <f ca="1">MpropuPlein+1.25*MasseSans</f>
        <v>21.688000000000002</v>
      </c>
      <c r="E66" s="401">
        <f t="shared" ca="1" si="2"/>
        <v>17.396000000000001</v>
      </c>
      <c r="F66" s="401">
        <f t="shared" ca="1" si="3"/>
        <v>13.104000000000003</v>
      </c>
      <c r="G66" s="408">
        <f t="shared" ca="1" si="4"/>
        <v>92.756509603500788</v>
      </c>
      <c r="H66" s="404">
        <f t="shared" ca="1" si="5"/>
        <v>8.3996823367920572E-4</v>
      </c>
      <c r="I66" s="404">
        <f t="shared" ca="1" si="6"/>
        <v>1.115086034270716E-3</v>
      </c>
      <c r="J66" s="404">
        <f t="shared" ca="1" si="7"/>
        <v>1846.8615836785696</v>
      </c>
      <c r="K66" s="411">
        <f t="shared" ca="1" si="8"/>
        <v>324.75658574148366</v>
      </c>
      <c r="L66" s="414">
        <f t="shared" ca="1" si="9"/>
        <v>2996.568416412144</v>
      </c>
      <c r="M66" s="417">
        <f t="shared" ca="1" si="10"/>
        <v>20.330386210374229</v>
      </c>
    </row>
    <row r="67" spans="2:13" x14ac:dyDescent="0.2">
      <c r="B67" s="426">
        <f t="shared" si="12"/>
        <v>225</v>
      </c>
      <c r="C67" s="404">
        <f t="shared" si="1"/>
        <v>1.4612087393083464E-2</v>
      </c>
      <c r="D67" s="401">
        <f ca="1">MpropuPlein+1.5*MasseSans</f>
        <v>23.375999999999998</v>
      </c>
      <c r="E67" s="401">
        <f t="shared" ca="1" si="2"/>
        <v>19.083999999999996</v>
      </c>
      <c r="F67" s="401">
        <f t="shared" ca="1" si="3"/>
        <v>14.791999999999998</v>
      </c>
      <c r="G67" s="408">
        <f t="shared" ca="1" si="4"/>
        <v>83.684393264645777</v>
      </c>
      <c r="H67" s="404">
        <f t="shared" ca="1" si="5"/>
        <v>7.6567215432212681E-4</v>
      </c>
      <c r="I67" s="404">
        <f t="shared" ca="1" si="6"/>
        <v>9.8783716827227338E-4</v>
      </c>
      <c r="J67" s="404">
        <f t="shared" ca="1" si="7"/>
        <v>1762.0648498766373</v>
      </c>
      <c r="K67" s="411">
        <f t="shared" ca="1" si="8"/>
        <v>319.27698422367445</v>
      </c>
      <c r="L67" s="414">
        <f t="shared" ca="1" si="9"/>
        <v>2987.816006914747</v>
      </c>
      <c r="M67" s="417">
        <f t="shared" ca="1" si="10"/>
        <v>20.883377515347803</v>
      </c>
    </row>
    <row r="68" spans="2:13" x14ac:dyDescent="0.2">
      <c r="B68" s="426">
        <f t="shared" si="12"/>
        <v>225</v>
      </c>
      <c r="C68" s="404">
        <f t="shared" si="1"/>
        <v>1.4612087393083464E-2</v>
      </c>
      <c r="D68" s="401">
        <f ca="1">MpropuPlein+1.75*MasseSans</f>
        <v>25.064</v>
      </c>
      <c r="E68" s="401">
        <f t="shared" ca="1" si="2"/>
        <v>20.771999999999998</v>
      </c>
      <c r="F68" s="401">
        <f t="shared" ca="1" si="3"/>
        <v>16.48</v>
      </c>
      <c r="G68" s="408">
        <f t="shared" ca="1" si="4"/>
        <v>76.086736041907372</v>
      </c>
      <c r="H68" s="404">
        <f t="shared" ca="1" si="5"/>
        <v>7.0345115506852812E-4</v>
      </c>
      <c r="I68" s="404">
        <f t="shared" ca="1" si="6"/>
        <v>8.8665578841525873E-4</v>
      </c>
      <c r="J68" s="404">
        <f t="shared" ca="1" si="7"/>
        <v>1680.3511951068904</v>
      </c>
      <c r="K68" s="411">
        <f t="shared" ca="1" si="8"/>
        <v>313.03525583132887</v>
      </c>
      <c r="L68" s="414">
        <f t="shared" ca="1" si="9"/>
        <v>2970.6787020208149</v>
      </c>
      <c r="M68" s="417">
        <f t="shared" ca="1" si="10"/>
        <v>21.366748827673405</v>
      </c>
    </row>
    <row r="69" spans="2:13" x14ac:dyDescent="0.2">
      <c r="B69" s="427">
        <f t="shared" si="12"/>
        <v>225</v>
      </c>
      <c r="C69" s="405">
        <f t="shared" si="1"/>
        <v>1.4612087393083464E-2</v>
      </c>
      <c r="D69" s="402">
        <f ca="1">MpropuPlein+2*MasseSans</f>
        <v>26.752000000000002</v>
      </c>
      <c r="E69" s="402">
        <f t="shared" ca="1" si="2"/>
        <v>22.46</v>
      </c>
      <c r="F69" s="402">
        <f t="shared" ca="1" si="3"/>
        <v>18.168000000000003</v>
      </c>
      <c r="G69" s="409">
        <f t="shared" ca="1" si="4"/>
        <v>69.631095327804971</v>
      </c>
      <c r="H69" s="405">
        <f t="shared" ca="1" si="5"/>
        <v>6.5058269782205982E-4</v>
      </c>
      <c r="I69" s="405">
        <f t="shared" ca="1" si="6"/>
        <v>8.0427605642247155E-4</v>
      </c>
      <c r="J69" s="405">
        <f t="shared" ca="1" si="7"/>
        <v>1601.986442632204</v>
      </c>
      <c r="K69" s="412">
        <f t="shared" ca="1" si="8"/>
        <v>306.13239445010828</v>
      </c>
      <c r="L69" s="415">
        <f t="shared" ca="1" si="9"/>
        <v>2945.6890923645415</v>
      </c>
      <c r="M69" s="418">
        <f t="shared" ca="1" si="10"/>
        <v>21.786205808529168</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ColWidth="11.42578125"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417</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299</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325</v>
      </c>
      <c r="D43" t="s">
        <v>42</v>
      </c>
      <c r="E43" s="16">
        <v>41194</v>
      </c>
      <c r="F43" t="s">
        <v>329</v>
      </c>
    </row>
    <row r="44" spans="3:6" x14ac:dyDescent="0.2">
      <c r="C44" t="s">
        <v>326</v>
      </c>
      <c r="D44" t="s">
        <v>42</v>
      </c>
      <c r="E44" s="16">
        <v>41329</v>
      </c>
      <c r="F44" t="s">
        <v>330</v>
      </c>
    </row>
    <row r="45" spans="3:6" x14ac:dyDescent="0.2">
      <c r="C45" t="s">
        <v>414</v>
      </c>
      <c r="D45" t="s">
        <v>393</v>
      </c>
      <c r="E45" s="16">
        <v>41947</v>
      </c>
      <c r="F45" t="s">
        <v>413</v>
      </c>
    </row>
    <row r="46" spans="3:6" x14ac:dyDescent="0.2">
      <c r="C46" t="s">
        <v>418</v>
      </c>
      <c r="D46" t="s">
        <v>393</v>
      </c>
      <c r="E46" s="16">
        <v>41965</v>
      </c>
      <c r="F46" t="s">
        <v>416</v>
      </c>
    </row>
    <row r="47" spans="3:6" x14ac:dyDescent="0.2">
      <c r="C47" t="s">
        <v>539</v>
      </c>
      <c r="D47" t="s">
        <v>393</v>
      </c>
      <c r="E47" s="16">
        <v>43048</v>
      </c>
      <c r="F47" t="s">
        <v>540</v>
      </c>
    </row>
    <row r="48" spans="3:6" x14ac:dyDescent="0.2">
      <c r="C48" t="s">
        <v>543</v>
      </c>
      <c r="D48" t="s">
        <v>393</v>
      </c>
      <c r="E48" s="16">
        <v>44160</v>
      </c>
      <c r="F48" t="s">
        <v>544</v>
      </c>
    </row>
    <row r="49" spans="3:6" x14ac:dyDescent="0.2">
      <c r="C49" t="s">
        <v>553</v>
      </c>
      <c r="D49" t="s">
        <v>551</v>
      </c>
      <c r="E49" s="16">
        <v>45300</v>
      </c>
      <c r="F49" t="s">
        <v>552</v>
      </c>
    </row>
    <row r="50" spans="3:6" x14ac:dyDescent="0.2">
      <c r="C50" t="s">
        <v>555</v>
      </c>
      <c r="D50" t="s">
        <v>393</v>
      </c>
      <c r="E50" s="16">
        <v>45322</v>
      </c>
      <c r="F50" t="s">
        <v>560</v>
      </c>
    </row>
    <row r="51" spans="3:6" x14ac:dyDescent="0.2">
      <c r="C51" t="s">
        <v>564</v>
      </c>
      <c r="D51" t="s">
        <v>393</v>
      </c>
      <c r="E51" s="16">
        <v>45325</v>
      </c>
      <c r="F51" t="s">
        <v>563</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426</v>
      </c>
      <c r="N3" s="75"/>
      <c r="O3" s="6"/>
      <c r="P3" s="273" t="s">
        <v>338</v>
      </c>
      <c r="Q3" s="441">
        <f>Long_ogive</f>
        <v>700</v>
      </c>
      <c r="R3" s="48"/>
      <c r="S3" s="48"/>
      <c r="T3" s="48"/>
      <c r="U3" s="48"/>
    </row>
    <row r="4" spans="2:21" ht="15.75" customHeight="1" x14ac:dyDescent="0.2">
      <c r="B4" s="74"/>
      <c r="D4" s="2" t="s">
        <v>562</v>
      </c>
      <c r="E4" t="str">
        <f>Matricule</f>
        <v>FX</v>
      </c>
      <c r="N4" s="75"/>
      <c r="O4" s="6"/>
      <c r="P4" s="273"/>
      <c r="Q4" s="436"/>
      <c r="R4" s="48"/>
      <c r="S4" s="48"/>
      <c r="T4" s="48"/>
      <c r="U4" s="48"/>
    </row>
    <row r="5" spans="2:21" ht="15.75" customHeight="1" x14ac:dyDescent="0.2">
      <c r="B5" s="74"/>
      <c r="D5" t="s">
        <v>459</v>
      </c>
      <c r="E5" t="str">
        <f>Propu</f>
        <v>Pro98-6G Green</v>
      </c>
      <c r="G5" t="s">
        <v>456</v>
      </c>
      <c r="H5">
        <f ca="1">MasseSans</f>
        <v>6.7520000000000007</v>
      </c>
      <c r="N5" s="75"/>
      <c r="O5" s="6"/>
      <c r="P5" s="273"/>
      <c r="Q5" s="436"/>
      <c r="R5" s="48"/>
      <c r="S5" s="48"/>
      <c r="T5" s="48"/>
      <c r="U5" s="48"/>
    </row>
    <row r="6" spans="2:21" x14ac:dyDescent="0.2">
      <c r="B6" s="74"/>
      <c r="D6" t="s">
        <v>452</v>
      </c>
      <c r="E6" s="2" t="str">
        <f>Trajecto!H34</f>
        <v>noir</v>
      </c>
      <c r="G6" t="s">
        <v>457</v>
      </c>
      <c r="H6">
        <f>D_ref</f>
        <v>150</v>
      </c>
      <c r="N6" s="75"/>
      <c r="O6" s="6"/>
      <c r="P6" s="273"/>
      <c r="Q6" s="436"/>
      <c r="R6" s="48"/>
      <c r="S6" s="48"/>
      <c r="T6" s="48"/>
      <c r="U6" s="48"/>
    </row>
    <row r="7" spans="2:21" x14ac:dyDescent="0.2">
      <c r="B7" s="74"/>
      <c r="D7" t="s">
        <v>454</v>
      </c>
      <c r="E7" s="2" t="str">
        <f>Trajecto!H35</f>
        <v>rouge</v>
      </c>
      <c r="G7" t="s">
        <v>5</v>
      </c>
      <c r="H7">
        <f>Cx</f>
        <v>0.6</v>
      </c>
      <c r="N7" s="75"/>
      <c r="O7" s="6"/>
      <c r="P7" s="273"/>
      <c r="Q7" s="436"/>
      <c r="R7" s="48"/>
      <c r="S7" s="48"/>
      <c r="T7" s="48"/>
      <c r="U7" s="48"/>
    </row>
    <row r="8" spans="2:21" x14ac:dyDescent="0.2">
      <c r="B8" s="74"/>
      <c r="D8" t="s">
        <v>455</v>
      </c>
      <c r="E8" s="2">
        <f>S_para</f>
        <v>0.62831853071795862</v>
      </c>
      <c r="G8" t="s">
        <v>458</v>
      </c>
      <c r="H8">
        <f>L_rampe</f>
        <v>4</v>
      </c>
      <c r="N8" s="75"/>
      <c r="O8" s="6"/>
      <c r="P8" s="273"/>
      <c r="Q8" s="436"/>
      <c r="R8" s="48"/>
      <c r="S8" s="48"/>
      <c r="T8" s="48"/>
      <c r="U8" s="48"/>
    </row>
    <row r="9" spans="2:21" x14ac:dyDescent="0.2">
      <c r="B9" s="74"/>
      <c r="D9" t="s">
        <v>453</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451</v>
      </c>
      <c r="E11" s="243">
        <f ca="1">MasseSans</f>
        <v>6.7520000000000007</v>
      </c>
      <c r="F11" s="246" t="s">
        <v>123</v>
      </c>
      <c r="G11" s="246" t="s">
        <v>125</v>
      </c>
      <c r="H11" s="668">
        <f ca="1">Vsortie_de_rampe</f>
        <v>25.211731558354685</v>
      </c>
      <c r="I11" s="669"/>
      <c r="J11" s="76"/>
      <c r="N11" s="75"/>
      <c r="P11" s="48"/>
      <c r="Q11" s="436"/>
      <c r="R11" s="48"/>
      <c r="S11" s="48"/>
      <c r="T11" s="48"/>
      <c r="U11" s="440" t="str">
        <f>IF(RIGHT(Nb_diam,1)=",", "", X_j)</f>
        <v/>
      </c>
    </row>
    <row r="12" spans="2:21" ht="13.5" thickBot="1" x14ac:dyDescent="0.25">
      <c r="B12" s="74"/>
      <c r="C12" s="12"/>
      <c r="D12" s="276"/>
      <c r="E12" s="244"/>
      <c r="F12" s="6" t="s">
        <v>123</v>
      </c>
      <c r="G12" s="6" t="s">
        <v>126</v>
      </c>
      <c r="H12" s="670">
        <f>Finesse</f>
        <v>13.333333333333334</v>
      </c>
      <c r="I12" s="671"/>
      <c r="J12" s="76"/>
      <c r="N12" s="75"/>
      <c r="O12" s="6"/>
      <c r="P12" s="273" t="s">
        <v>339</v>
      </c>
      <c r="Q12" s="441">
        <f>D_og</f>
        <v>150</v>
      </c>
      <c r="R12" s="48"/>
      <c r="S12" s="48"/>
      <c r="T12" s="48"/>
      <c r="U12" s="436"/>
    </row>
    <row r="13" spans="2:21" x14ac:dyDescent="0.2">
      <c r="B13" s="74"/>
      <c r="C13" s="12"/>
      <c r="D13" s="276" t="s">
        <v>5</v>
      </c>
      <c r="E13" s="244">
        <f>Cx</f>
        <v>0.6</v>
      </c>
      <c r="F13" s="6" t="s">
        <v>123</v>
      </c>
      <c r="G13" s="6" t="s">
        <v>430</v>
      </c>
      <c r="H13" s="670">
        <f>Cn</f>
        <v>8.9681415404887304</v>
      </c>
      <c r="I13" s="671"/>
      <c r="J13" s="76"/>
      <c r="N13" s="75"/>
      <c r="O13" s="6"/>
      <c r="P13" s="48"/>
      <c r="Q13" s="436"/>
      <c r="R13" s="48"/>
      <c r="S13" s="48"/>
      <c r="T13" s="48"/>
      <c r="U13" s="440" t="str">
        <f>IF(RIGHT(Nb_diam,1)=",", "", X_r)</f>
        <v/>
      </c>
    </row>
    <row r="14" spans="2:21" x14ac:dyDescent="0.2">
      <c r="B14" s="74"/>
      <c r="C14" s="12"/>
      <c r="D14" s="276" t="s">
        <v>143</v>
      </c>
      <c r="E14" s="244">
        <f>L_rampe</f>
        <v>4</v>
      </c>
      <c r="F14" s="6" t="s">
        <v>123</v>
      </c>
      <c r="G14" s="6" t="s">
        <v>127</v>
      </c>
      <c r="H14" s="247">
        <f ca="1">MS_min</f>
        <v>2.5040689742837503</v>
      </c>
      <c r="I14" s="254">
        <f ca="1">MS_max</f>
        <v>3.9828589766196525</v>
      </c>
      <c r="J14" s="76"/>
      <c r="K14" s="76"/>
      <c r="N14" s="75"/>
      <c r="P14" s="48"/>
      <c r="Q14" s="436"/>
      <c r="R14" s="48"/>
      <c r="S14" s="48"/>
      <c r="T14" s="48"/>
      <c r="U14" s="436"/>
    </row>
    <row r="15" spans="2:21" x14ac:dyDescent="0.2">
      <c r="B15" s="74"/>
      <c r="C15" s="12"/>
      <c r="D15" s="276" t="s">
        <v>144</v>
      </c>
      <c r="E15" s="244">
        <f>ep_ail</f>
        <v>2</v>
      </c>
      <c r="F15" s="6" t="s">
        <v>123</v>
      </c>
      <c r="G15" s="6" t="s">
        <v>124</v>
      </c>
      <c r="H15" s="247">
        <f ca="1">MS_Cn_min</f>
        <v>22.456844988523109</v>
      </c>
      <c r="I15" s="254">
        <f ca="1">MS_Cn_max</f>
        <v>35.718843038131141</v>
      </c>
      <c r="J15" s="76"/>
      <c r="K15" s="76"/>
      <c r="N15" s="75"/>
      <c r="P15" s="48"/>
      <c r="Q15" s="436"/>
      <c r="R15" s="48"/>
      <c r="S15" s="48"/>
      <c r="T15" s="48"/>
    </row>
    <row r="16" spans="2:21" x14ac:dyDescent="0.2">
      <c r="B16" s="74"/>
      <c r="C16" s="12"/>
      <c r="D16" s="276" t="s">
        <v>145</v>
      </c>
      <c r="E16" s="244">
        <f>Q_ail</f>
        <v>4</v>
      </c>
      <c r="F16" s="6" t="s">
        <v>128</v>
      </c>
      <c r="G16" s="6" t="s">
        <v>129</v>
      </c>
      <c r="H16" s="247">
        <f ca="1">V_para</f>
        <v>13.92845269423648</v>
      </c>
      <c r="I16" s="253">
        <f>V_satellite</f>
        <v>12.655562623057198</v>
      </c>
      <c r="J16" s="76"/>
      <c r="N16" s="75"/>
      <c r="P16" s="48"/>
      <c r="Q16" s="436"/>
      <c r="R16" s="48"/>
      <c r="S16" s="48"/>
      <c r="T16" s="48"/>
      <c r="U16" s="440" t="str">
        <f>IF(RIGHT(Nb_diam,1)=",", "", l_j)</f>
        <v/>
      </c>
    </row>
    <row r="17" spans="2:21" x14ac:dyDescent="0.2">
      <c r="B17" s="74"/>
      <c r="C17" s="12"/>
      <c r="D17" s="276" t="s">
        <v>146</v>
      </c>
      <c r="E17" s="272" t="str">
        <f>Forme_ogive</f>
        <v>Conique (droite)</v>
      </c>
      <c r="F17" s="6" t="s">
        <v>130</v>
      </c>
      <c r="G17" s="6" t="s">
        <v>131</v>
      </c>
      <c r="H17" s="670">
        <f>T_para</f>
        <v>22</v>
      </c>
      <c r="I17" s="671"/>
      <c r="J17" s="258"/>
      <c r="N17" s="75"/>
      <c r="P17" s="434" t="s">
        <v>340</v>
      </c>
      <c r="Q17" s="440" t="str">
        <f>IF(RIGHT(Nb_diam,1)=",", "", D2j)</f>
        <v/>
      </c>
      <c r="R17" s="48"/>
      <c r="S17" s="48"/>
      <c r="T17" s="48"/>
      <c r="U17" s="436"/>
    </row>
    <row r="18" spans="2:21" x14ac:dyDescent="0.2">
      <c r="B18" s="74"/>
      <c r="C18" s="12"/>
      <c r="D18" s="276" t="s">
        <v>148</v>
      </c>
      <c r="E18" s="244">
        <f ca="1">XpropuRef-Long_propu</f>
        <v>990</v>
      </c>
      <c r="F18" s="12" t="s">
        <v>130</v>
      </c>
      <c r="G18" s="12" t="s">
        <v>424</v>
      </c>
      <c r="H18" s="635">
        <f ca="1">T_para-Combustion-Depotage</f>
        <v>22</v>
      </c>
      <c r="I18" s="674"/>
      <c r="N18" s="75"/>
      <c r="P18" s="48"/>
      <c r="Q18" s="436"/>
      <c r="R18" s="48"/>
      <c r="S18" s="48"/>
    </row>
    <row r="19" spans="2:21" x14ac:dyDescent="0.2">
      <c r="B19" s="74"/>
      <c r="C19" s="531"/>
      <c r="D19" s="269"/>
      <c r="E19" s="271"/>
      <c r="F19" s="519" t="s">
        <v>132</v>
      </c>
      <c r="G19" s="274" t="s">
        <v>423</v>
      </c>
      <c r="H19" s="675" t="e">
        <f ca="1">Portee_balistique</f>
        <v>#N/A</v>
      </c>
      <c r="I19" s="676"/>
      <c r="N19" s="75"/>
      <c r="P19" s="48"/>
      <c r="Q19" s="436"/>
      <c r="R19" s="48"/>
      <c r="S19" s="48"/>
      <c r="T19" s="48"/>
    </row>
    <row r="20" spans="2:21" x14ac:dyDescent="0.2">
      <c r="B20" s="74"/>
      <c r="C20" s="12"/>
      <c r="D20" s="6"/>
      <c r="E20" s="6"/>
      <c r="H20" s="518"/>
      <c r="I20" s="518"/>
      <c r="N20" s="75"/>
      <c r="P20" s="48"/>
      <c r="Q20" s="436"/>
      <c r="R20" s="48"/>
      <c r="S20" s="48"/>
      <c r="T20" s="48"/>
      <c r="U20" s="440" t="str">
        <f>IF(RIGHT(Nb_diam,1)=",", "", l_r)</f>
        <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450</v>
      </c>
      <c r="D22" s="526" t="s">
        <v>434</v>
      </c>
      <c r="E22" s="527"/>
      <c r="F22" s="528" t="s">
        <v>439</v>
      </c>
      <c r="G22" s="526" t="s">
        <v>444</v>
      </c>
      <c r="I22" s="529"/>
      <c r="J22" s="530" t="s">
        <v>156</v>
      </c>
      <c r="K22" s="526" t="s">
        <v>157</v>
      </c>
      <c r="N22" s="75"/>
      <c r="O22" s="273"/>
      <c r="P22" s="436"/>
      <c r="Q22" s="48"/>
      <c r="R22" s="48"/>
      <c r="S22" s="48"/>
      <c r="T22" s="226"/>
      <c r="U22" s="436"/>
    </row>
    <row r="23" spans="2:21" x14ac:dyDescent="0.2">
      <c r="B23" s="74"/>
      <c r="C23" s="526" t="s">
        <v>449</v>
      </c>
      <c r="D23" s="527">
        <f ca="1">XcgSans</f>
        <v>621.18483412322291</v>
      </c>
      <c r="E23" s="527" t="s">
        <v>38</v>
      </c>
      <c r="F23" s="528">
        <f>m_ail</f>
        <v>170</v>
      </c>
      <c r="G23" s="526">
        <f>m_can</f>
        <v>70</v>
      </c>
      <c r="I23" s="529" t="s">
        <v>445</v>
      </c>
      <c r="J23" s="528">
        <f>l_j</f>
        <v>50</v>
      </c>
      <c r="K23" s="526">
        <f>l_r</f>
        <v>50</v>
      </c>
      <c r="N23" s="75"/>
      <c r="O23" s="273"/>
      <c r="P23" s="436"/>
      <c r="Q23" s="48"/>
      <c r="R23" s="48"/>
      <c r="S23" s="48"/>
      <c r="T23" s="226"/>
      <c r="U23" s="436"/>
    </row>
    <row r="24" spans="2:21" x14ac:dyDescent="0.2">
      <c r="B24" s="74"/>
      <c r="C24" s="526" t="s">
        <v>437</v>
      </c>
      <c r="D24" s="526">
        <f>Long_tot</f>
        <v>2000</v>
      </c>
      <c r="E24" s="527" t="s">
        <v>440</v>
      </c>
      <c r="F24" s="528">
        <f>n_ail</f>
        <v>30</v>
      </c>
      <c r="G24" s="526">
        <f>n_can</f>
        <v>10</v>
      </c>
      <c r="I24" s="529" t="s">
        <v>446</v>
      </c>
      <c r="J24" s="528">
        <f>D1j</f>
        <v>150</v>
      </c>
      <c r="K24" s="526">
        <f>D1r</f>
        <v>300</v>
      </c>
      <c r="N24" s="75"/>
      <c r="O24" s="273"/>
      <c r="P24" s="436"/>
      <c r="Q24" s="48"/>
      <c r="R24" s="48"/>
      <c r="S24" s="48"/>
      <c r="T24" s="226"/>
      <c r="U24" s="436"/>
    </row>
    <row r="25" spans="2:21" x14ac:dyDescent="0.2">
      <c r="B25" s="74"/>
      <c r="C25" s="526" t="s">
        <v>438</v>
      </c>
      <c r="D25" s="526">
        <f>XpropuRef</f>
        <v>2000</v>
      </c>
      <c r="E25" s="527" t="s">
        <v>441</v>
      </c>
      <c r="F25" s="528">
        <f>p_ail</f>
        <v>170</v>
      </c>
      <c r="G25" s="526">
        <f>p_can</f>
        <v>40</v>
      </c>
      <c r="I25" s="529" t="s">
        <v>447</v>
      </c>
      <c r="J25" s="528">
        <f>D2j</f>
        <v>300</v>
      </c>
      <c r="K25" s="526">
        <f>D2r</f>
        <v>150</v>
      </c>
      <c r="N25" s="75"/>
      <c r="O25" s="273"/>
      <c r="P25" s="436"/>
      <c r="Q25" s="48"/>
      <c r="R25" s="48"/>
      <c r="S25" s="48"/>
      <c r="T25" s="226"/>
      <c r="U25" s="436"/>
    </row>
    <row r="26" spans="2:21" x14ac:dyDescent="0.2">
      <c r="B26" s="74"/>
      <c r="C26" s="526" t="s">
        <v>435</v>
      </c>
      <c r="D26" s="526">
        <f>D_ref</f>
        <v>150</v>
      </c>
      <c r="E26" s="527" t="s">
        <v>442</v>
      </c>
      <c r="F26" s="528">
        <f>E_ail</f>
        <v>150</v>
      </c>
      <c r="G26" s="526">
        <f>E_can</f>
        <v>50</v>
      </c>
      <c r="I26" s="529" t="s">
        <v>448</v>
      </c>
      <c r="J26" s="528">
        <f>X_j</f>
        <v>1000</v>
      </c>
      <c r="K26" s="526">
        <f>X_r</f>
        <v>500</v>
      </c>
      <c r="N26" s="75"/>
      <c r="O26" s="273"/>
      <c r="P26" s="436"/>
      <c r="Q26" s="48"/>
      <c r="R26" s="48"/>
      <c r="S26" s="48"/>
      <c r="T26" s="226"/>
      <c r="U26" s="436"/>
    </row>
    <row r="27" spans="2:21" x14ac:dyDescent="0.2">
      <c r="B27" s="74"/>
      <c r="C27" s="526" t="s">
        <v>436</v>
      </c>
      <c r="D27" s="526">
        <f>Long_ogive</f>
        <v>700</v>
      </c>
      <c r="E27" s="527" t="s">
        <v>443</v>
      </c>
      <c r="F27" s="528">
        <f>X_ail</f>
        <v>1969.65</v>
      </c>
      <c r="G27" s="526">
        <f>X_can</f>
        <v>700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427</v>
      </c>
      <c r="P29" s="441">
        <f>n_ail</f>
        <v>30</v>
      </c>
      <c r="Q29" s="2"/>
      <c r="R29" s="48"/>
      <c r="S29" s="48"/>
      <c r="T29" s="48"/>
      <c r="U29" s="12" t="s">
        <v>431</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429</v>
      </c>
      <c r="U30" s="523">
        <f>[0]!p_can</f>
        <v>40</v>
      </c>
    </row>
    <row r="31" spans="2:21" ht="13.5" thickBot="1" x14ac:dyDescent="0.25">
      <c r="B31" s="74"/>
      <c r="C31" s="83">
        <f>Beta_rampe</f>
        <v>75</v>
      </c>
      <c r="D31" s="84" t="e">
        <f ca="1">Portee_balistique</f>
        <v>#N/A</v>
      </c>
      <c r="E31" s="677">
        <f ca="1">T_para+Dt_para</f>
        <v>336.14730959887362</v>
      </c>
      <c r="F31" s="677"/>
      <c r="G31" s="677"/>
      <c r="H31" s="678">
        <f ca="1">Altitude_culmi</f>
        <v>4427.2316091816419</v>
      </c>
      <c r="I31" s="678"/>
      <c r="J31" s="85">
        <f ca="1">Temps_culmi</f>
        <v>25.199999999999974</v>
      </c>
      <c r="K31" s="86">
        <f ca="1">Vit_culmi</f>
        <v>49.794443797804618</v>
      </c>
      <c r="L31" s="84">
        <f ca="1">Acc_max</f>
        <v>120.58677613714163</v>
      </c>
      <c r="M31" s="86">
        <f ca="1">Vit_max</f>
        <v>506.78531686924737</v>
      </c>
      <c r="N31" s="75"/>
      <c r="O31" s="273" t="s">
        <v>433</v>
      </c>
      <c r="P31" s="441">
        <f>ep_ail</f>
        <v>2</v>
      </c>
      <c r="Q31" s="2"/>
      <c r="R31" s="48"/>
      <c r="S31" s="48"/>
      <c r="T31" s="226" t="s">
        <v>342</v>
      </c>
      <c r="U31" s="523">
        <f>[0]!m_can</f>
        <v>70</v>
      </c>
    </row>
    <row r="32" spans="2:21" ht="13.5" thickBot="1" x14ac:dyDescent="0.25">
      <c r="B32" s="74"/>
      <c r="C32" s="520"/>
      <c r="D32" s="242"/>
      <c r="E32" s="247"/>
      <c r="F32" s="247"/>
      <c r="G32" s="247"/>
      <c r="H32" s="283"/>
      <c r="I32" s="283"/>
      <c r="J32" s="247"/>
      <c r="K32" s="248"/>
      <c r="L32" s="242"/>
      <c r="M32" s="248"/>
      <c r="N32" s="75"/>
      <c r="O32" s="273" t="s">
        <v>432</v>
      </c>
      <c r="P32" s="522">
        <f>Q_ail</f>
        <v>4</v>
      </c>
      <c r="Q32" s="2"/>
      <c r="R32" s="48"/>
      <c r="S32" s="48"/>
      <c r="T32" s="226" t="s">
        <v>427</v>
      </c>
      <c r="U32" s="523">
        <f>[0]!n_can</f>
        <v>10</v>
      </c>
    </row>
    <row r="33" spans="2:21" ht="13.5" thickBot="1" x14ac:dyDescent="0.25">
      <c r="B33" s="74"/>
      <c r="D33" s="80"/>
      <c r="E33" s="81"/>
      <c r="F33" s="81"/>
      <c r="G33" s="81"/>
      <c r="H33" s="82"/>
      <c r="I33" s="82"/>
      <c r="J33" s="81"/>
      <c r="K33" s="76"/>
      <c r="L33" s="80"/>
      <c r="M33" s="76"/>
      <c r="N33" s="75"/>
      <c r="O33" s="2"/>
      <c r="Q33" s="2"/>
      <c r="R33" s="48"/>
      <c r="S33" s="48"/>
      <c r="T33" s="226" t="s">
        <v>428</v>
      </c>
      <c r="U33" s="523">
        <f>[0]!E_can</f>
        <v>50</v>
      </c>
    </row>
    <row r="34" spans="2:21" ht="13.5" thickBot="1" x14ac:dyDescent="0.25">
      <c r="B34" s="77"/>
      <c r="C34" s="78"/>
      <c r="D34" s="78"/>
      <c r="E34" s="78"/>
      <c r="F34" s="78"/>
      <c r="G34" s="78"/>
      <c r="H34" s="78"/>
      <c r="I34" s="78"/>
      <c r="J34" s="78"/>
      <c r="K34" s="78"/>
      <c r="L34" s="78"/>
      <c r="M34" s="78"/>
      <c r="N34" s="79"/>
      <c r="O34" s="2"/>
      <c r="P34" s="273" t="s">
        <v>428</v>
      </c>
      <c r="Q34" s="441">
        <f>E_ail</f>
        <v>150</v>
      </c>
      <c r="T34" s="226" t="s">
        <v>433</v>
      </c>
      <c r="U34" s="523">
        <f>[0]!ep_can</f>
        <v>2</v>
      </c>
    </row>
    <row r="35" spans="2:21" x14ac:dyDescent="0.2">
      <c r="O35" s="2"/>
      <c r="P35" s="6"/>
      <c r="Q35" s="6"/>
      <c r="T35" s="226" t="s">
        <v>432</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561</v>
      </c>
      <c r="I38" t="str">
        <f>Matricule</f>
        <v>FX</v>
      </c>
      <c r="N38" s="75"/>
    </row>
    <row r="39" spans="2:21" x14ac:dyDescent="0.2">
      <c r="B39" s="74"/>
      <c r="D39" s="2"/>
      <c r="N39" s="75"/>
    </row>
    <row r="40" spans="2:21" x14ac:dyDescent="0.2">
      <c r="B40" s="74"/>
      <c r="D40" s="275" t="s">
        <v>149</v>
      </c>
      <c r="E40" s="246">
        <f>D_ref</f>
        <v>150</v>
      </c>
      <c r="F40" s="265"/>
      <c r="G40" s="265"/>
      <c r="H40" s="261" t="s">
        <v>198</v>
      </c>
      <c r="I40" s="261" t="s">
        <v>199</v>
      </c>
      <c r="J40" s="262" t="s">
        <v>200</v>
      </c>
      <c r="N40" s="75"/>
    </row>
    <row r="41" spans="2:21" x14ac:dyDescent="0.2">
      <c r="B41" s="74"/>
      <c r="D41" s="276" t="s">
        <v>147</v>
      </c>
      <c r="E41" s="6">
        <f>Long_ogive</f>
        <v>700</v>
      </c>
      <c r="F41" s="2"/>
      <c r="G41" s="2" t="s">
        <v>201</v>
      </c>
      <c r="H41" s="6">
        <f ca="1">MasseSans</f>
        <v>6.7520000000000007</v>
      </c>
      <c r="I41" s="6">
        <f ca="1">MasseVide</f>
        <v>11.416</v>
      </c>
      <c r="J41" s="244">
        <f ca="1">MassePlein</f>
        <v>20</v>
      </c>
      <c r="N41" s="75"/>
    </row>
    <row r="42" spans="2:21" x14ac:dyDescent="0.2">
      <c r="B42" s="74"/>
      <c r="D42" s="276" t="s">
        <v>150</v>
      </c>
      <c r="E42" s="6">
        <f>X_ail-m_ail</f>
        <v>1799.65</v>
      </c>
      <c r="F42" s="255"/>
      <c r="G42" s="255" t="s">
        <v>218</v>
      </c>
      <c r="H42" s="263">
        <f ca="1">XcgSans</f>
        <v>621.18483412322291</v>
      </c>
      <c r="I42" s="263">
        <f ca="1">XcgVide</f>
        <v>978.18149964961469</v>
      </c>
      <c r="J42" s="245">
        <f ca="1">XcgPlein</f>
        <v>1200</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30</v>
      </c>
      <c r="F44" s="246" t="s">
        <v>202</v>
      </c>
      <c r="G44" s="246" t="s">
        <v>207</v>
      </c>
      <c r="H44" s="668">
        <f ca="1">Vsortie_de_rampe</f>
        <v>25.211731558354685</v>
      </c>
      <c r="I44" s="669"/>
      <c r="N44" s="75"/>
    </row>
    <row r="45" spans="2:21" x14ac:dyDescent="0.2">
      <c r="B45" s="74"/>
      <c r="D45" s="276" t="str">
        <f>IF(Lang="Français","Flèche        'p'",IF(Lang="English","Offset         'p'",""))</f>
        <v>Flèche        'p'</v>
      </c>
      <c r="E45" s="244">
        <f>p_ail</f>
        <v>170</v>
      </c>
      <c r="F45" s="6" t="s">
        <v>203</v>
      </c>
      <c r="G45" s="6" t="s">
        <v>208</v>
      </c>
      <c r="H45" s="670">
        <f>Finesse</f>
        <v>13.333333333333334</v>
      </c>
      <c r="I45" s="671"/>
      <c r="N45" s="75"/>
    </row>
    <row r="46" spans="2:21" x14ac:dyDescent="0.2">
      <c r="B46" s="74"/>
      <c r="D46" s="276" t="str">
        <f>IF(Lang="Français","Envergure   'E'",IF(Lang="English","Span          'E'",""))</f>
        <v>Envergure   'E'</v>
      </c>
      <c r="E46" s="244">
        <f>E_ail</f>
        <v>150</v>
      </c>
      <c r="F46" s="6" t="s">
        <v>204</v>
      </c>
      <c r="G46" s="6" t="s">
        <v>209</v>
      </c>
      <c r="H46" s="670">
        <f>Cn</f>
        <v>8.9681415404887304</v>
      </c>
      <c r="I46" s="671"/>
      <c r="N46" s="75"/>
    </row>
    <row r="47" spans="2:21" x14ac:dyDescent="0.2">
      <c r="B47" s="74"/>
      <c r="D47" s="276" t="s">
        <v>144</v>
      </c>
      <c r="E47" s="244">
        <f>ep_ail</f>
        <v>2</v>
      </c>
      <c r="F47" s="6" t="s">
        <v>205</v>
      </c>
      <c r="G47" s="6" t="s">
        <v>210</v>
      </c>
      <c r="H47" s="247">
        <f ca="1">MS_min</f>
        <v>2.5040689742837503</v>
      </c>
      <c r="I47" s="254">
        <f ca="1">MS_max</f>
        <v>3.9828589766196525</v>
      </c>
      <c r="N47" s="75"/>
    </row>
    <row r="48" spans="2:21" x14ac:dyDescent="0.2">
      <c r="B48" s="74"/>
      <c r="D48" s="276" t="s">
        <v>145</v>
      </c>
      <c r="E48" s="244">
        <f>Q_ail</f>
        <v>4</v>
      </c>
      <c r="F48" s="274" t="s">
        <v>206</v>
      </c>
      <c r="G48" s="274" t="s">
        <v>211</v>
      </c>
      <c r="H48" s="256">
        <f ca="1">MS_Cn_min</f>
        <v>22.456844988523109</v>
      </c>
      <c r="I48" s="264">
        <f ca="1">MS_Cn_max</f>
        <v>35.718843038131141</v>
      </c>
      <c r="N48" s="75"/>
    </row>
    <row r="49" spans="2:14" x14ac:dyDescent="0.2">
      <c r="B49" s="74"/>
      <c r="D49" s="276" t="s">
        <v>148</v>
      </c>
      <c r="E49" s="244">
        <f ca="1">XpropuRef-Long_propu</f>
        <v>990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2000</v>
      </c>
      <c r="G51" s="276" t="s">
        <v>212</v>
      </c>
      <c r="H51" s="6">
        <f>Sref</f>
        <v>1.8871458676442587E-2</v>
      </c>
      <c r="J51" s="267"/>
      <c r="N51" s="75"/>
    </row>
    <row r="52" spans="2:14" x14ac:dyDescent="0.2">
      <c r="B52" s="74"/>
      <c r="D52" s="276" t="s">
        <v>196</v>
      </c>
      <c r="E52" s="244">
        <f>MAX(D_ref,D_ail,D_og,(RIGHT(Nb_diam,1)=",")*MAX(D1j,D1r,D2j,D2r))</f>
        <v>300</v>
      </c>
      <c r="G52" s="276" t="s">
        <v>213</v>
      </c>
      <c r="H52" s="6">
        <f>Beta_rampe</f>
        <v>75</v>
      </c>
      <c r="I52" s="6">
        <v>80</v>
      </c>
      <c r="J52" s="244">
        <v>90</v>
      </c>
      <c r="N52" s="75"/>
    </row>
    <row r="53" spans="2:14" x14ac:dyDescent="0.2">
      <c r="B53" s="74"/>
      <c r="D53" s="277" t="s">
        <v>197</v>
      </c>
      <c r="E53" s="260">
        <f>E_ail*2+D_ail</f>
        <v>450</v>
      </c>
      <c r="G53" s="278" t="s">
        <v>215</v>
      </c>
      <c r="H53" s="247">
        <f ca="1">Temps_culmi</f>
        <v>25.199999999999974</v>
      </c>
      <c r="I53" s="259"/>
      <c r="J53" s="268"/>
      <c r="N53" s="75"/>
    </row>
    <row r="54" spans="2:14" x14ac:dyDescent="0.2">
      <c r="B54" s="74"/>
      <c r="G54" s="278" t="s">
        <v>216</v>
      </c>
      <c r="H54" s="242">
        <f ca="1">Altitude_culmi</f>
        <v>4427.2316091816419</v>
      </c>
      <c r="I54" s="259"/>
      <c r="J54" s="268"/>
      <c r="N54" s="75"/>
    </row>
    <row r="55" spans="2:14" x14ac:dyDescent="0.2">
      <c r="B55" s="74"/>
      <c r="C55" s="275" t="s">
        <v>233</v>
      </c>
      <c r="D55" s="249" t="s">
        <v>60</v>
      </c>
      <c r="E55" s="243">
        <f>Long_tot</f>
        <v>2000</v>
      </c>
      <c r="G55" s="278" t="s">
        <v>217</v>
      </c>
      <c r="H55" s="248">
        <f ca="1">Vit_culmi</f>
        <v>49.794443797804618</v>
      </c>
      <c r="I55" s="259"/>
      <c r="J55" s="268"/>
      <c r="N55" s="75"/>
    </row>
    <row r="56" spans="2:14" x14ac:dyDescent="0.2">
      <c r="B56" s="74"/>
      <c r="C56" s="276"/>
      <c r="D56" s="2" t="s">
        <v>219</v>
      </c>
      <c r="E56" s="244">
        <f>MAX(D_ref,D_ail,D_og,(RIGHT(Nb_diam,1)=",")*MAX(D1j,D1r,D2j,D2r))</f>
        <v>300</v>
      </c>
      <c r="G56" s="278" t="s">
        <v>133</v>
      </c>
      <c r="H56" s="242" t="e">
        <f ca="1">Portee_balistique</f>
        <v>#N/A</v>
      </c>
      <c r="I56" s="259"/>
      <c r="J56" s="268"/>
      <c r="N56" s="75"/>
    </row>
    <row r="57" spans="2:14" x14ac:dyDescent="0.2">
      <c r="B57" s="74"/>
      <c r="C57" s="276"/>
      <c r="D57" s="2" t="s">
        <v>220</v>
      </c>
      <c r="E57" s="244">
        <f>E_ail*2+D_ail</f>
        <v>450</v>
      </c>
      <c r="G57" s="278" t="s">
        <v>214</v>
      </c>
      <c r="H57" s="242" t="e">
        <f ca="1">T_balistique</f>
        <v>#N/A</v>
      </c>
      <c r="I57" s="259"/>
      <c r="J57" s="268"/>
      <c r="N57" s="75"/>
    </row>
    <row r="58" spans="2:14" x14ac:dyDescent="0.2">
      <c r="B58" s="74"/>
      <c r="C58" s="276"/>
      <c r="D58" s="2" t="s">
        <v>221</v>
      </c>
      <c r="E58" s="244">
        <f ca="1">MassePlein</f>
        <v>20</v>
      </c>
      <c r="G58" s="278" t="s">
        <v>137</v>
      </c>
      <c r="H58" s="248">
        <f ca="1">Vit_max</f>
        <v>506.78531686924737</v>
      </c>
      <c r="I58" s="259"/>
      <c r="J58" s="268"/>
      <c r="N58" s="75"/>
    </row>
    <row r="59" spans="2:14" x14ac:dyDescent="0.2">
      <c r="B59" s="74"/>
      <c r="C59" s="277" t="s">
        <v>234</v>
      </c>
      <c r="D59" s="255" t="s">
        <v>145</v>
      </c>
      <c r="E59" s="260">
        <f>Q_ail</f>
        <v>4</v>
      </c>
      <c r="G59" s="278" t="s">
        <v>136</v>
      </c>
      <c r="H59" s="242">
        <f ca="1">Acc_max</f>
        <v>120.58677613714163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4823.4710454856649</v>
      </c>
      <c r="F62" s="280">
        <f ca="1">E62/9.81</f>
        <v>491.68919933594952</v>
      </c>
      <c r="H62" s="2"/>
      <c r="I62" s="2"/>
      <c r="J62" s="2"/>
      <c r="K62" s="2"/>
      <c r="N62" s="75"/>
    </row>
    <row r="63" spans="2:14" x14ac:dyDescent="0.2">
      <c r="B63" s="74"/>
      <c r="C63" s="276"/>
      <c r="D63" s="2" t="s">
        <v>223</v>
      </c>
      <c r="E63" s="242">
        <f ca="1">2*Acc_max*Masse_ail</f>
        <v>14.470413136456996</v>
      </c>
      <c r="F63" s="248">
        <f ca="1">E63/9.81</f>
        <v>1.4750675980078487</v>
      </c>
      <c r="G63" s="246" t="s">
        <v>229</v>
      </c>
      <c r="H63" s="288">
        <f>S_ail*(ep_ail/1000)*2000</f>
        <v>6.0000000000000005E-2</v>
      </c>
      <c r="I63" s="2"/>
      <c r="J63" s="2"/>
      <c r="K63" s="2"/>
      <c r="N63" s="75"/>
    </row>
    <row r="64" spans="2:14" x14ac:dyDescent="0.2">
      <c r="B64" s="74"/>
      <c r="C64" s="277"/>
      <c r="D64" s="255" t="s">
        <v>224</v>
      </c>
      <c r="E64" s="263">
        <f ca="1">0.104*S_ail*Vit_max^2</f>
        <v>400.65691753505098</v>
      </c>
      <c r="F64" s="281">
        <f ca="1">E64/9.81</f>
        <v>40.841683744653515</v>
      </c>
      <c r="G64" s="274" t="s">
        <v>228</v>
      </c>
      <c r="H64" s="289">
        <f>(E_ail*(m_ail+n_ail)/2)/10^6</f>
        <v>1.4999999999999999E-2</v>
      </c>
      <c r="I64" s="2"/>
      <c r="J64" s="2"/>
      <c r="K64" s="2"/>
      <c r="N64" s="75"/>
    </row>
    <row r="65" spans="2:14" x14ac:dyDescent="0.2">
      <c r="B65" s="74"/>
      <c r="C65" s="282" t="s">
        <v>242</v>
      </c>
      <c r="D65" s="285" t="s">
        <v>240</v>
      </c>
      <c r="E65" s="286">
        <f ca="1">2*Acc_max*H65</f>
        <v>2411.7355227428325</v>
      </c>
      <c r="F65" s="286">
        <f ca="1">E65/9.81</f>
        <v>245.84459966797476</v>
      </c>
      <c r="G65" s="287" t="s">
        <v>241</v>
      </c>
      <c r="H65" s="279">
        <f ca="1">E58/2</f>
        <v>10</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22</v>
      </c>
      <c r="I67" s="251">
        <f ca="1">Temps_culmi</f>
        <v>25.199999999999974</v>
      </c>
      <c r="J67" s="2"/>
      <c r="K67" s="2"/>
      <c r="N67" s="75"/>
    </row>
    <row r="68" spans="2:14" x14ac:dyDescent="0.2">
      <c r="B68" s="74"/>
      <c r="C68" s="6"/>
      <c r="D68" s="2"/>
      <c r="E68" s="2"/>
      <c r="F68" s="275" t="s">
        <v>231</v>
      </c>
      <c r="G68" s="249" t="s">
        <v>129</v>
      </c>
      <c r="H68" s="250">
        <f ca="1">V_para</f>
        <v>13.92845269423648</v>
      </c>
      <c r="I68" s="251">
        <f>V_satellite</f>
        <v>12.655562623057198</v>
      </c>
      <c r="J68" s="2"/>
      <c r="K68" s="2"/>
      <c r="N68" s="75"/>
    </row>
    <row r="69" spans="2:14" x14ac:dyDescent="0.2">
      <c r="B69" s="74"/>
      <c r="C69" s="6"/>
      <c r="D69" s="2"/>
      <c r="E69" s="2"/>
      <c r="F69" s="276"/>
      <c r="G69" s="2" t="s">
        <v>237</v>
      </c>
      <c r="H69" s="247">
        <f>S_para</f>
        <v>0.62831853071795862</v>
      </c>
      <c r="I69" s="253">
        <f>S_satellite</f>
        <v>0.1</v>
      </c>
      <c r="J69" s="2"/>
      <c r="K69" s="2"/>
      <c r="N69" s="75"/>
    </row>
    <row r="70" spans="2:14" x14ac:dyDescent="0.2">
      <c r="B70" s="74"/>
      <c r="C70" s="226"/>
      <c r="D70" s="2"/>
      <c r="F70" s="276"/>
      <c r="G70" s="2" t="s">
        <v>236</v>
      </c>
      <c r="H70" s="247">
        <f ca="1">V_ouverture</f>
        <v>62.50265979820427</v>
      </c>
      <c r="I70" s="253">
        <f ca="1">V_ouv_sat</f>
        <v>313.24890311293871</v>
      </c>
      <c r="N70" s="75"/>
    </row>
    <row r="71" spans="2:14" x14ac:dyDescent="0.2">
      <c r="B71" s="74"/>
      <c r="C71" s="226"/>
      <c r="F71" s="276"/>
      <c r="G71" s="2" t="s">
        <v>201</v>
      </c>
      <c r="H71" s="247">
        <f ca="1">m_vide</f>
        <v>11.416</v>
      </c>
      <c r="I71" s="253">
        <f>m_satellite</f>
        <v>1</v>
      </c>
      <c r="N71" s="75"/>
    </row>
    <row r="72" spans="2:14" x14ac:dyDescent="0.2">
      <c r="B72" s="74"/>
      <c r="C72" s="226"/>
      <c r="F72" s="276"/>
      <c r="G72" s="2" t="s">
        <v>238</v>
      </c>
      <c r="H72" s="283">
        <f ca="1">1/2*Rho_moyen*S_para*V_ouverture^2</f>
        <v>1503.4291261387846</v>
      </c>
      <c r="I72" s="284">
        <f ca="1">1/2*Rho_moyen*S_satellite*V_ouv_sat^2</f>
        <v>6010.1486122143806</v>
      </c>
      <c r="N72" s="75"/>
    </row>
    <row r="73" spans="2:14" x14ac:dyDescent="0.2">
      <c r="B73" s="74"/>
      <c r="D73" s="2"/>
      <c r="F73" s="277"/>
      <c r="G73" s="255" t="s">
        <v>239</v>
      </c>
      <c r="H73" s="256">
        <f ca="1">H72/9.81</f>
        <v>153.25475291934603</v>
      </c>
      <c r="I73" s="257">
        <f ca="1">I72/9.81</f>
        <v>612.65531215233239</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331</v>
      </c>
      <c r="N78" s="75"/>
    </row>
    <row r="79" spans="2:14" ht="12.75" customHeight="1" x14ac:dyDescent="0.25">
      <c r="B79" s="74"/>
      <c r="E79" s="48"/>
      <c r="F79" s="48"/>
      <c r="G79" s="435" t="s">
        <v>337</v>
      </c>
      <c r="I79" s="448"/>
      <c r="J79" s="48"/>
      <c r="K79" s="48"/>
      <c r="N79" s="75"/>
    </row>
    <row r="80" spans="2:14" x14ac:dyDescent="0.2">
      <c r="B80" s="74"/>
      <c r="C80" s="275" t="s">
        <v>332</v>
      </c>
      <c r="D80" s="243">
        <f>Nom</f>
        <v>0</v>
      </c>
      <c r="E80" s="48"/>
      <c r="F80" s="48"/>
      <c r="G80" s="48"/>
      <c r="H80" s="48"/>
      <c r="I80" s="48"/>
      <c r="J80" s="48"/>
      <c r="K80" s="48"/>
      <c r="N80" s="75"/>
    </row>
    <row r="81" spans="2:14" ht="13.5" thickBot="1" x14ac:dyDescent="0.25">
      <c r="B81" s="74"/>
      <c r="C81" s="276" t="s">
        <v>4</v>
      </c>
      <c r="D81" s="244" t="str">
        <f>Club</f>
        <v>S&amp;T Sorbonne</v>
      </c>
      <c r="E81" s="48"/>
      <c r="F81" s="48"/>
      <c r="G81" s="48"/>
      <c r="H81" s="48"/>
      <c r="I81" s="48"/>
      <c r="J81" s="48"/>
      <c r="K81" s="48"/>
      <c r="N81" s="75"/>
    </row>
    <row r="82" spans="2:14" ht="13.5" thickBot="1" x14ac:dyDescent="0.25">
      <c r="B82" s="74"/>
      <c r="C82" s="432" t="s">
        <v>333</v>
      </c>
      <c r="D82" s="244" t="s">
        <v>14</v>
      </c>
      <c r="E82" s="273" t="s">
        <v>338</v>
      </c>
      <c r="F82" s="441">
        <f>Long_ogive</f>
        <v>700</v>
      </c>
      <c r="G82" s="48"/>
      <c r="H82" s="48"/>
      <c r="I82" s="48"/>
      <c r="J82" s="48"/>
      <c r="K82" s="48"/>
      <c r="N82" s="75"/>
    </row>
    <row r="83" spans="2:14" x14ac:dyDescent="0.2">
      <c r="B83" s="74"/>
      <c r="C83" s="277" t="s">
        <v>334</v>
      </c>
      <c r="D83" s="433">
        <f ca="1">TODAY()</f>
        <v>46087</v>
      </c>
      <c r="E83" s="48"/>
      <c r="F83" s="436"/>
      <c r="G83" s="48"/>
      <c r="H83" s="48"/>
      <c r="I83" s="48"/>
      <c r="J83" s="48"/>
      <c r="K83" s="48"/>
      <c r="N83" s="75"/>
    </row>
    <row r="84" spans="2:14" ht="13.5" thickBot="1" x14ac:dyDescent="0.25">
      <c r="B84" s="74"/>
      <c r="E84" s="48"/>
      <c r="F84" s="436"/>
      <c r="G84" s="48"/>
      <c r="H84" s="48"/>
      <c r="I84" s="48"/>
      <c r="J84" s="440" t="str">
        <f>IF(RIGHT(Nb_diam,1)=",", "", X_j)</f>
        <v/>
      </c>
      <c r="K84" s="48"/>
      <c r="N84" s="75"/>
    </row>
    <row r="85" spans="2:14" ht="13.5" thickBot="1" x14ac:dyDescent="0.25">
      <c r="B85" s="74"/>
      <c r="C85" s="275" t="s">
        <v>335</v>
      </c>
      <c r="D85" s="243" t="str">
        <f>Propu</f>
        <v>Pro98-6G Green</v>
      </c>
      <c r="E85" s="273" t="s">
        <v>339</v>
      </c>
      <c r="F85" s="441">
        <f>D_og</f>
        <v>150</v>
      </c>
      <c r="G85" s="48"/>
      <c r="H85" s="48"/>
      <c r="I85" s="48"/>
      <c r="J85" s="436"/>
      <c r="K85" s="48"/>
      <c r="N85" s="75"/>
    </row>
    <row r="86" spans="2:14" x14ac:dyDescent="0.2">
      <c r="B86" s="74"/>
      <c r="C86" s="277" t="s">
        <v>336</v>
      </c>
      <c r="D86" s="260" t="s">
        <v>14</v>
      </c>
      <c r="E86" s="48"/>
      <c r="F86" s="436"/>
      <c r="G86" s="48"/>
      <c r="H86" s="48"/>
      <c r="I86" s="48"/>
      <c r="J86" s="440" t="str">
        <f>IF(RIGHT(Nb_diam,1)=",", "", X_r)</f>
        <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t="str">
        <f>IF(RIGHT(Nb_diam,1)=",", "", l_j)</f>
        <v/>
      </c>
      <c r="K88" s="48"/>
      <c r="N88" s="75"/>
    </row>
    <row r="89" spans="2:14" ht="13.5" thickBot="1" x14ac:dyDescent="0.25">
      <c r="B89" s="74"/>
      <c r="E89" s="48"/>
      <c r="F89" s="436"/>
      <c r="G89" s="48"/>
      <c r="H89" s="48"/>
      <c r="I89" s="48"/>
      <c r="J89" s="436"/>
      <c r="K89" s="48"/>
      <c r="N89" s="75"/>
    </row>
    <row r="90" spans="2:14" ht="13.5" thickBot="1" x14ac:dyDescent="0.25">
      <c r="B90" s="74"/>
      <c r="E90" s="434" t="s">
        <v>340</v>
      </c>
      <c r="F90" s="440" t="str">
        <f>IF(RIGHT(Nb_diam,1)=",", "", D2j)</f>
        <v/>
      </c>
      <c r="G90" s="48"/>
      <c r="H90" s="48"/>
      <c r="I90" s="48"/>
      <c r="J90" s="441">
        <f>X_ail-m_ail</f>
        <v>1799.65</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t="str">
        <f>IF(RIGHT(Nb_diam,1)=",", "", l_r)</f>
        <v/>
      </c>
      <c r="K92" s="48"/>
      <c r="N92" s="75"/>
    </row>
    <row r="93" spans="2:14" x14ac:dyDescent="0.2">
      <c r="B93" s="74"/>
      <c r="E93" s="48"/>
      <c r="F93" s="436"/>
      <c r="G93" s="48"/>
      <c r="H93" s="48"/>
      <c r="I93" s="48"/>
      <c r="J93" s="436"/>
      <c r="K93" s="48"/>
      <c r="N93" s="75"/>
    </row>
    <row r="94" spans="2:14" x14ac:dyDescent="0.2">
      <c r="B94" s="74"/>
      <c r="E94" s="434" t="s">
        <v>341</v>
      </c>
      <c r="F94" s="440" t="str">
        <f>IF(RIGHT(Nb_diam,1)=",", "", D2r)</f>
        <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342</v>
      </c>
      <c r="F97" s="441">
        <f>m_ail</f>
        <v>170</v>
      </c>
      <c r="G97" s="48"/>
      <c r="H97" s="48"/>
      <c r="I97" s="48"/>
      <c r="J97" s="441">
        <f>p_ail</f>
        <v>170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344</v>
      </c>
      <c r="E100" s="246">
        <f>Q_ail</f>
        <v>4</v>
      </c>
      <c r="F100" s="430"/>
      <c r="G100" s="48"/>
      <c r="H100" s="48"/>
      <c r="I100" s="48"/>
      <c r="J100" s="436"/>
      <c r="K100" s="48"/>
      <c r="N100" s="75"/>
    </row>
    <row r="101" spans="2:14" ht="13.5" thickBot="1" x14ac:dyDescent="0.25">
      <c r="B101" s="74"/>
      <c r="D101" s="437" t="s">
        <v>348</v>
      </c>
      <c r="E101" s="6">
        <f ca="1">XpropuRef-Long_propu</f>
        <v>990</v>
      </c>
      <c r="F101" s="252"/>
      <c r="G101" s="48"/>
      <c r="H101" s="48"/>
      <c r="I101" s="48"/>
      <c r="J101" s="441">
        <f>n_ail</f>
        <v>30</v>
      </c>
      <c r="K101" s="2"/>
      <c r="N101" s="75"/>
    </row>
    <row r="102" spans="2:14" x14ac:dyDescent="0.2">
      <c r="B102" s="74"/>
      <c r="D102" s="437" t="s">
        <v>345</v>
      </c>
      <c r="E102" s="6">
        <f>IF(LEFT(Forme_ogive,4)="Ogiv",1,0)</f>
        <v>0</v>
      </c>
      <c r="F102" s="252" t="s">
        <v>346</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347</v>
      </c>
      <c r="G104" s="48"/>
      <c r="H104" s="48"/>
      <c r="I104" s="48"/>
      <c r="J104" s="12" t="s">
        <v>343</v>
      </c>
      <c r="K104" s="48"/>
      <c r="N104" s="75"/>
    </row>
    <row r="105" spans="2:14" ht="13.5" thickBot="1" x14ac:dyDescent="0.25">
      <c r="B105" s="74"/>
      <c r="D105" s="2"/>
      <c r="E105" s="2"/>
      <c r="F105" s="2"/>
      <c r="G105" s="273"/>
      <c r="H105" s="441">
        <f>E_ail</f>
        <v>150</v>
      </c>
      <c r="I105" s="273"/>
      <c r="J105" s="441">
        <f>ep_ail</f>
        <v>2</v>
      </c>
      <c r="K105" s="48"/>
      <c r="N105" s="75"/>
    </row>
    <row r="106" spans="2:14" x14ac:dyDescent="0.2">
      <c r="B106" s="74"/>
      <c r="D106" s="429"/>
      <c r="E106" s="246" t="s">
        <v>352</v>
      </c>
      <c r="F106" s="243" t="s">
        <v>351</v>
      </c>
      <c r="N106" s="75"/>
    </row>
    <row r="107" spans="2:14" x14ac:dyDescent="0.2">
      <c r="B107" s="74"/>
      <c r="D107" s="437" t="s">
        <v>349</v>
      </c>
      <c r="E107" s="6">
        <f ca="1">MasseSans</f>
        <v>6.7520000000000007</v>
      </c>
      <c r="F107" s="244">
        <f ca="1">MassePlein</f>
        <v>20</v>
      </c>
      <c r="N107" s="75"/>
    </row>
    <row r="108" spans="2:14" x14ac:dyDescent="0.2">
      <c r="B108" s="74"/>
      <c r="D108" s="431" t="s">
        <v>350</v>
      </c>
      <c r="E108" s="274">
        <f ca="1">XcgSans</f>
        <v>621.18483412322291</v>
      </c>
      <c r="F108" s="260">
        <f ca="1">XcgPlein</f>
        <v>1200</v>
      </c>
      <c r="N108" s="75"/>
    </row>
    <row r="109" spans="2:14" x14ac:dyDescent="0.2">
      <c r="B109" s="74"/>
      <c r="N109" s="75"/>
    </row>
    <row r="110" spans="2:14" x14ac:dyDescent="0.2">
      <c r="B110" s="74"/>
      <c r="D110" s="438" t="s">
        <v>353</v>
      </c>
      <c r="E110" s="439">
        <f ca="1">MasseVide</f>
        <v>11.416</v>
      </c>
      <c r="G110" s="429" t="s">
        <v>354</v>
      </c>
      <c r="H110" s="265"/>
      <c r="I110" s="265"/>
      <c r="J110" s="266"/>
      <c r="N110" s="75"/>
    </row>
    <row r="111" spans="2:14" x14ac:dyDescent="0.2">
      <c r="B111" s="74"/>
      <c r="G111" s="276" t="s">
        <v>213</v>
      </c>
      <c r="H111" s="6">
        <f>Beta_rampe</f>
        <v>75</v>
      </c>
      <c r="I111" s="6">
        <v>80</v>
      </c>
      <c r="J111" s="244">
        <v>90</v>
      </c>
      <c r="N111" s="75"/>
    </row>
    <row r="112" spans="2:14" x14ac:dyDescent="0.2">
      <c r="B112" s="74"/>
      <c r="G112" s="278" t="s">
        <v>215</v>
      </c>
      <c r="H112" s="247">
        <f ca="1">Temps_culmi</f>
        <v>25.199999999999974</v>
      </c>
      <c r="I112" s="259"/>
      <c r="J112" s="268"/>
      <c r="N112" s="75"/>
    </row>
    <row r="113" spans="2:14" ht="12.75" customHeight="1" x14ac:dyDescent="0.25">
      <c r="B113" s="74"/>
      <c r="D113" s="435" t="s">
        <v>355</v>
      </c>
      <c r="E113" s="48"/>
      <c r="G113" s="278" t="s">
        <v>216</v>
      </c>
      <c r="H113" s="242">
        <f ca="1">Altitude_culmi</f>
        <v>4427.2316091816419</v>
      </c>
      <c r="I113" s="259"/>
      <c r="J113" s="268"/>
      <c r="N113" s="75"/>
    </row>
    <row r="114" spans="2:14" ht="12.75" customHeight="1" x14ac:dyDescent="0.25">
      <c r="B114" s="74"/>
      <c r="D114" s="48"/>
      <c r="E114" s="48"/>
      <c r="F114" s="435"/>
      <c r="G114" s="278" t="s">
        <v>217</v>
      </c>
      <c r="H114" s="248">
        <f ca="1">Vit_culmi</f>
        <v>49.794443797804618</v>
      </c>
      <c r="I114" s="259"/>
      <c r="J114" s="268"/>
      <c r="N114" s="75"/>
    </row>
    <row r="115" spans="2:14" x14ac:dyDescent="0.2">
      <c r="B115" s="74"/>
      <c r="C115" s="429" t="s">
        <v>356</v>
      </c>
      <c r="D115" s="249"/>
      <c r="E115" s="446">
        <v>0.1</v>
      </c>
      <c r="G115" s="278" t="s">
        <v>133</v>
      </c>
      <c r="H115" s="242" t="e">
        <f ca="1">Portee_balistique</f>
        <v>#N/A</v>
      </c>
      <c r="I115" s="259"/>
      <c r="J115" s="268"/>
      <c r="N115" s="75"/>
    </row>
    <row r="116" spans="2:14" ht="12.75" customHeight="1" x14ac:dyDescent="0.2">
      <c r="B116" s="74"/>
      <c r="C116" s="431" t="s">
        <v>357</v>
      </c>
      <c r="D116" s="255"/>
      <c r="E116" s="447">
        <f>E_ail*(m_ail+n_ail)/2</f>
        <v>15000</v>
      </c>
      <c r="G116" s="278" t="s">
        <v>137</v>
      </c>
      <c r="H116" s="248">
        <f ca="1">Vit_max</f>
        <v>506.78531686924737</v>
      </c>
      <c r="I116" s="259"/>
      <c r="J116" s="268"/>
      <c r="N116" s="75"/>
    </row>
    <row r="117" spans="2:14" ht="12.75" customHeight="1" x14ac:dyDescent="0.2">
      <c r="B117" s="74"/>
      <c r="D117" s="48"/>
      <c r="E117" s="48"/>
      <c r="F117" s="48"/>
      <c r="G117" s="278" t="s">
        <v>136</v>
      </c>
      <c r="H117" s="242">
        <f ca="1">Acc_max</f>
        <v>120.58677613714163</v>
      </c>
      <c r="I117" s="259"/>
      <c r="J117" s="268"/>
      <c r="N117" s="75"/>
    </row>
    <row r="118" spans="2:14" x14ac:dyDescent="0.2">
      <c r="B118" s="74"/>
      <c r="C118" s="429" t="s">
        <v>358</v>
      </c>
      <c r="D118" s="249"/>
      <c r="E118" s="457"/>
      <c r="F118" s="458">
        <f>J90/100</f>
        <v>17.996500000000001</v>
      </c>
      <c r="G118" s="276" t="s">
        <v>5</v>
      </c>
      <c r="H118" s="6">
        <f>Cx</f>
        <v>0.6</v>
      </c>
      <c r="I118" s="259"/>
      <c r="J118" s="268"/>
      <c r="N118" s="75"/>
    </row>
    <row r="119" spans="2:14" x14ac:dyDescent="0.2">
      <c r="B119" s="74"/>
      <c r="C119" s="437" t="s">
        <v>359</v>
      </c>
      <c r="D119" s="2"/>
      <c r="E119" s="459">
        <f ca="1">2*Acc_max*MasseSans</f>
        <v>1628.4038249559608</v>
      </c>
      <c r="F119" s="460">
        <f ca="1">E119/g</f>
        <v>165.99427369581659</v>
      </c>
      <c r="G119" s="269" t="s">
        <v>222</v>
      </c>
      <c r="H119" s="270"/>
      <c r="I119" s="270"/>
      <c r="J119" s="271"/>
      <c r="N119" s="75"/>
    </row>
    <row r="120" spans="2:14" x14ac:dyDescent="0.2">
      <c r="B120" s="74"/>
      <c r="C120" s="437" t="s">
        <v>360</v>
      </c>
      <c r="D120" s="2"/>
      <c r="E120" s="459">
        <f ca="1">2*Acc_max*E115</f>
        <v>24.117355227428327</v>
      </c>
      <c r="F120" s="460">
        <f ca="1">E120/g</f>
        <v>2.4584459966797478</v>
      </c>
      <c r="N120" s="75"/>
    </row>
    <row r="121" spans="2:14" x14ac:dyDescent="0.2">
      <c r="B121" s="74"/>
      <c r="C121" s="431" t="s">
        <v>361</v>
      </c>
      <c r="D121" s="255"/>
      <c r="E121" s="452">
        <f ca="1">0.104*E116/1000000*Vit_max^2</f>
        <v>400.65691753505098</v>
      </c>
      <c r="F121" s="453">
        <f ca="1">E121/g</f>
        <v>40.841683744653515</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362</v>
      </c>
      <c r="E124" s="448"/>
      <c r="J124" s="48"/>
      <c r="K124" s="48"/>
      <c r="N124" s="75"/>
    </row>
    <row r="125" spans="2:14" x14ac:dyDescent="0.2">
      <c r="B125" s="74"/>
      <c r="C125" s="445" t="s">
        <v>363</v>
      </c>
      <c r="J125" s="48"/>
      <c r="K125" s="48"/>
      <c r="N125" s="75"/>
    </row>
    <row r="126" spans="2:14" x14ac:dyDescent="0.2">
      <c r="B126" s="74"/>
      <c r="C126" s="429" t="s">
        <v>364</v>
      </c>
      <c r="D126" s="249"/>
      <c r="E126" s="449">
        <v>4</v>
      </c>
      <c r="G126" s="48"/>
      <c r="J126" s="48"/>
      <c r="N126" s="75"/>
    </row>
    <row r="127" spans="2:14" x14ac:dyDescent="0.2">
      <c r="B127" s="74"/>
      <c r="C127" s="431" t="s">
        <v>365</v>
      </c>
      <c r="D127" s="255"/>
      <c r="E127" s="456">
        <f>S_para</f>
        <v>0.62831853071795862</v>
      </c>
      <c r="G127" s="48"/>
      <c r="J127" s="48"/>
      <c r="N127" s="75"/>
    </row>
    <row r="128" spans="2:14" x14ac:dyDescent="0.2">
      <c r="B128" s="74"/>
      <c r="C128" s="681" t="s">
        <v>366</v>
      </c>
      <c r="D128" s="682"/>
      <c r="E128" s="450">
        <f ca="1">0.5*Rho_moyen*S_para*Vit_culmi^2</f>
        <v>954.2182814371721</v>
      </c>
      <c r="F128" s="451">
        <f ca="1">E128/g</f>
        <v>97.269957333045056</v>
      </c>
      <c r="H128" s="48"/>
      <c r="I128" s="48"/>
      <c r="J128" s="48"/>
      <c r="K128" s="48"/>
      <c r="N128" s="75"/>
    </row>
    <row r="129" spans="2:14" x14ac:dyDescent="0.2">
      <c r="B129" s="74"/>
      <c r="C129" s="679" t="s">
        <v>367</v>
      </c>
      <c r="D129" s="680"/>
      <c r="E129" s="452">
        <f ca="1">E128/E126*2</f>
        <v>477.10914071858605</v>
      </c>
      <c r="F129" s="453">
        <f ca="1">E129/g</f>
        <v>48.634978666522528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368</v>
      </c>
      <c r="D131" s="48"/>
      <c r="E131" s="48"/>
      <c r="F131" s="48"/>
      <c r="G131" s="48"/>
      <c r="H131" s="48"/>
      <c r="I131" s="48"/>
      <c r="J131" s="48"/>
      <c r="K131" s="48"/>
      <c r="N131" s="75"/>
    </row>
    <row r="132" spans="2:14" x14ac:dyDescent="0.2">
      <c r="B132" s="74"/>
      <c r="C132" s="681" t="s">
        <v>369</v>
      </c>
      <c r="D132" s="682"/>
      <c r="E132" s="454">
        <v>1</v>
      </c>
      <c r="F132" s="48"/>
      <c r="G132" s="48"/>
      <c r="H132" s="48"/>
      <c r="I132" s="48"/>
      <c r="J132" s="442"/>
      <c r="K132" s="48"/>
      <c r="N132" s="75"/>
    </row>
    <row r="133" spans="2:14" x14ac:dyDescent="0.2">
      <c r="B133" s="74"/>
      <c r="C133" s="679" t="s">
        <v>370</v>
      </c>
      <c r="D133" s="680"/>
      <c r="E133" s="455">
        <f ca="1">2*E132*Acc_max/g</f>
        <v>24.584459966797475</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Owen Liu</cp:lastModifiedBy>
  <cp:lastPrinted>2011-11-08T21:12:34Z</cp:lastPrinted>
  <dcterms:created xsi:type="dcterms:W3CDTF">2008-11-03T20:48:06Z</dcterms:created>
  <dcterms:modified xsi:type="dcterms:W3CDTF">2026-03-06T17:50:48Z</dcterms:modified>
</cp:coreProperties>
</file>