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75" yWindow="-45" windowWidth="16140" windowHeight="11760" tabRatio="830" activeTab="4"/>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externalReferences>
    <externalReference r:id="rId10"/>
  </externalReferences>
  <definedNames>
    <definedName name="_xlnm.Print_Area" localSheetId="1">'2.Adressering'!$A$1:$A$43</definedName>
    <definedName name="_xlnm.Print_Area" localSheetId="2">'3.Toelichting'!$A$1:$A$31</definedName>
    <definedName name="_xlnm.Print_Area" localSheetId="3">'4.Informatie'!$A$1:$J$38</definedName>
    <definedName name="_xlnm.Print_Area" localSheetId="4">'5.Verdelingsmatrix lasten'!$A$1:$AD$184</definedName>
    <definedName name="_xlnm.Print_Area" localSheetId="5">'6.Verdelingsmatrix baten'!$A$1:$AD$184</definedName>
    <definedName name="_xlnm.Print_Area" localSheetId="7">'8.Akkoordverklaring'!$A$1:$C$35</definedName>
    <definedName name="_xlnm.Print_Area" localSheetId="8">'9.Eindoordeel'!$A$1:$J$153</definedName>
    <definedName name="AS2DocOpenMode" hidden="1">"AS2DocumentEdit"</definedName>
  </definedNames>
  <calcPr calcId="145621"/>
</workbook>
</file>

<file path=xl/calcChain.xml><?xml version="1.0" encoding="utf-8"?>
<calcChain xmlns="http://schemas.openxmlformats.org/spreadsheetml/2006/main">
  <c r="H78" i="28" l="1"/>
  <c r="H38" i="28"/>
  <c r="H43" i="28"/>
  <c r="H83" i="28"/>
  <c r="H81" i="28"/>
  <c r="AA174" i="24" l="1"/>
  <c r="AA172" i="24"/>
  <c r="AA171" i="24"/>
  <c r="AA170" i="24"/>
  <c r="AA139" i="24"/>
  <c r="AA134" i="24"/>
  <c r="T143" i="24"/>
  <c r="S51" i="24"/>
  <c r="S26" i="24"/>
  <c r="S24" i="24"/>
  <c r="S154" i="24"/>
  <c r="S110" i="24"/>
  <c r="S7" i="24"/>
  <c r="S152" i="24"/>
  <c r="S90" i="24"/>
  <c r="Q52" i="24"/>
  <c r="P77" i="24"/>
  <c r="P52" i="24"/>
  <c r="O77" i="24"/>
  <c r="O76" i="24"/>
  <c r="O57" i="24"/>
  <c r="O52" i="24"/>
  <c r="N52" i="24"/>
  <c r="J77" i="24"/>
  <c r="J57" i="24"/>
  <c r="J52" i="24"/>
  <c r="J24" i="24"/>
  <c r="F110" i="24"/>
  <c r="E99" i="24"/>
  <c r="D99" i="24"/>
  <c r="S99" i="25" l="1"/>
  <c r="AA173" i="25"/>
  <c r="AA172" i="25"/>
  <c r="AA170" i="25"/>
  <c r="AA139" i="25"/>
  <c r="S24" i="25"/>
  <c r="S110" i="25"/>
  <c r="S154" i="25"/>
  <c r="S90" i="25"/>
  <c r="S152" i="25"/>
  <c r="P77" i="25"/>
  <c r="N76" i="25"/>
  <c r="N57" i="25"/>
  <c r="N51" i="25"/>
  <c r="N40" i="25"/>
  <c r="N27" i="25"/>
  <c r="N23" i="25"/>
  <c r="H82" i="28" l="1"/>
  <c r="H80" i="28"/>
  <c r="H72" i="28"/>
  <c r="H48" i="28"/>
  <c r="H41" i="28"/>
  <c r="H40" i="28"/>
  <c r="H39" i="28"/>
  <c r="H28" i="28"/>
  <c r="H26" i="28"/>
  <c r="H25" i="28"/>
  <c r="H24" i="28"/>
  <c r="H22" i="28"/>
  <c r="H18" i="28"/>
  <c r="S131" i="24" l="1"/>
  <c r="S76" i="24"/>
  <c r="S76" i="25"/>
  <c r="S82" i="25"/>
  <c r="R82" i="25"/>
  <c r="L76" i="25"/>
  <c r="N110" i="25" l="1"/>
  <c r="L12" i="25"/>
  <c r="L13" i="25"/>
  <c r="J27" i="24"/>
  <c r="J23" i="24"/>
  <c r="P110" i="25"/>
  <c r="N13" i="25"/>
  <c r="J13" i="25"/>
  <c r="J51" i="24" l="1"/>
  <c r="AC77" i="24"/>
  <c r="AC76" i="24"/>
  <c r="AC71" i="24"/>
  <c r="AC69" i="24"/>
  <c r="AC67" i="24"/>
  <c r="AC66" i="24"/>
  <c r="AC65" i="24"/>
  <c r="AC64" i="24"/>
  <c r="AC63" i="24"/>
  <c r="AC59" i="24"/>
  <c r="AC58" i="24"/>
  <c r="AC57" i="24"/>
  <c r="AC56" i="24"/>
  <c r="AC52" i="24"/>
  <c r="AC51" i="24"/>
  <c r="AC46" i="24"/>
  <c r="AC45" i="24"/>
  <c r="AC42" i="24"/>
  <c r="AC40" i="24"/>
  <c r="AC32" i="24"/>
  <c r="AC31" i="24"/>
  <c r="AC27" i="24"/>
  <c r="AC26" i="24"/>
  <c r="AC24" i="24"/>
  <c r="AC23" i="24"/>
  <c r="AC17" i="24"/>
  <c r="AC13" i="24"/>
  <c r="AC12" i="24"/>
  <c r="AC11" i="24"/>
  <c r="AC10" i="24"/>
  <c r="AC9" i="24"/>
  <c r="AC8" i="24"/>
  <c r="AC7" i="24"/>
  <c r="AC6" i="24"/>
  <c r="AC99" i="24"/>
  <c r="AB110" i="24"/>
  <c r="AA173" i="24"/>
  <c r="Z114" i="24"/>
  <c r="Y163" i="24"/>
  <c r="Y121" i="24"/>
  <c r="Y120" i="24"/>
  <c r="Y118" i="24"/>
  <c r="X170" i="24"/>
  <c r="V124" i="24"/>
  <c r="T136" i="24"/>
  <c r="T135" i="24"/>
  <c r="S66" i="24"/>
  <c r="S57" i="24"/>
  <c r="S52" i="24"/>
  <c r="S45" i="24"/>
  <c r="S42" i="24"/>
  <c r="S40" i="24"/>
  <c r="S31" i="24"/>
  <c r="S27" i="24"/>
  <c r="S23" i="24"/>
  <c r="S17" i="24"/>
  <c r="S13" i="24"/>
  <c r="S12" i="24"/>
  <c r="S6" i="24"/>
  <c r="S82" i="24"/>
  <c r="S99" i="24"/>
  <c r="S109" i="24"/>
  <c r="S151" i="24"/>
  <c r="S77" i="24"/>
  <c r="S69" i="24"/>
  <c r="S65" i="24"/>
  <c r="S58" i="24"/>
  <c r="S86" i="24"/>
  <c r="S83" i="24"/>
  <c r="R57" i="24"/>
  <c r="R86" i="24"/>
  <c r="R83" i="24"/>
  <c r="R82" i="24"/>
  <c r="Q77" i="24"/>
  <c r="Q76" i="24"/>
  <c r="Q66" i="24"/>
  <c r="Q63" i="24"/>
  <c r="Q59" i="24"/>
  <c r="Q57" i="24"/>
  <c r="Q51" i="24"/>
  <c r="Q45" i="24"/>
  <c r="Q27" i="24"/>
  <c r="P76" i="24"/>
  <c r="P66" i="24"/>
  <c r="P59" i="24"/>
  <c r="P57" i="24"/>
  <c r="P51" i="24"/>
  <c r="P45" i="24"/>
  <c r="P40" i="24"/>
  <c r="P31" i="24"/>
  <c r="P27" i="24"/>
  <c r="P23" i="24"/>
  <c r="P110" i="24"/>
  <c r="O71" i="24"/>
  <c r="O69" i="24"/>
  <c r="O67" i="24"/>
  <c r="O66" i="24"/>
  <c r="O65" i="24"/>
  <c r="O64" i="24"/>
  <c r="O63" i="24"/>
  <c r="O59" i="24"/>
  <c r="O56" i="24"/>
  <c r="O51" i="24"/>
  <c r="O45" i="24"/>
  <c r="O42" i="24"/>
  <c r="O40" i="24"/>
  <c r="O31" i="24"/>
  <c r="O27" i="24"/>
  <c r="O24" i="24"/>
  <c r="O23" i="24"/>
  <c r="O13" i="24"/>
  <c r="O12" i="24"/>
  <c r="O8" i="24"/>
  <c r="O7" i="24"/>
  <c r="O6" i="24"/>
  <c r="O99" i="24"/>
  <c r="N77" i="24"/>
  <c r="N76" i="24"/>
  <c r="N71" i="24"/>
  <c r="N69" i="24"/>
  <c r="N67" i="24"/>
  <c r="N66" i="24"/>
  <c r="N63" i="24"/>
  <c r="N57" i="24"/>
  <c r="N56" i="24"/>
  <c r="N51" i="24"/>
  <c r="N45" i="24"/>
  <c r="N42" i="24"/>
  <c r="N40" i="24"/>
  <c r="N32" i="24"/>
  <c r="N27" i="24"/>
  <c r="N26" i="24"/>
  <c r="N24" i="24"/>
  <c r="N23" i="24"/>
  <c r="N13" i="24"/>
  <c r="N12" i="24"/>
  <c r="N7" i="24"/>
  <c r="M40" i="24"/>
  <c r="M27" i="24"/>
  <c r="M23" i="24"/>
  <c r="L76" i="24"/>
  <c r="L52" i="24"/>
  <c r="L26" i="24"/>
  <c r="L24" i="24"/>
  <c r="L13" i="24"/>
  <c r="L99" i="24"/>
  <c r="L110" i="24"/>
  <c r="K26" i="24"/>
  <c r="K24" i="24"/>
  <c r="K99" i="24"/>
  <c r="K110" i="24"/>
  <c r="J76" i="24"/>
  <c r="J71" i="24"/>
  <c r="J69" i="24"/>
  <c r="J66" i="24"/>
  <c r="J65" i="24"/>
  <c r="J64" i="24"/>
  <c r="J63" i="24"/>
  <c r="J59" i="24"/>
  <c r="J58" i="24"/>
  <c r="J56" i="24"/>
  <c r="J46" i="24"/>
  <c r="J45" i="24"/>
  <c r="J42" i="24"/>
  <c r="J40" i="24"/>
  <c r="J31" i="24"/>
  <c r="J26" i="24"/>
  <c r="J17" i="24"/>
  <c r="J13" i="24"/>
  <c r="J12" i="24"/>
  <c r="J11" i="24"/>
  <c r="J9" i="24"/>
  <c r="J7" i="24"/>
  <c r="J6" i="24"/>
  <c r="J154" i="24"/>
  <c r="J99" i="24"/>
  <c r="J110" i="24"/>
  <c r="J109" i="24"/>
  <c r="I76" i="24"/>
  <c r="I45" i="24"/>
  <c r="I31" i="24"/>
  <c r="I24" i="24"/>
  <c r="I23" i="24"/>
  <c r="I17" i="24"/>
  <c r="I13" i="24"/>
  <c r="I12" i="24"/>
  <c r="I6" i="24"/>
  <c r="I99" i="24"/>
  <c r="I110" i="24"/>
  <c r="H76" i="24"/>
  <c r="H26" i="24"/>
  <c r="H24" i="24"/>
  <c r="H13" i="24"/>
  <c r="H99" i="24"/>
  <c r="H110" i="24"/>
  <c r="H109" i="24"/>
  <c r="G76" i="24"/>
  <c r="G99" i="24"/>
  <c r="G110" i="24"/>
  <c r="D6" i="24"/>
  <c r="K24" i="25"/>
  <c r="AC99" i="25"/>
  <c r="AB99" i="25"/>
  <c r="AA174" i="25"/>
  <c r="AA171" i="25"/>
  <c r="AA134" i="25"/>
  <c r="Y121" i="25"/>
  <c r="Y120" i="25"/>
  <c r="X170" i="25"/>
  <c r="X137" i="25"/>
  <c r="T143" i="25"/>
  <c r="T136" i="25"/>
  <c r="T135" i="25"/>
  <c r="S57" i="25"/>
  <c r="S31" i="25"/>
  <c r="S26" i="25"/>
  <c r="S13" i="25"/>
  <c r="S109" i="25"/>
  <c r="S42" i="25"/>
  <c r="S12" i="25"/>
  <c r="S7" i="25"/>
  <c r="S153" i="25"/>
  <c r="S151" i="25"/>
  <c r="S83" i="25"/>
  <c r="S112" i="25"/>
  <c r="R77" i="25"/>
  <c r="R69" i="25"/>
  <c r="R66" i="25"/>
  <c r="R58" i="25"/>
  <c r="R57" i="25"/>
  <c r="R31" i="25"/>
  <c r="R86" i="25"/>
  <c r="R83" i="25"/>
  <c r="Q58" i="25"/>
  <c r="Q110" i="25"/>
  <c r="P76" i="25"/>
  <c r="P27" i="25"/>
  <c r="P23" i="25"/>
  <c r="P87" i="25"/>
  <c r="O76" i="25"/>
  <c r="O57" i="25"/>
  <c r="O51" i="25"/>
  <c r="O45" i="25"/>
  <c r="O42" i="25"/>
  <c r="O40" i="25"/>
  <c r="O26" i="25"/>
  <c r="O24" i="25"/>
  <c r="O13" i="25"/>
  <c r="O7" i="25"/>
  <c r="O84" i="25"/>
  <c r="O110" i="25"/>
  <c r="N77" i="25"/>
  <c r="N66" i="25"/>
  <c r="N59" i="25"/>
  <c r="N52" i="25"/>
  <c r="N45" i="25"/>
  <c r="N31" i="25"/>
  <c r="N26" i="25"/>
  <c r="N24" i="25"/>
  <c r="N17" i="25"/>
  <c r="N7" i="25"/>
  <c r="N87" i="25"/>
  <c r="N84" i="25"/>
  <c r="N99" i="25"/>
  <c r="M58" i="25"/>
  <c r="M57" i="25"/>
  <c r="M86" i="25"/>
  <c r="L56" i="25"/>
  <c r="L45" i="25"/>
  <c r="L40" i="25"/>
  <c r="L26" i="25"/>
  <c r="L24" i="25"/>
  <c r="L11" i="25"/>
  <c r="L7" i="25" l="1"/>
  <c r="L99" i="25"/>
  <c r="L110" i="25"/>
  <c r="K76" i="25"/>
  <c r="K52" i="25"/>
  <c r="K26" i="25"/>
  <c r="K13" i="25"/>
  <c r="K110" i="25"/>
  <c r="J76" i="25"/>
  <c r="J26" i="25"/>
  <c r="J99" i="25"/>
  <c r="J110" i="25"/>
  <c r="I99" i="25"/>
  <c r="H76" i="25"/>
  <c r="H99" i="25"/>
  <c r="H109" i="25"/>
  <c r="G76" i="25"/>
  <c r="G52" i="25"/>
  <c r="G42" i="25"/>
  <c r="G13" i="25"/>
  <c r="G110" i="25"/>
  <c r="F52" i="25"/>
  <c r="F46" i="25"/>
  <c r="F45" i="25"/>
  <c r="F31" i="25"/>
  <c r="F26" i="25"/>
  <c r="F24" i="25"/>
  <c r="F99" i="25"/>
  <c r="E85" i="25"/>
  <c r="F83" i="28" l="1"/>
  <c r="F82" i="28"/>
  <c r="F81" i="28"/>
  <c r="F80" i="28"/>
  <c r="F78" i="28"/>
  <c r="H87" i="28"/>
  <c r="F72" i="28"/>
  <c r="F87" i="28" s="1"/>
  <c r="F48" i="28"/>
  <c r="F43" i="28"/>
  <c r="F41" i="28"/>
  <c r="F40" i="28"/>
  <c r="F39" i="28"/>
  <c r="F38" i="28"/>
  <c r="F28" i="28"/>
  <c r="F26" i="28"/>
  <c r="F25" i="28"/>
  <c r="F24" i="28"/>
  <c r="F22" i="28"/>
  <c r="H86" i="28"/>
  <c r="F18" i="28"/>
  <c r="F86" i="28" s="1"/>
  <c r="B1" i="28"/>
  <c r="D177" i="25"/>
  <c r="AC175" i="25"/>
  <c r="AB175" i="25"/>
  <c r="Z175" i="25"/>
  <c r="Y175" i="25"/>
  <c r="X175" i="25"/>
  <c r="W175" i="25"/>
  <c r="V175" i="25"/>
  <c r="U175" i="25"/>
  <c r="T175" i="25"/>
  <c r="S175" i="25"/>
  <c r="R175" i="25"/>
  <c r="Q175" i="25"/>
  <c r="P175" i="25"/>
  <c r="O175" i="25"/>
  <c r="N175" i="25"/>
  <c r="M175" i="25"/>
  <c r="L175" i="25"/>
  <c r="K175" i="25"/>
  <c r="J175" i="25"/>
  <c r="I175" i="25"/>
  <c r="H175" i="25"/>
  <c r="G175" i="25"/>
  <c r="F175" i="25"/>
  <c r="E175" i="25"/>
  <c r="D175" i="25"/>
  <c r="C175" i="25"/>
  <c r="AD174" i="25"/>
  <c r="AD173" i="25"/>
  <c r="AD172" i="25"/>
  <c r="AD171" i="25"/>
  <c r="AA175" i="25"/>
  <c r="AD170" i="25"/>
  <c r="AD169" i="25"/>
  <c r="AD168" i="25"/>
  <c r="AD167" i="25"/>
  <c r="AC164" i="25"/>
  <c r="AB164" i="25"/>
  <c r="AA164" i="25"/>
  <c r="Z164" i="25"/>
  <c r="Y164" i="25"/>
  <c r="X164" i="25"/>
  <c r="W164" i="25"/>
  <c r="V164" i="25"/>
  <c r="U164" i="25"/>
  <c r="T164" i="25"/>
  <c r="R164" i="25"/>
  <c r="Q164" i="25"/>
  <c r="P164" i="25"/>
  <c r="O164" i="25"/>
  <c r="N164" i="25"/>
  <c r="M164" i="25"/>
  <c r="L164" i="25"/>
  <c r="K164" i="25"/>
  <c r="J164" i="25"/>
  <c r="I164" i="25"/>
  <c r="H164" i="25"/>
  <c r="G164" i="25"/>
  <c r="F164" i="25"/>
  <c r="E164" i="25"/>
  <c r="D164" i="25"/>
  <c r="C164" i="25"/>
  <c r="AD163" i="25"/>
  <c r="AD162" i="25"/>
  <c r="AD161" i="25"/>
  <c r="AD160" i="25"/>
  <c r="AD159" i="25"/>
  <c r="AD158" i="25"/>
  <c r="AD157" i="25"/>
  <c r="AD156" i="25"/>
  <c r="AD155" i="25"/>
  <c r="AD154" i="25"/>
  <c r="AD153" i="25"/>
  <c r="AD152" i="25"/>
  <c r="AD151" i="25"/>
  <c r="S164" i="25"/>
  <c r="AC148" i="25"/>
  <c r="AB148" i="25"/>
  <c r="Z148" i="25"/>
  <c r="Y148" i="25"/>
  <c r="W148" i="25"/>
  <c r="V148" i="25"/>
  <c r="U148" i="25"/>
  <c r="S148" i="25"/>
  <c r="R148" i="25"/>
  <c r="Q148" i="25"/>
  <c r="P148" i="25"/>
  <c r="O148" i="25"/>
  <c r="N148" i="25"/>
  <c r="M148" i="25"/>
  <c r="L148" i="25"/>
  <c r="K148" i="25"/>
  <c r="J148" i="25"/>
  <c r="I148" i="25"/>
  <c r="H148" i="25"/>
  <c r="G148" i="25"/>
  <c r="F148" i="25"/>
  <c r="E148" i="25"/>
  <c r="D148" i="25"/>
  <c r="C148" i="25"/>
  <c r="AD147" i="25"/>
  <c r="AD146" i="25"/>
  <c r="AD145" i="25"/>
  <c r="AD144" i="25"/>
  <c r="AD143" i="25"/>
  <c r="AD142" i="25"/>
  <c r="AD141" i="25"/>
  <c r="AD140" i="25"/>
  <c r="AD139" i="25"/>
  <c r="AD138" i="25"/>
  <c r="AD136" i="25"/>
  <c r="AA148" i="25"/>
  <c r="AD133" i="25"/>
  <c r="AD132" i="25"/>
  <c r="AD131" i="25"/>
  <c r="AD130" i="25"/>
  <c r="AD129" i="25"/>
  <c r="AC126" i="25"/>
  <c r="AB126" i="25"/>
  <c r="AA126" i="25"/>
  <c r="AA177" i="25" s="1"/>
  <c r="Z126" i="25"/>
  <c r="Z177" i="25" s="1"/>
  <c r="X126" i="25"/>
  <c r="W126" i="25"/>
  <c r="V126" i="25"/>
  <c r="V177" i="25" s="1"/>
  <c r="U126" i="25"/>
  <c r="T126" i="25"/>
  <c r="S126" i="25"/>
  <c r="R126" i="25"/>
  <c r="O126" i="25"/>
  <c r="N126" i="25"/>
  <c r="M126" i="25"/>
  <c r="J126" i="25"/>
  <c r="I126" i="25"/>
  <c r="H126" i="25"/>
  <c r="G126" i="25"/>
  <c r="F126" i="25"/>
  <c r="E126" i="25"/>
  <c r="D126" i="25"/>
  <c r="C126" i="25"/>
  <c r="C177" i="25" s="1"/>
  <c r="AD125" i="25"/>
  <c r="AD124" i="25"/>
  <c r="AD123" i="25"/>
  <c r="AD122" i="25"/>
  <c r="AD121" i="25"/>
  <c r="AD120" i="25"/>
  <c r="AD119" i="25"/>
  <c r="AD118" i="25"/>
  <c r="AD117" i="25"/>
  <c r="AD116" i="25"/>
  <c r="AD115" i="25"/>
  <c r="AD114" i="25"/>
  <c r="AD113" i="25"/>
  <c r="AD112" i="25"/>
  <c r="AD111" i="25"/>
  <c r="Q126" i="25"/>
  <c r="P126" i="25"/>
  <c r="L126" i="25"/>
  <c r="L177" i="25" s="1"/>
  <c r="K126" i="25"/>
  <c r="AD110" i="25"/>
  <c r="AD109" i="25"/>
  <c r="AD108" i="25"/>
  <c r="AD107" i="25"/>
  <c r="AD106" i="25"/>
  <c r="AD105" i="25"/>
  <c r="AC100" i="25"/>
  <c r="AB100" i="25"/>
  <c r="AA100" i="25"/>
  <c r="Z100" i="25"/>
  <c r="Y100" i="25"/>
  <c r="X100" i="25"/>
  <c r="W100" i="25"/>
  <c r="V100" i="25"/>
  <c r="U100" i="25"/>
  <c r="T100" i="25"/>
  <c r="S100" i="25"/>
  <c r="R100" i="25"/>
  <c r="Q100" i="25"/>
  <c r="P100" i="25"/>
  <c r="O100" i="25"/>
  <c r="N100" i="25"/>
  <c r="M100" i="25"/>
  <c r="K100" i="25"/>
  <c r="J100" i="25"/>
  <c r="G100" i="25"/>
  <c r="F100" i="25"/>
  <c r="E100" i="25"/>
  <c r="D100" i="25"/>
  <c r="C100" i="25"/>
  <c r="L100" i="25"/>
  <c r="I100" i="25"/>
  <c r="H100" i="25"/>
  <c r="AD98" i="25"/>
  <c r="AC92" i="25"/>
  <c r="AB92" i="25"/>
  <c r="AA92" i="25"/>
  <c r="Z92" i="25"/>
  <c r="Y92" i="25"/>
  <c r="X92" i="25"/>
  <c r="W92" i="25"/>
  <c r="V92" i="25"/>
  <c r="U92" i="25"/>
  <c r="T92" i="25"/>
  <c r="S92" i="25"/>
  <c r="Q92" i="25"/>
  <c r="P92" i="25"/>
  <c r="L92" i="25"/>
  <c r="K92" i="25"/>
  <c r="J92" i="25"/>
  <c r="I92" i="25"/>
  <c r="H92" i="25"/>
  <c r="G92" i="25"/>
  <c r="F92" i="25"/>
  <c r="D92" i="25"/>
  <c r="C92" i="25"/>
  <c r="AD91" i="25"/>
  <c r="AD90" i="25"/>
  <c r="AD89" i="25"/>
  <c r="AD88" i="25"/>
  <c r="AD87" i="25"/>
  <c r="AD86" i="25"/>
  <c r="AD85" i="25"/>
  <c r="E92" i="25"/>
  <c r="O92" i="25"/>
  <c r="AD84" i="25"/>
  <c r="AD83" i="25"/>
  <c r="AD82" i="25"/>
  <c r="AC79" i="25"/>
  <c r="AB79" i="25"/>
  <c r="AA79" i="25"/>
  <c r="Z79" i="25"/>
  <c r="Y79" i="25"/>
  <c r="X79" i="25"/>
  <c r="W79" i="25"/>
  <c r="V79" i="25"/>
  <c r="U79" i="25"/>
  <c r="T79" i="25"/>
  <c r="S79" i="25"/>
  <c r="R79" i="25"/>
  <c r="Q79" i="25"/>
  <c r="O79" i="25"/>
  <c r="M79" i="25"/>
  <c r="K79" i="25"/>
  <c r="I79" i="25"/>
  <c r="H79" i="25"/>
  <c r="G79" i="25"/>
  <c r="F79" i="25"/>
  <c r="E79" i="25"/>
  <c r="D79" i="25"/>
  <c r="C79" i="25"/>
  <c r="AD78" i="25"/>
  <c r="AD77" i="25"/>
  <c r="N79" i="25"/>
  <c r="L79" i="25"/>
  <c r="AD76" i="25"/>
  <c r="J79" i="25"/>
  <c r="AD75" i="25"/>
  <c r="AC72" i="25"/>
  <c r="AB72" i="25"/>
  <c r="AA72" i="25"/>
  <c r="Z72" i="25"/>
  <c r="Y72" i="25"/>
  <c r="X72" i="25"/>
  <c r="W72" i="25"/>
  <c r="V72" i="25"/>
  <c r="U72" i="25"/>
  <c r="T72" i="25"/>
  <c r="S72" i="25"/>
  <c r="R72" i="25"/>
  <c r="Q72" i="25"/>
  <c r="P72" i="25"/>
  <c r="O72" i="25"/>
  <c r="N72" i="25"/>
  <c r="M72" i="25"/>
  <c r="L72" i="25"/>
  <c r="K72" i="25"/>
  <c r="J72" i="25"/>
  <c r="I72" i="25"/>
  <c r="H72" i="25"/>
  <c r="G72" i="25"/>
  <c r="F72" i="25"/>
  <c r="E72" i="25"/>
  <c r="D72" i="25"/>
  <c r="C72" i="25"/>
  <c r="AD72" i="25" s="1"/>
  <c r="AD71" i="25"/>
  <c r="AD70" i="25"/>
  <c r="AD69" i="25"/>
  <c r="AD68" i="25"/>
  <c r="AD67" i="25"/>
  <c r="AD66" i="25"/>
  <c r="AD65" i="25"/>
  <c r="AD64" i="25"/>
  <c r="AD63" i="25"/>
  <c r="AC60" i="25"/>
  <c r="AB60" i="25"/>
  <c r="AA60" i="25"/>
  <c r="Z60" i="25"/>
  <c r="Y60" i="25"/>
  <c r="X60" i="25"/>
  <c r="W60" i="25"/>
  <c r="V60" i="25"/>
  <c r="U60" i="25"/>
  <c r="T60" i="25"/>
  <c r="R60" i="25"/>
  <c r="Q60" i="25"/>
  <c r="P60" i="25"/>
  <c r="O60" i="25"/>
  <c r="M60" i="25"/>
  <c r="L60" i="25"/>
  <c r="K60" i="25"/>
  <c r="J60" i="25"/>
  <c r="I60" i="25"/>
  <c r="H60" i="25"/>
  <c r="G60" i="25"/>
  <c r="F60" i="25"/>
  <c r="E60" i="25"/>
  <c r="D60" i="25"/>
  <c r="C60" i="25"/>
  <c r="AD59" i="25"/>
  <c r="AD58" i="25"/>
  <c r="S60" i="25"/>
  <c r="AD56" i="25"/>
  <c r="AC53" i="25"/>
  <c r="AB53" i="25"/>
  <c r="AA53" i="25"/>
  <c r="Z53" i="25"/>
  <c r="Y53" i="25"/>
  <c r="X53" i="25"/>
  <c r="W53" i="25"/>
  <c r="V53" i="25"/>
  <c r="U53" i="25"/>
  <c r="T53" i="25"/>
  <c r="S53" i="25"/>
  <c r="R53" i="25"/>
  <c r="Q53" i="25"/>
  <c r="P53" i="25"/>
  <c r="M53" i="25"/>
  <c r="L53" i="25"/>
  <c r="J53" i="25"/>
  <c r="I53" i="25"/>
  <c r="H53" i="25"/>
  <c r="E53" i="25"/>
  <c r="D53" i="25"/>
  <c r="C53" i="25"/>
  <c r="N53" i="25"/>
  <c r="K53" i="25"/>
  <c r="G53" i="25"/>
  <c r="F53" i="25"/>
  <c r="AD51" i="25"/>
  <c r="O53" i="25"/>
  <c r="AD50" i="25"/>
  <c r="AC47" i="25"/>
  <c r="AB47" i="25"/>
  <c r="AA47" i="25"/>
  <c r="Z47" i="25"/>
  <c r="Y47" i="25"/>
  <c r="X47" i="25"/>
  <c r="W47" i="25"/>
  <c r="V47" i="25"/>
  <c r="U47" i="25"/>
  <c r="T47" i="25"/>
  <c r="S47" i="25"/>
  <c r="R47" i="25"/>
  <c r="Q47" i="25"/>
  <c r="P47" i="25"/>
  <c r="M47" i="25"/>
  <c r="K47" i="25"/>
  <c r="J47" i="25"/>
  <c r="I47" i="25"/>
  <c r="H47" i="25"/>
  <c r="F47" i="25"/>
  <c r="E47" i="25"/>
  <c r="D47" i="25"/>
  <c r="C47" i="25"/>
  <c r="AD46" i="25"/>
  <c r="O47" i="25"/>
  <c r="N47" i="25"/>
  <c r="AD44" i="25"/>
  <c r="AD43" i="25"/>
  <c r="AD42" i="25"/>
  <c r="AD41" i="25"/>
  <c r="AC37" i="25"/>
  <c r="AB37" i="25"/>
  <c r="AA37" i="25"/>
  <c r="Z37" i="25"/>
  <c r="Y37" i="25"/>
  <c r="X37" i="25"/>
  <c r="W37" i="25"/>
  <c r="V37" i="25"/>
  <c r="U37" i="25"/>
  <c r="T37" i="25"/>
  <c r="S37" i="25"/>
  <c r="Q37" i="25"/>
  <c r="P37" i="25"/>
  <c r="N37" i="25"/>
  <c r="M37" i="25"/>
  <c r="L37" i="25"/>
  <c r="K37" i="25"/>
  <c r="J37" i="25"/>
  <c r="I37" i="25"/>
  <c r="H37" i="25"/>
  <c r="G37" i="25"/>
  <c r="F37" i="25"/>
  <c r="E37" i="25"/>
  <c r="D37" i="25"/>
  <c r="C37" i="25"/>
  <c r="AD36" i="25"/>
  <c r="AD35" i="25"/>
  <c r="AD34" i="25"/>
  <c r="AD33" i="25"/>
  <c r="AD32" i="25"/>
  <c r="R37" i="25"/>
  <c r="AD31" i="25"/>
  <c r="AC28" i="25"/>
  <c r="AB28" i="25"/>
  <c r="AA28" i="25"/>
  <c r="Z28" i="25"/>
  <c r="Y28" i="25"/>
  <c r="X28" i="25"/>
  <c r="W28" i="25"/>
  <c r="V28" i="25"/>
  <c r="U28" i="25"/>
  <c r="T28" i="25"/>
  <c r="R28" i="25"/>
  <c r="Q28" i="25"/>
  <c r="O28" i="25"/>
  <c r="M28" i="25"/>
  <c r="I28" i="25"/>
  <c r="H28" i="25"/>
  <c r="G28" i="25"/>
  <c r="E28" i="25"/>
  <c r="D28" i="25"/>
  <c r="C28" i="25"/>
  <c r="AD27" i="25"/>
  <c r="J28" i="25"/>
  <c r="AD25" i="25"/>
  <c r="S28" i="25"/>
  <c r="L28" i="25"/>
  <c r="AD24" i="25"/>
  <c r="F28" i="25"/>
  <c r="P28" i="25"/>
  <c r="AC20" i="25"/>
  <c r="AB20" i="25"/>
  <c r="AA20" i="25"/>
  <c r="Z20" i="25"/>
  <c r="Y20" i="25"/>
  <c r="X20" i="25"/>
  <c r="W20" i="25"/>
  <c r="V20" i="25"/>
  <c r="U20" i="25"/>
  <c r="T20" i="25"/>
  <c r="S20" i="25"/>
  <c r="R20" i="25"/>
  <c r="Q20" i="25"/>
  <c r="P20" i="25"/>
  <c r="O20" i="25"/>
  <c r="N20" i="25"/>
  <c r="M20" i="25"/>
  <c r="L20" i="25"/>
  <c r="K20" i="25"/>
  <c r="J20" i="25"/>
  <c r="I20" i="25"/>
  <c r="H20" i="25"/>
  <c r="G20" i="25"/>
  <c r="F20" i="25"/>
  <c r="E20" i="25"/>
  <c r="D20" i="25"/>
  <c r="C20" i="25"/>
  <c r="AD19" i="25"/>
  <c r="AD18" i="25"/>
  <c r="AD17" i="25"/>
  <c r="AC14" i="25"/>
  <c r="AB14" i="25"/>
  <c r="AA14" i="25"/>
  <c r="Z14" i="25"/>
  <c r="Z94" i="25" s="1"/>
  <c r="Y14" i="25"/>
  <c r="X14" i="25"/>
  <c r="W14" i="25"/>
  <c r="V14" i="25"/>
  <c r="V94" i="25" s="1"/>
  <c r="U14" i="25"/>
  <c r="T14" i="25"/>
  <c r="R14" i="25"/>
  <c r="Q14" i="25"/>
  <c r="P14" i="25"/>
  <c r="M14" i="25"/>
  <c r="K14" i="25"/>
  <c r="J14" i="25"/>
  <c r="I14" i="25"/>
  <c r="H14" i="25"/>
  <c r="H94" i="25" s="1"/>
  <c r="G14" i="25"/>
  <c r="F14" i="25"/>
  <c r="E14" i="25"/>
  <c r="D14" i="25"/>
  <c r="D94" i="25" s="1"/>
  <c r="C14" i="25"/>
  <c r="C94" i="25" s="1"/>
  <c r="C179" i="25" s="1"/>
  <c r="AD13" i="25"/>
  <c r="AD11" i="25"/>
  <c r="AD10" i="25"/>
  <c r="AD9" i="25"/>
  <c r="AD8" i="25"/>
  <c r="O14" i="25"/>
  <c r="N14" i="25"/>
  <c r="L14" i="25"/>
  <c r="AD6" i="25"/>
  <c r="A1" i="25"/>
  <c r="AC175" i="24"/>
  <c r="AB175" i="24"/>
  <c r="Z175" i="24"/>
  <c r="Y175" i="24"/>
  <c r="W175" i="24"/>
  <c r="V175" i="24"/>
  <c r="U175" i="24"/>
  <c r="T175" i="24"/>
  <c r="S175" i="24"/>
  <c r="R175" i="24"/>
  <c r="Q175" i="24"/>
  <c r="P175" i="24"/>
  <c r="O175" i="24"/>
  <c r="N175" i="24"/>
  <c r="M175" i="24"/>
  <c r="L175" i="24"/>
  <c r="K175" i="24"/>
  <c r="J175" i="24"/>
  <c r="I175" i="24"/>
  <c r="H175" i="24"/>
  <c r="G175" i="24"/>
  <c r="F175" i="24"/>
  <c r="E175" i="24"/>
  <c r="D175" i="24"/>
  <c r="C175" i="24"/>
  <c r="AD174" i="24"/>
  <c r="AD173" i="24"/>
  <c r="AD172" i="24"/>
  <c r="AD171" i="24"/>
  <c r="AD170" i="24"/>
  <c r="X175" i="24"/>
  <c r="AD169" i="24"/>
  <c r="AD168" i="24"/>
  <c r="AD167" i="24"/>
  <c r="AC164" i="24"/>
  <c r="AB164" i="24"/>
  <c r="AA164" i="24"/>
  <c r="Z164" i="24"/>
  <c r="X164" i="24"/>
  <c r="W164" i="24"/>
  <c r="V164" i="24"/>
  <c r="U164" i="24"/>
  <c r="T164" i="24"/>
  <c r="S164" i="24"/>
  <c r="R164" i="24"/>
  <c r="Q164" i="24"/>
  <c r="P164" i="24"/>
  <c r="O164" i="24"/>
  <c r="N164" i="24"/>
  <c r="M164" i="24"/>
  <c r="L164" i="24"/>
  <c r="K164" i="24"/>
  <c r="I164" i="24"/>
  <c r="H164" i="24"/>
  <c r="G164" i="24"/>
  <c r="F164" i="24"/>
  <c r="E164" i="24"/>
  <c r="D164" i="24"/>
  <c r="C164" i="24"/>
  <c r="AD163" i="24"/>
  <c r="AD162" i="24"/>
  <c r="AD161" i="24"/>
  <c r="AD160" i="24"/>
  <c r="AD159" i="24"/>
  <c r="AD158" i="24"/>
  <c r="AD157" i="24"/>
  <c r="AD156" i="24"/>
  <c r="AD155" i="24"/>
  <c r="AD154" i="24"/>
  <c r="J164" i="24"/>
  <c r="AD153" i="24"/>
  <c r="AD152" i="24"/>
  <c r="AD151" i="24"/>
  <c r="AC148" i="24"/>
  <c r="AB148" i="24"/>
  <c r="AA148" i="24"/>
  <c r="Z148" i="24"/>
  <c r="Y148" i="24"/>
  <c r="X148" i="24"/>
  <c r="W148" i="24"/>
  <c r="V148" i="24"/>
  <c r="U148" i="24"/>
  <c r="S148" i="24"/>
  <c r="R148" i="24"/>
  <c r="Q148" i="24"/>
  <c r="P148" i="24"/>
  <c r="O148" i="24"/>
  <c r="N148" i="24"/>
  <c r="M148" i="24"/>
  <c r="L148" i="24"/>
  <c r="K148" i="24"/>
  <c r="J148" i="24"/>
  <c r="I148" i="24"/>
  <c r="H148" i="24"/>
  <c r="G148" i="24"/>
  <c r="F148" i="24"/>
  <c r="E148" i="24"/>
  <c r="D148" i="24"/>
  <c r="C148" i="24"/>
  <c r="AD147" i="24"/>
  <c r="AD146" i="24"/>
  <c r="AD145" i="24"/>
  <c r="AD144" i="24"/>
  <c r="AD143" i="24"/>
  <c r="AD142" i="24"/>
  <c r="AD141" i="24"/>
  <c r="AD140" i="24"/>
  <c r="AD139" i="24"/>
  <c r="AD138" i="24"/>
  <c r="AD137" i="24"/>
  <c r="AD136" i="24"/>
  <c r="AD134" i="24"/>
  <c r="AD133" i="24"/>
  <c r="AD132" i="24"/>
  <c r="AD131" i="24"/>
  <c r="AD130" i="24"/>
  <c r="AD129" i="24"/>
  <c r="AC126" i="24"/>
  <c r="AC177" i="24" s="1"/>
  <c r="AB126" i="24"/>
  <c r="AB177" i="24" s="1"/>
  <c r="AA126" i="24"/>
  <c r="Z126" i="24"/>
  <c r="Y126" i="24"/>
  <c r="X126" i="24"/>
  <c r="X177" i="24" s="1"/>
  <c r="W126" i="24"/>
  <c r="V126" i="24"/>
  <c r="V177" i="24" s="1"/>
  <c r="U126" i="24"/>
  <c r="U177" i="24" s="1"/>
  <c r="T126" i="24"/>
  <c r="R126" i="24"/>
  <c r="R177" i="24" s="1"/>
  <c r="Q126" i="24"/>
  <c r="P126" i="24"/>
  <c r="P177" i="24" s="1"/>
  <c r="O126" i="24"/>
  <c r="O177" i="24" s="1"/>
  <c r="N126" i="24"/>
  <c r="N177" i="24" s="1"/>
  <c r="M126" i="24"/>
  <c r="K126" i="24"/>
  <c r="K177" i="24" s="1"/>
  <c r="I126" i="24"/>
  <c r="I177" i="24" s="1"/>
  <c r="G126" i="24"/>
  <c r="G177" i="24" s="1"/>
  <c r="F126" i="24"/>
  <c r="E126" i="24"/>
  <c r="D126" i="24"/>
  <c r="C126" i="24"/>
  <c r="C177" i="24" s="1"/>
  <c r="AD125" i="24"/>
  <c r="AD124" i="24"/>
  <c r="AD123" i="24"/>
  <c r="AD122" i="24"/>
  <c r="AD121" i="24"/>
  <c r="AD120" i="24"/>
  <c r="AD119" i="24"/>
  <c r="AD118" i="24"/>
  <c r="AD117" i="24"/>
  <c r="AD116" i="24"/>
  <c r="AD115" i="24"/>
  <c r="AD114" i="24"/>
  <c r="AD113" i="24"/>
  <c r="AD112" i="24"/>
  <c r="AD111" i="24"/>
  <c r="S126" i="24"/>
  <c r="L126" i="24"/>
  <c r="L177" i="24" s="1"/>
  <c r="H126" i="24"/>
  <c r="H177" i="24" s="1"/>
  <c r="J126" i="24"/>
  <c r="AD108" i="24"/>
  <c r="AD107" i="24"/>
  <c r="AD106" i="24"/>
  <c r="AD105" i="24"/>
  <c r="AC100" i="24"/>
  <c r="AB100" i="24"/>
  <c r="AA100" i="24"/>
  <c r="Z100" i="24"/>
  <c r="Y100" i="24"/>
  <c r="X100" i="24"/>
  <c r="W100" i="24"/>
  <c r="V100" i="24"/>
  <c r="U100" i="24"/>
  <c r="T100" i="24"/>
  <c r="S100" i="24"/>
  <c r="R100" i="24"/>
  <c r="Q100" i="24"/>
  <c r="P100" i="24"/>
  <c r="O100" i="24"/>
  <c r="N100" i="24"/>
  <c r="M100" i="24"/>
  <c r="K100" i="24"/>
  <c r="H100" i="24"/>
  <c r="G100" i="24"/>
  <c r="F100" i="24"/>
  <c r="D100" i="24"/>
  <c r="C100" i="24"/>
  <c r="L100" i="24"/>
  <c r="J100" i="24"/>
  <c r="I100" i="24"/>
  <c r="E100" i="24"/>
  <c r="AD98" i="24"/>
  <c r="AC92" i="24"/>
  <c r="AB92" i="24"/>
  <c r="AA92" i="24"/>
  <c r="Z92" i="24"/>
  <c r="Y92" i="24"/>
  <c r="X92" i="24"/>
  <c r="W92" i="24"/>
  <c r="V92" i="24"/>
  <c r="U92" i="24"/>
  <c r="T92" i="24"/>
  <c r="Q92" i="24"/>
  <c r="P92" i="24"/>
  <c r="O92" i="24"/>
  <c r="N92" i="24"/>
  <c r="M92" i="24"/>
  <c r="L92" i="24"/>
  <c r="K92" i="24"/>
  <c r="J92" i="24"/>
  <c r="I92" i="24"/>
  <c r="H92" i="24"/>
  <c r="G92" i="24"/>
  <c r="F92" i="24"/>
  <c r="E92" i="24"/>
  <c r="D92" i="24"/>
  <c r="C92" i="24"/>
  <c r="AD91" i="24"/>
  <c r="S92" i="24"/>
  <c r="AD89" i="24"/>
  <c r="AD88" i="24"/>
  <c r="AD87" i="24"/>
  <c r="AD86" i="24"/>
  <c r="AD85" i="24"/>
  <c r="AD84" i="24"/>
  <c r="AD83" i="24"/>
  <c r="AD82" i="24"/>
  <c r="AC79" i="24"/>
  <c r="AB79" i="24"/>
  <c r="AA79" i="24"/>
  <c r="Z79" i="24"/>
  <c r="Y79" i="24"/>
  <c r="X79" i="24"/>
  <c r="W79" i="24"/>
  <c r="V79" i="24"/>
  <c r="U79" i="24"/>
  <c r="T79" i="24"/>
  <c r="R79" i="24"/>
  <c r="P79" i="24"/>
  <c r="M79" i="24"/>
  <c r="K79" i="24"/>
  <c r="I79" i="24"/>
  <c r="H79" i="24"/>
  <c r="F79" i="24"/>
  <c r="E79" i="24"/>
  <c r="D79" i="24"/>
  <c r="C79" i="24"/>
  <c r="AD78" i="24"/>
  <c r="N79" i="24"/>
  <c r="AD77" i="24"/>
  <c r="S79" i="24"/>
  <c r="Q79" i="24"/>
  <c r="L79" i="24"/>
  <c r="J79" i="24"/>
  <c r="AD75" i="24"/>
  <c r="AC72" i="24"/>
  <c r="AB72" i="24"/>
  <c r="AA72" i="24"/>
  <c r="Z72" i="24"/>
  <c r="Y72" i="24"/>
  <c r="X72" i="24"/>
  <c r="W72" i="24"/>
  <c r="V72" i="24"/>
  <c r="U72" i="24"/>
  <c r="T72" i="24"/>
  <c r="S72" i="24"/>
  <c r="R72" i="24"/>
  <c r="P72" i="24"/>
  <c r="N72" i="24"/>
  <c r="M72" i="24"/>
  <c r="L72" i="24"/>
  <c r="K72" i="24"/>
  <c r="I72" i="24"/>
  <c r="H72" i="24"/>
  <c r="G72" i="24"/>
  <c r="F72" i="24"/>
  <c r="E72" i="24"/>
  <c r="D72" i="24"/>
  <c r="C72" i="24"/>
  <c r="AD71" i="24"/>
  <c r="AD70" i="24"/>
  <c r="AD69" i="24"/>
  <c r="AD68" i="24"/>
  <c r="AD66" i="24"/>
  <c r="AD65" i="24"/>
  <c r="AD64" i="24"/>
  <c r="O72" i="24"/>
  <c r="AC60" i="24"/>
  <c r="AB60" i="24"/>
  <c r="AA60" i="24"/>
  <c r="Z60" i="24"/>
  <c r="Y60" i="24"/>
  <c r="X60" i="24"/>
  <c r="W60" i="24"/>
  <c r="V60" i="24"/>
  <c r="U60" i="24"/>
  <c r="T60" i="24"/>
  <c r="R60" i="24"/>
  <c r="Q60" i="24"/>
  <c r="P60" i="24"/>
  <c r="N60" i="24"/>
  <c r="M60" i="24"/>
  <c r="L60" i="24"/>
  <c r="K60" i="24"/>
  <c r="I60" i="24"/>
  <c r="H60" i="24"/>
  <c r="G60" i="24"/>
  <c r="F60" i="24"/>
  <c r="E60" i="24"/>
  <c r="D60" i="24"/>
  <c r="C60" i="24"/>
  <c r="AD59" i="24"/>
  <c r="AD58" i="24"/>
  <c r="S60" i="24"/>
  <c r="AD57" i="24"/>
  <c r="J60" i="24"/>
  <c r="O60" i="24"/>
  <c r="AC53" i="24"/>
  <c r="AB53" i="24"/>
  <c r="AA53" i="24"/>
  <c r="Z53" i="24"/>
  <c r="Y53" i="24"/>
  <c r="X53" i="24"/>
  <c r="W53" i="24"/>
  <c r="V53" i="24"/>
  <c r="U53" i="24"/>
  <c r="T53" i="24"/>
  <c r="R53" i="24"/>
  <c r="P53" i="24"/>
  <c r="M53" i="24"/>
  <c r="K53" i="24"/>
  <c r="I53" i="24"/>
  <c r="H53" i="24"/>
  <c r="G53" i="24"/>
  <c r="F53" i="24"/>
  <c r="E53" i="24"/>
  <c r="D53" i="24"/>
  <c r="C53" i="24"/>
  <c r="S53" i="24"/>
  <c r="AD52" i="24"/>
  <c r="L53" i="24"/>
  <c r="Q53" i="24"/>
  <c r="N53" i="24"/>
  <c r="J53" i="24"/>
  <c r="AD50" i="24"/>
  <c r="AC47" i="24"/>
  <c r="AB47" i="24"/>
  <c r="AA47" i="24"/>
  <c r="Z47" i="24"/>
  <c r="Y47" i="24"/>
  <c r="X47" i="24"/>
  <c r="W47" i="24"/>
  <c r="V47" i="24"/>
  <c r="U47" i="24"/>
  <c r="T47" i="24"/>
  <c r="R47" i="24"/>
  <c r="Q47" i="24"/>
  <c r="M47" i="24"/>
  <c r="L47" i="24"/>
  <c r="K47" i="24"/>
  <c r="I47" i="24"/>
  <c r="H47" i="24"/>
  <c r="G47" i="24"/>
  <c r="F47" i="24"/>
  <c r="E47" i="24"/>
  <c r="D47" i="24"/>
  <c r="C47" i="24"/>
  <c r="AD46" i="24"/>
  <c r="P47" i="24"/>
  <c r="O47" i="24"/>
  <c r="AD44" i="24"/>
  <c r="AD43" i="24"/>
  <c r="AD42" i="24"/>
  <c r="AD41" i="24"/>
  <c r="S47" i="24"/>
  <c r="J47" i="24"/>
  <c r="AC37" i="24"/>
  <c r="AB37" i="24"/>
  <c r="AA37" i="24"/>
  <c r="Z37" i="24"/>
  <c r="Y37" i="24"/>
  <c r="X37" i="24"/>
  <c r="W37" i="24"/>
  <c r="V37" i="24"/>
  <c r="U37" i="24"/>
  <c r="T37" i="24"/>
  <c r="S37" i="24"/>
  <c r="R37" i="24"/>
  <c r="Q37" i="24"/>
  <c r="P37" i="24"/>
  <c r="O37" i="24"/>
  <c r="N37" i="24"/>
  <c r="M37" i="24"/>
  <c r="L37" i="24"/>
  <c r="K37" i="24"/>
  <c r="H37" i="24"/>
  <c r="G37" i="24"/>
  <c r="F37" i="24"/>
  <c r="E37" i="24"/>
  <c r="D37" i="24"/>
  <c r="C37" i="24"/>
  <c r="AD36" i="24"/>
  <c r="AD35" i="24"/>
  <c r="AD34" i="24"/>
  <c r="AD33" i="24"/>
  <c r="AD32" i="24"/>
  <c r="J37" i="24"/>
  <c r="I37" i="24"/>
  <c r="AC28" i="24"/>
  <c r="AB28" i="24"/>
  <c r="AA28" i="24"/>
  <c r="Z28" i="24"/>
  <c r="Y28" i="24"/>
  <c r="X28" i="24"/>
  <c r="W28" i="24"/>
  <c r="V28" i="24"/>
  <c r="U28" i="24"/>
  <c r="T28" i="24"/>
  <c r="R28" i="24"/>
  <c r="N28" i="24"/>
  <c r="M28" i="24"/>
  <c r="I28" i="24"/>
  <c r="H28" i="24"/>
  <c r="G28" i="24"/>
  <c r="F28" i="24"/>
  <c r="E28" i="24"/>
  <c r="D28" i="24"/>
  <c r="C28" i="24"/>
  <c r="Q28" i="24"/>
  <c r="P28" i="24"/>
  <c r="AD27" i="24"/>
  <c r="AD26" i="24"/>
  <c r="AD25" i="24"/>
  <c r="L28" i="24"/>
  <c r="J28" i="24"/>
  <c r="S28" i="24"/>
  <c r="O28" i="24"/>
  <c r="AD23" i="24"/>
  <c r="AC20" i="24"/>
  <c r="AB20" i="24"/>
  <c r="AA20" i="24"/>
  <c r="Z20" i="24"/>
  <c r="Y20" i="24"/>
  <c r="Y94" i="24" s="1"/>
  <c r="X20" i="24"/>
  <c r="W20" i="24"/>
  <c r="V20" i="24"/>
  <c r="U20" i="24"/>
  <c r="U94" i="24" s="1"/>
  <c r="U179" i="24" s="1"/>
  <c r="T20" i="24"/>
  <c r="S20" i="24"/>
  <c r="R20" i="24"/>
  <c r="Q20" i="24"/>
  <c r="P20" i="24"/>
  <c r="O20" i="24"/>
  <c r="N20" i="24"/>
  <c r="M20" i="24"/>
  <c r="L20" i="24"/>
  <c r="K20" i="24"/>
  <c r="I20" i="24"/>
  <c r="H20" i="24"/>
  <c r="G20" i="24"/>
  <c r="F20" i="24"/>
  <c r="E20" i="24"/>
  <c r="D20" i="24"/>
  <c r="C20" i="24"/>
  <c r="AD19" i="24"/>
  <c r="AD18" i="24"/>
  <c r="J20" i="24"/>
  <c r="AC14" i="24"/>
  <c r="AB14" i="24"/>
  <c r="AB94" i="24" s="1"/>
  <c r="AB179" i="24" s="1"/>
  <c r="AA14" i="24"/>
  <c r="AA94" i="24" s="1"/>
  <c r="Z14" i="24"/>
  <c r="Z94" i="24" s="1"/>
  <c r="Y14" i="24"/>
  <c r="X14" i="24"/>
  <c r="X94" i="24" s="1"/>
  <c r="W14" i="24"/>
  <c r="W94" i="24" s="1"/>
  <c r="V14" i="24"/>
  <c r="V94" i="24" s="1"/>
  <c r="V179" i="24" s="1"/>
  <c r="U14" i="24"/>
  <c r="T14" i="24"/>
  <c r="T94" i="24" s="1"/>
  <c r="R14" i="24"/>
  <c r="Q14" i="24"/>
  <c r="P14" i="24"/>
  <c r="N14" i="24"/>
  <c r="M14" i="24"/>
  <c r="L14" i="24"/>
  <c r="K14" i="24"/>
  <c r="H14" i="24"/>
  <c r="G14" i="24"/>
  <c r="F14" i="24"/>
  <c r="E14" i="24"/>
  <c r="C14" i="24"/>
  <c r="AD13" i="24"/>
  <c r="AD12" i="24"/>
  <c r="AD11" i="24"/>
  <c r="AD10" i="24"/>
  <c r="AD9" i="24"/>
  <c r="AD8" i="24"/>
  <c r="AD7" i="24"/>
  <c r="S14" i="24"/>
  <c r="J14" i="24"/>
  <c r="AD6" i="24"/>
  <c r="A1" i="24"/>
  <c r="S177" i="24" l="1"/>
  <c r="AC94" i="24"/>
  <c r="AC179" i="24" s="1"/>
  <c r="AD20" i="25"/>
  <c r="O177" i="25"/>
  <c r="P177" i="25"/>
  <c r="H177" i="25"/>
  <c r="H179" i="25" s="1"/>
  <c r="F177" i="25"/>
  <c r="J177" i="25"/>
  <c r="R177" i="25"/>
  <c r="G177" i="25"/>
  <c r="W177" i="25"/>
  <c r="K177" i="25"/>
  <c r="N177" i="25"/>
  <c r="U177" i="25"/>
  <c r="AB177" i="25"/>
  <c r="V179" i="25"/>
  <c r="Z179" i="25"/>
  <c r="AC177" i="25"/>
  <c r="AD100" i="25"/>
  <c r="I94" i="25"/>
  <c r="Q94" i="25"/>
  <c r="Q179" i="25" s="1"/>
  <c r="F94" i="25"/>
  <c r="U94" i="25"/>
  <c r="Y94" i="25"/>
  <c r="AC94" i="25"/>
  <c r="J94" i="25"/>
  <c r="Z177" i="24"/>
  <c r="Z179" i="24" s="1"/>
  <c r="X179" i="24"/>
  <c r="W177" i="24"/>
  <c r="W179" i="24" s="1"/>
  <c r="D177" i="24"/>
  <c r="E177" i="24"/>
  <c r="J177" i="24"/>
  <c r="F177" i="24"/>
  <c r="M177" i="24"/>
  <c r="Q177" i="24"/>
  <c r="H94" i="24"/>
  <c r="H179" i="24" s="1"/>
  <c r="S94" i="24"/>
  <c r="S179" i="24" s="1"/>
  <c r="P94" i="24"/>
  <c r="P179" i="24" s="1"/>
  <c r="M94" i="24"/>
  <c r="M179" i="24" s="1"/>
  <c r="S14" i="25"/>
  <c r="S94" i="25" s="1"/>
  <c r="AD12" i="25"/>
  <c r="AD53" i="25"/>
  <c r="AD137" i="25"/>
  <c r="X148" i="25"/>
  <c r="X177" i="25" s="1"/>
  <c r="AD164" i="25"/>
  <c r="D179" i="25"/>
  <c r="W94" i="25"/>
  <c r="W179" i="25" s="1"/>
  <c r="AA94" i="25"/>
  <c r="AA179" i="25" s="1"/>
  <c r="AD26" i="25"/>
  <c r="N60" i="25"/>
  <c r="AD60" i="25" s="1"/>
  <c r="AD57" i="25"/>
  <c r="AD99" i="25"/>
  <c r="S177" i="25"/>
  <c r="O94" i="25"/>
  <c r="E94" i="25"/>
  <c r="T94" i="25"/>
  <c r="X94" i="25"/>
  <c r="AB94" i="25"/>
  <c r="K28" i="25"/>
  <c r="AD37" i="25"/>
  <c r="R92" i="25"/>
  <c r="R94" i="25" s="1"/>
  <c r="AD135" i="25"/>
  <c r="T148" i="25"/>
  <c r="T177" i="25" s="1"/>
  <c r="E177" i="25"/>
  <c r="I177" i="25"/>
  <c r="M177" i="25"/>
  <c r="AD175" i="25"/>
  <c r="AD23" i="25"/>
  <c r="N28" i="25"/>
  <c r="L47" i="25"/>
  <c r="L94" i="25" s="1"/>
  <c r="L179" i="25" s="1"/>
  <c r="AD40" i="25"/>
  <c r="AD45" i="25"/>
  <c r="N92" i="25"/>
  <c r="Q177" i="25"/>
  <c r="G47" i="25"/>
  <c r="AD52" i="25"/>
  <c r="P79" i="25"/>
  <c r="AD79" i="25" s="1"/>
  <c r="M92" i="25"/>
  <c r="M94" i="25" s="1"/>
  <c r="M179" i="25" s="1"/>
  <c r="Y126" i="25"/>
  <c r="Y177" i="25" s="1"/>
  <c r="AD134" i="25"/>
  <c r="AD7" i="25"/>
  <c r="AD60" i="24"/>
  <c r="AD20" i="24"/>
  <c r="L94" i="24"/>
  <c r="L179" i="24" s="1"/>
  <c r="AD37" i="24"/>
  <c r="N47" i="24"/>
  <c r="AD47" i="24" s="1"/>
  <c r="F94" i="24"/>
  <c r="O14" i="24"/>
  <c r="AD17" i="24"/>
  <c r="AD67" i="24"/>
  <c r="O79" i="24"/>
  <c r="E94" i="24"/>
  <c r="AD126" i="24"/>
  <c r="T148" i="24"/>
  <c r="AD148" i="24" s="1"/>
  <c r="AD135" i="24"/>
  <c r="AA175" i="24"/>
  <c r="AD175" i="24" s="1"/>
  <c r="AD45" i="24"/>
  <c r="J72" i="24"/>
  <c r="AD100" i="24"/>
  <c r="AA177" i="24"/>
  <c r="AA179" i="24" s="1"/>
  <c r="I14" i="24"/>
  <c r="I94" i="24" s="1"/>
  <c r="I179" i="24" s="1"/>
  <c r="D14" i="24"/>
  <c r="D94" i="24" s="1"/>
  <c r="AD51" i="24"/>
  <c r="Q72" i="24"/>
  <c r="Q94" i="24" s="1"/>
  <c r="G79" i="24"/>
  <c r="AD76" i="24"/>
  <c r="AD90" i="24"/>
  <c r="C94" i="24"/>
  <c r="AD109" i="24"/>
  <c r="AD40" i="24"/>
  <c r="N94" i="24"/>
  <c r="N179" i="24" s="1"/>
  <c r="K28" i="24"/>
  <c r="AD28" i="24" s="1"/>
  <c r="AD24" i="24"/>
  <c r="O53" i="24"/>
  <c r="AD53" i="24" s="1"/>
  <c r="AD56" i="24"/>
  <c r="AD63" i="24"/>
  <c r="R92" i="24"/>
  <c r="AD92" i="24" s="1"/>
  <c r="AD99" i="24"/>
  <c r="AD110" i="24"/>
  <c r="AD164" i="24"/>
  <c r="Y164" i="24"/>
  <c r="Y177" i="24" s="1"/>
  <c r="Y179" i="24" s="1"/>
  <c r="AD31" i="24"/>
  <c r="T177" i="24" l="1"/>
  <c r="AD177" i="24" s="1"/>
  <c r="AD72" i="24"/>
  <c r="F179" i="24"/>
  <c r="D179" i="24"/>
  <c r="O179" i="25"/>
  <c r="AD47" i="25"/>
  <c r="J179" i="25"/>
  <c r="F179" i="25"/>
  <c r="R179" i="25"/>
  <c r="U179" i="25"/>
  <c r="AD177" i="25"/>
  <c r="AC179" i="25"/>
  <c r="AB179" i="25"/>
  <c r="S179" i="25"/>
  <c r="I179" i="25"/>
  <c r="AD92" i="25"/>
  <c r="N94" i="25"/>
  <c r="N179" i="25" s="1"/>
  <c r="P94" i="25"/>
  <c r="P179" i="25" s="1"/>
  <c r="AD28" i="25"/>
  <c r="Y179" i="25"/>
  <c r="AD14" i="25"/>
  <c r="Q179" i="24"/>
  <c r="E179" i="24"/>
  <c r="R94" i="24"/>
  <c r="R179" i="24" s="1"/>
  <c r="AD79" i="24"/>
  <c r="J94" i="24"/>
  <c r="J179" i="24" s="1"/>
  <c r="AD148" i="25"/>
  <c r="E179" i="25"/>
  <c r="AD126" i="25"/>
  <c r="X179" i="25"/>
  <c r="K94" i="25"/>
  <c r="K179" i="25" s="1"/>
  <c r="T179" i="25"/>
  <c r="G94" i="25"/>
  <c r="G179" i="25" s="1"/>
  <c r="G94" i="24"/>
  <c r="G179" i="24" s="1"/>
  <c r="K94" i="24"/>
  <c r="K179" i="24" s="1"/>
  <c r="AD14" i="24"/>
  <c r="C179" i="24"/>
  <c r="O94" i="24"/>
  <c r="O179" i="24" s="1"/>
  <c r="T179" i="24" l="1"/>
  <c r="AD179" i="24" s="1"/>
  <c r="AD179" i="25"/>
  <c r="AD94" i="25"/>
  <c r="AD94" i="24"/>
  <c r="D64" i="37" l="1"/>
  <c r="E64" i="37"/>
  <c r="D65" i="37"/>
  <c r="E65" i="37"/>
  <c r="D66" i="37"/>
  <c r="E66" i="37"/>
  <c r="D67" i="37"/>
  <c r="E67" i="37"/>
  <c r="F67" i="37" s="1"/>
  <c r="D68" i="37"/>
  <c r="E68" i="37"/>
  <c r="D69" i="37"/>
  <c r="E69" i="37"/>
  <c r="D70" i="37"/>
  <c r="E70" i="37"/>
  <c r="D71" i="37"/>
  <c r="E71" i="37"/>
  <c r="E63" i="37"/>
  <c r="D63" i="37"/>
  <c r="B128" i="37"/>
  <c r="C128" i="37"/>
  <c r="B129" i="37"/>
  <c r="C129" i="37"/>
  <c r="B130" i="37"/>
  <c r="C130" i="37"/>
  <c r="C127" i="37"/>
  <c r="B127" i="37"/>
  <c r="B124" i="37"/>
  <c r="C124" i="37"/>
  <c r="B125" i="37"/>
  <c r="C125" i="37"/>
  <c r="D125" i="37" s="1"/>
  <c r="B126" i="37"/>
  <c r="C126" i="37"/>
  <c r="D126" i="37" s="1"/>
  <c r="C123" i="37"/>
  <c r="D123" i="37" s="1"/>
  <c r="B123" i="37"/>
  <c r="B115" i="37"/>
  <c r="C115" i="37"/>
  <c r="D115" i="37" s="1"/>
  <c r="B116" i="37"/>
  <c r="C116" i="37"/>
  <c r="D116" i="37" s="1"/>
  <c r="B117" i="37"/>
  <c r="D117" i="37" s="1"/>
  <c r="C117" i="37"/>
  <c r="B118" i="37"/>
  <c r="C118" i="37"/>
  <c r="B119" i="37"/>
  <c r="D119" i="37" s="1"/>
  <c r="C119" i="37"/>
  <c r="B120" i="37"/>
  <c r="C120" i="37"/>
  <c r="B121" i="37"/>
  <c r="D121" i="37" s="1"/>
  <c r="C121" i="37"/>
  <c r="B122" i="37"/>
  <c r="C122" i="37"/>
  <c r="C114" i="37"/>
  <c r="I114" i="37" s="1"/>
  <c r="B114" i="37"/>
  <c r="B111" i="37"/>
  <c r="C111" i="37"/>
  <c r="B112" i="37"/>
  <c r="D112" i="37" s="1"/>
  <c r="C112" i="37"/>
  <c r="B113" i="37"/>
  <c r="C113" i="37"/>
  <c r="C110" i="37"/>
  <c r="I110" i="37" s="1"/>
  <c r="B110" i="37"/>
  <c r="C109" i="37"/>
  <c r="B109" i="37"/>
  <c r="C101" i="37"/>
  <c r="C102" i="37"/>
  <c r="C103" i="37"/>
  <c r="C104" i="37"/>
  <c r="D104" i="37" s="1"/>
  <c r="C105" i="37"/>
  <c r="D105" i="37" s="1"/>
  <c r="C106" i="37"/>
  <c r="C107" i="37"/>
  <c r="D107" i="37" s="1"/>
  <c r="C108" i="37"/>
  <c r="D108" i="37" s="1"/>
  <c r="C100" i="37"/>
  <c r="B101" i="37"/>
  <c r="B102" i="37"/>
  <c r="B103" i="37"/>
  <c r="B104" i="37"/>
  <c r="B105" i="37"/>
  <c r="B106" i="37"/>
  <c r="I106" i="37" s="1"/>
  <c r="B107" i="37"/>
  <c r="I107" i="37" s="1"/>
  <c r="B108" i="37"/>
  <c r="B100" i="37"/>
  <c r="C99" i="37"/>
  <c r="C98" i="37"/>
  <c r="I98" i="37" s="1"/>
  <c r="C97" i="37"/>
  <c r="C96" i="37"/>
  <c r="D96" i="37" s="1"/>
  <c r="C95" i="37"/>
  <c r="D95" i="37" s="1"/>
  <c r="C94" i="37"/>
  <c r="C93" i="37"/>
  <c r="I93" i="37" s="1"/>
  <c r="C92" i="37"/>
  <c r="I92" i="37" s="1"/>
  <c r="C91" i="37"/>
  <c r="D91" i="37" s="1"/>
  <c r="C90" i="37"/>
  <c r="C89" i="37"/>
  <c r="I89" i="37" s="1"/>
  <c r="B99" i="37"/>
  <c r="B98" i="37"/>
  <c r="B97" i="37"/>
  <c r="B96" i="37"/>
  <c r="B95" i="37"/>
  <c r="B94" i="37"/>
  <c r="B93" i="37"/>
  <c r="B92" i="37"/>
  <c r="B91" i="37"/>
  <c r="B90" i="37"/>
  <c r="B89" i="37"/>
  <c r="I97" i="37"/>
  <c r="B73" i="37"/>
  <c r="C73" i="37"/>
  <c r="D73" i="37"/>
  <c r="E73" i="37"/>
  <c r="B74" i="37"/>
  <c r="C74" i="37"/>
  <c r="D74" i="37"/>
  <c r="E74" i="37"/>
  <c r="B75" i="37"/>
  <c r="C75" i="37"/>
  <c r="D75" i="37"/>
  <c r="F75" i="37" s="1"/>
  <c r="E75" i="37"/>
  <c r="B76" i="37"/>
  <c r="C76" i="37"/>
  <c r="D76" i="37"/>
  <c r="E76" i="37"/>
  <c r="B77" i="37"/>
  <c r="C77" i="37"/>
  <c r="D77" i="37"/>
  <c r="E77" i="37"/>
  <c r="B78" i="37"/>
  <c r="C78" i="37"/>
  <c r="D78" i="37"/>
  <c r="E78" i="37"/>
  <c r="B79" i="37"/>
  <c r="C79" i="37"/>
  <c r="D79" i="37"/>
  <c r="F79" i="37" s="1"/>
  <c r="E79" i="37"/>
  <c r="B64" i="37"/>
  <c r="C64" i="37"/>
  <c r="F64" i="37"/>
  <c r="B65" i="37"/>
  <c r="C65" i="37"/>
  <c r="B66" i="37"/>
  <c r="F66" i="37" s="1"/>
  <c r="C66" i="37"/>
  <c r="B67" i="37"/>
  <c r="C67" i="37"/>
  <c r="B68" i="37"/>
  <c r="C68" i="37"/>
  <c r="F68" i="37"/>
  <c r="B69" i="37"/>
  <c r="C69" i="37"/>
  <c r="B70" i="37"/>
  <c r="C70" i="37"/>
  <c r="B71" i="37"/>
  <c r="C71" i="37"/>
  <c r="B50" i="37"/>
  <c r="C50" i="37"/>
  <c r="D50" i="37"/>
  <c r="E50" i="37"/>
  <c r="B51" i="37"/>
  <c r="C51" i="37"/>
  <c r="D51" i="37"/>
  <c r="F51" i="37" s="1"/>
  <c r="E51" i="37"/>
  <c r="B52" i="37"/>
  <c r="C52" i="37"/>
  <c r="D52" i="37"/>
  <c r="E52" i="37"/>
  <c r="B53" i="37"/>
  <c r="C53" i="37"/>
  <c r="D53" i="37"/>
  <c r="E53" i="37"/>
  <c r="B54" i="37"/>
  <c r="C54" i="37"/>
  <c r="D54" i="37"/>
  <c r="F54" i="37" s="1"/>
  <c r="E54" i="37"/>
  <c r="B55" i="37"/>
  <c r="C55" i="37"/>
  <c r="D55" i="37"/>
  <c r="E55" i="37"/>
  <c r="B56" i="37"/>
  <c r="C56" i="37"/>
  <c r="D56" i="37"/>
  <c r="E56" i="37"/>
  <c r="B57" i="37"/>
  <c r="C57" i="37"/>
  <c r="D57" i="37"/>
  <c r="E57" i="37"/>
  <c r="B58" i="37"/>
  <c r="C58" i="37"/>
  <c r="D58" i="37"/>
  <c r="E58" i="37"/>
  <c r="B59" i="37"/>
  <c r="C59" i="37"/>
  <c r="D59" i="37"/>
  <c r="E59" i="37"/>
  <c r="F59" i="37"/>
  <c r="B60" i="37"/>
  <c r="C60" i="37"/>
  <c r="D60" i="37"/>
  <c r="E60" i="37"/>
  <c r="B61" i="37"/>
  <c r="C61" i="37"/>
  <c r="D61" i="37"/>
  <c r="E61" i="37"/>
  <c r="B62" i="37"/>
  <c r="C62" i="37"/>
  <c r="D62" i="37"/>
  <c r="E62" i="37"/>
  <c r="F62" i="37"/>
  <c r="B45" i="37"/>
  <c r="C45" i="37"/>
  <c r="D45" i="37"/>
  <c r="F45" i="37" s="1"/>
  <c r="E45" i="37"/>
  <c r="B46" i="37"/>
  <c r="C46" i="37"/>
  <c r="D46" i="37"/>
  <c r="E46" i="37"/>
  <c r="B47" i="37"/>
  <c r="C47" i="37"/>
  <c r="D47" i="37"/>
  <c r="E47" i="37"/>
  <c r="B48" i="37"/>
  <c r="C48" i="37"/>
  <c r="D48" i="37"/>
  <c r="F48" i="37" s="1"/>
  <c r="E48" i="37"/>
  <c r="F130" i="37"/>
  <c r="F129" i="37"/>
  <c r="F128" i="37"/>
  <c r="F127" i="37"/>
  <c r="F126" i="37"/>
  <c r="F125" i="37"/>
  <c r="G125" i="37" s="1"/>
  <c r="F124" i="37"/>
  <c r="F122" i="37"/>
  <c r="F121" i="37"/>
  <c r="G121" i="37" s="1"/>
  <c r="F120" i="37"/>
  <c r="F119" i="37"/>
  <c r="F118" i="37"/>
  <c r="G118" i="37" s="1"/>
  <c r="F117" i="37"/>
  <c r="G117" i="37" s="1"/>
  <c r="F116" i="37"/>
  <c r="G116" i="37" s="1"/>
  <c r="F115" i="37"/>
  <c r="F114" i="37"/>
  <c r="F113" i="37"/>
  <c r="G113" i="37" s="1"/>
  <c r="F112" i="37"/>
  <c r="F111" i="37"/>
  <c r="F110" i="37"/>
  <c r="G110" i="37" s="1"/>
  <c r="F109" i="37"/>
  <c r="F108" i="37"/>
  <c r="F107" i="37"/>
  <c r="G107" i="37" s="1"/>
  <c r="F106" i="37"/>
  <c r="F105" i="37"/>
  <c r="F104" i="37"/>
  <c r="F103" i="37"/>
  <c r="F102" i="37"/>
  <c r="F101" i="37"/>
  <c r="F99" i="37"/>
  <c r="F98" i="37"/>
  <c r="G98" i="37" s="1"/>
  <c r="F97" i="37"/>
  <c r="F96" i="37"/>
  <c r="E130" i="37"/>
  <c r="E129" i="37"/>
  <c r="E128" i="37"/>
  <c r="E127" i="37"/>
  <c r="G127" i="37" s="1"/>
  <c r="E126" i="37"/>
  <c r="E125" i="37"/>
  <c r="E124" i="37"/>
  <c r="E122" i="37"/>
  <c r="G122" i="37" s="1"/>
  <c r="E121" i="37"/>
  <c r="E120" i="37"/>
  <c r="E119" i="37"/>
  <c r="E118" i="37"/>
  <c r="E117" i="37"/>
  <c r="E116" i="37"/>
  <c r="E115" i="37"/>
  <c r="E113" i="37"/>
  <c r="E112" i="37"/>
  <c r="E111" i="37"/>
  <c r="E110" i="37"/>
  <c r="E109" i="37"/>
  <c r="E108" i="37"/>
  <c r="G108" i="37" s="1"/>
  <c r="E107" i="37"/>
  <c r="E106" i="37"/>
  <c r="E105" i="37"/>
  <c r="E104" i="37"/>
  <c r="G104" i="37" s="1"/>
  <c r="E103" i="37"/>
  <c r="E102" i="37"/>
  <c r="E101" i="37"/>
  <c r="E99" i="37"/>
  <c r="G99" i="37" s="1"/>
  <c r="E98" i="37"/>
  <c r="E97" i="37"/>
  <c r="E96" i="37"/>
  <c r="E89" i="37"/>
  <c r="A1" i="30"/>
  <c r="I5" i="23"/>
  <c r="E72" i="37"/>
  <c r="D72" i="37"/>
  <c r="C72" i="37"/>
  <c r="B72" i="37"/>
  <c r="F72" i="37" s="1"/>
  <c r="C63" i="37"/>
  <c r="B63" i="37"/>
  <c r="E49" i="37"/>
  <c r="D49" i="37"/>
  <c r="C49" i="37"/>
  <c r="B49" i="37"/>
  <c r="B39" i="37"/>
  <c r="C39" i="37"/>
  <c r="D39" i="37"/>
  <c r="E39" i="37"/>
  <c r="B40" i="37"/>
  <c r="C40" i="37"/>
  <c r="D40" i="37"/>
  <c r="E40" i="37"/>
  <c r="B41" i="37"/>
  <c r="C41" i="37"/>
  <c r="D41" i="37"/>
  <c r="E41" i="37"/>
  <c r="B42" i="37"/>
  <c r="C42" i="37"/>
  <c r="D42" i="37"/>
  <c r="E42" i="37"/>
  <c r="B43" i="37"/>
  <c r="C43" i="37"/>
  <c r="D43" i="37"/>
  <c r="E43" i="37"/>
  <c r="B44" i="37"/>
  <c r="C44" i="37"/>
  <c r="D44" i="37"/>
  <c r="F44" i="37" s="1"/>
  <c r="E44" i="37"/>
  <c r="E38" i="37"/>
  <c r="D38" i="37"/>
  <c r="C38" i="37"/>
  <c r="B38" i="37"/>
  <c r="B24" i="37"/>
  <c r="I123" i="37"/>
  <c r="D92" i="37"/>
  <c r="D114" i="37"/>
  <c r="F49" i="37"/>
  <c r="F63" i="37"/>
  <c r="B3" i="23"/>
  <c r="F123" i="37"/>
  <c r="F100" i="37"/>
  <c r="F95" i="37"/>
  <c r="F94" i="37"/>
  <c r="G94" i="37" s="1"/>
  <c r="F93" i="37"/>
  <c r="F92" i="37"/>
  <c r="F91" i="37"/>
  <c r="F90" i="37"/>
  <c r="F89" i="37"/>
  <c r="E123" i="37"/>
  <c r="G123" i="37" s="1"/>
  <c r="E114" i="37"/>
  <c r="E100" i="37"/>
  <c r="E95" i="37"/>
  <c r="E94" i="37"/>
  <c r="E93" i="37"/>
  <c r="E92" i="37"/>
  <c r="G92" i="37"/>
  <c r="E91" i="37"/>
  <c r="G91" i="37" s="1"/>
  <c r="E90" i="37"/>
  <c r="G90" i="37" s="1"/>
  <c r="C148" i="37"/>
  <c r="B147" i="37"/>
  <c r="B148" i="37"/>
  <c r="C147" i="37"/>
  <c r="B138" i="37"/>
  <c r="B139" i="37"/>
  <c r="D106" i="37"/>
  <c r="D102" i="37"/>
  <c r="G97" i="37"/>
  <c r="G106" i="37"/>
  <c r="H106" i="37" s="1"/>
  <c r="G111" i="37"/>
  <c r="G112" i="37"/>
  <c r="G115" i="37"/>
  <c r="G119" i="37"/>
  <c r="G120" i="37"/>
  <c r="G124" i="37"/>
  <c r="I109" i="37" l="1"/>
  <c r="I95" i="37"/>
  <c r="D148" i="37"/>
  <c r="D147" i="37"/>
  <c r="G105" i="37"/>
  <c r="D93" i="37"/>
  <c r="I115" i="37"/>
  <c r="I124" i="37"/>
  <c r="D130" i="37"/>
  <c r="D90" i="37"/>
  <c r="D94" i="37"/>
  <c r="D98" i="37"/>
  <c r="D122" i="37"/>
  <c r="D120" i="37"/>
  <c r="D118" i="37"/>
  <c r="D89" i="37"/>
  <c r="I91" i="37"/>
  <c r="D100" i="37"/>
  <c r="F69" i="37"/>
  <c r="F71" i="37"/>
  <c r="F70" i="37"/>
  <c r="F50" i="37"/>
  <c r="F58" i="37"/>
  <c r="F55" i="37"/>
  <c r="F40" i="37"/>
  <c r="G95" i="37"/>
  <c r="H95" i="37" s="1"/>
  <c r="F43" i="37"/>
  <c r="F42" i="37"/>
  <c r="F41" i="37"/>
  <c r="F39" i="37"/>
  <c r="E148" i="37"/>
  <c r="G103" i="37"/>
  <c r="I99" i="37"/>
  <c r="H107" i="37"/>
  <c r="I100" i="37"/>
  <c r="I104" i="37"/>
  <c r="I105" i="37"/>
  <c r="I101" i="37"/>
  <c r="D110" i="37"/>
  <c r="H110" i="37" s="1"/>
  <c r="I122" i="37"/>
  <c r="I121" i="37"/>
  <c r="I120" i="37"/>
  <c r="I119" i="37"/>
  <c r="I118" i="37"/>
  <c r="I125" i="37"/>
  <c r="H91" i="37"/>
  <c r="H104" i="37"/>
  <c r="D109" i="37"/>
  <c r="I103" i="37"/>
  <c r="I117" i="37"/>
  <c r="H108" i="37"/>
  <c r="D103" i="37"/>
  <c r="I96" i="37"/>
  <c r="D97" i="37"/>
  <c r="H97" i="37" s="1"/>
  <c r="I108" i="37"/>
  <c r="D113" i="37"/>
  <c r="D111" i="37"/>
  <c r="I126" i="37"/>
  <c r="D124" i="37"/>
  <c r="E147" i="37"/>
  <c r="F47" i="37"/>
  <c r="F46" i="37"/>
  <c r="F57" i="37"/>
  <c r="F78" i="37"/>
  <c r="F77" i="37"/>
  <c r="F76" i="37"/>
  <c r="B140" i="37"/>
  <c r="G93" i="37"/>
  <c r="H93" i="37" s="1"/>
  <c r="F65" i="37"/>
  <c r="F74" i="37"/>
  <c r="F73" i="37"/>
  <c r="F56" i="37"/>
  <c r="G114" i="37"/>
  <c r="H114" i="37" s="1"/>
  <c r="F38" i="37"/>
  <c r="G89" i="37"/>
  <c r="F61" i="37"/>
  <c r="F60" i="37"/>
  <c r="F53" i="37"/>
  <c r="F52" i="37"/>
  <c r="H113" i="37"/>
  <c r="H111" i="37"/>
  <c r="H121" i="37"/>
  <c r="H120" i="37"/>
  <c r="H119" i="37"/>
  <c r="H118" i="37"/>
  <c r="H117" i="37"/>
  <c r="H124" i="37"/>
  <c r="H123" i="37"/>
  <c r="H98" i="37"/>
  <c r="H125" i="37"/>
  <c r="H90" i="37"/>
  <c r="H94" i="37"/>
  <c r="H112" i="37"/>
  <c r="H115" i="37"/>
  <c r="H92" i="37"/>
  <c r="H116" i="37"/>
  <c r="D127" i="37"/>
  <c r="H127" i="37" s="1"/>
  <c r="I116" i="37"/>
  <c r="D129" i="37"/>
  <c r="D128" i="37"/>
  <c r="I127" i="37"/>
  <c r="I102" i="37"/>
  <c r="D101" i="37"/>
  <c r="G130" i="37"/>
  <c r="G129" i="37"/>
  <c r="G128" i="37"/>
  <c r="G126" i="37"/>
  <c r="H126" i="37" s="1"/>
  <c r="G100" i="37"/>
  <c r="H100" i="37" s="1"/>
  <c r="H122" i="37"/>
  <c r="G96" i="37"/>
  <c r="H96" i="37" s="1"/>
  <c r="G109" i="37"/>
  <c r="G102" i="37"/>
  <c r="H102" i="37" s="1"/>
  <c r="G101" i="37"/>
  <c r="H105" i="37"/>
  <c r="C146" i="37"/>
  <c r="D99" i="37"/>
  <c r="H99" i="37" s="1"/>
  <c r="I94" i="37"/>
  <c r="I90" i="37"/>
  <c r="I113" i="37"/>
  <c r="I112" i="37"/>
  <c r="I111" i="37"/>
  <c r="I130" i="37"/>
  <c r="I129" i="37"/>
  <c r="I128" i="37"/>
  <c r="H130" i="37" l="1"/>
  <c r="H103" i="37"/>
  <c r="H109" i="37"/>
  <c r="H89" i="37"/>
  <c r="F80" i="37"/>
  <c r="B81" i="37" s="1"/>
  <c r="H129" i="37"/>
  <c r="H128" i="37"/>
  <c r="H101" i="37"/>
  <c r="B30" i="37"/>
  <c r="B146" i="37"/>
  <c r="E146" i="37" s="1"/>
  <c r="E149" i="37" s="1"/>
  <c r="A24" i="37"/>
  <c r="C24" i="37" s="1"/>
  <c r="B151" i="37" s="1"/>
  <c r="B29" i="37"/>
  <c r="I131" i="37"/>
  <c r="B133" i="37" s="1"/>
  <c r="H131" i="37" l="1"/>
  <c r="B132" i="37" s="1"/>
  <c r="B134" i="37" s="1"/>
  <c r="B14" i="37" s="1"/>
  <c r="B31" i="37"/>
  <c r="B32" i="37" s="1"/>
  <c r="B33" i="37" s="1"/>
  <c r="C12" i="37" s="1"/>
  <c r="G12" i="37" s="1"/>
  <c r="D146" i="37"/>
  <c r="D149" i="37" s="1"/>
  <c r="B150" i="37" s="1"/>
  <c r="B152" i="37" s="1"/>
  <c r="B16" i="37" s="1"/>
  <c r="B141" i="37"/>
  <c r="B142" i="37" s="1"/>
  <c r="C15" i="37" s="1"/>
  <c r="G15" i="37" s="1"/>
  <c r="B83" i="37"/>
  <c r="B84" i="37" s="1"/>
  <c r="C13" i="37" s="1"/>
  <c r="G13" i="37" s="1"/>
  <c r="B135" i="37" l="1"/>
  <c r="C14" i="37" s="1"/>
  <c r="G14" i="37" s="1"/>
  <c r="B12" i="37"/>
  <c r="B153" i="37"/>
  <c r="C16" i="37" s="1"/>
  <c r="G16" i="37" s="1"/>
  <c r="B15" i="37"/>
  <c r="B13" i="37"/>
  <c r="G18" i="37" l="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<sst xmlns="http://schemas.openxmlformats.org/spreadsheetml/2006/main" count="1130" uniqueCount="599">
  <si>
    <t>Invuller:</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</si>
  <si>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</si>
  <si>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</si>
  <si>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</si>
  <si>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</si>
  <si>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</si>
  <si>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</si>
  <si>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</si>
  <si>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</si>
  <si>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</si>
  <si>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</si>
  <si>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</si>
  <si>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</si>
  <si>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r>
      <t xml:space="preserve">Meer informatie kunt u vinden op </t>
    </r>
    <r>
      <rPr>
        <b/>
        <sz val="10"/>
        <color indexed="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</si>
  <si>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Naamgeving</t>
  </si>
  <si>
    <r>
      <t xml:space="preserve">Wij verzoeken u de bedragen op te geven als positieve getallen (zowel lasten als baten) en in duizendtallen, 
bijv. </t>
    </r>
    <r>
      <rPr>
        <b/>
        <sz val="10"/>
        <color indexed="10"/>
        <rFont val="Arial"/>
        <family val="2"/>
      </rPr>
      <t>€ 23.810,-</t>
    </r>
    <r>
      <rPr>
        <sz val="10"/>
        <rFont val="Arial"/>
        <family val="2"/>
      </rPr>
      <t xml:space="preserve"> invullen als </t>
    </r>
    <r>
      <rPr>
        <b/>
        <sz val="10"/>
        <color indexed="10"/>
        <rFont val="Arial"/>
        <family val="2"/>
      </rPr>
      <t>24</t>
    </r>
    <r>
      <rPr>
        <sz val="10"/>
        <rFont val="Arial"/>
        <family val="2"/>
      </rPr>
      <t>.</t>
    </r>
  </si>
  <si>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</si>
  <si>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</si>
  <si>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</si>
  <si>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</si>
  <si>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</si>
  <si>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</si>
  <si>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</si>
  <si>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</si>
  <si>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</si>
  <si>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</si>
  <si>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</si>
  <si>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</si>
  <si>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</si>
  <si>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</si>
  <si>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</si>
  <si>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</si>
  <si>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</si>
  <si>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</si>
  <si>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</si>
  <si>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</si>
  <si>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</si>
  <si>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</si>
  <si>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</si>
  <si>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</si>
  <si>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</si>
  <si>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</si>
  <si>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</si>
  <si>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</si>
  <si>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</si>
  <si>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</si>
  <si>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</si>
  <si>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</si>
  <si>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</si>
  <si>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</si>
  <si>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</si>
  <si>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</si>
  <si>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</si>
  <si>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</si>
  <si>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</si>
  <si>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</si>
  <si>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</si>
  <si>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</si>
  <si>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</si>
  <si>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</si>
  <si>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</si>
  <si>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</si>
  <si>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</si>
  <si>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</si>
  <si>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</si>
  <si>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</si>
  <si>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</si>
  <si>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</si>
  <si>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</si>
  <si>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</si>
  <si>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</si>
  <si>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</si>
  <si>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</si>
  <si>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</si>
  <si>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</si>
  <si>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</si>
  <si>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</si>
  <si>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</si>
  <si>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</si>
  <si>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</si>
  <si>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</si>
  <si>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</si>
  <si>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</si>
  <si>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</si>
  <si>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</si>
  <si>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</si>
  <si>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</si>
  <si>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</si>
  <si>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</si>
  <si>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</si>
  <si>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</si>
  <si>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</si>
  <si>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</si>
  <si>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</si>
  <si>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</si>
  <si>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</si>
  <si>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</si>
  <si>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</si>
  <si>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</si>
  <si>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</si>
  <si>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</si>
  <si>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</si>
  <si>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</si>
  <si>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</si>
  <si>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</si>
  <si>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</si>
  <si>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</si>
  <si>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</si>
  <si>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</si>
  <si>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</si>
  <si>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</si>
  <si>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</si>
  <si>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</si>
  <si>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</si>
  <si>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</si>
  <si>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</si>
  <si>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</si>
  <si>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</si>
  <si>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</si>
  <si>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</si>
  <si>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</si>
  <si>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</si>
  <si>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</si>
  <si>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</si>
  <si>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</si>
  <si>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Financiële vaste activa: Overige langlopende leningen</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</si>
  <si>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</si>
  <si>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</si>
  <si>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</si>
  <si>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</si>
  <si>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</si>
  <si>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</si>
  <si>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</si>
  <si>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</si>
  <si>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</si>
  <si>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</si>
  <si>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</si>
  <si>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</si>
  <si>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</si>
  <si>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</si>
  <si>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</si>
  <si>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</si>
  <si>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A224</t>
  </si>
  <si>
    <t>Uitzettingen: Overige vorderingen</t>
  </si>
  <si>
    <t>A23</t>
  </si>
  <si>
    <t>Overlopende activa</t>
  </si>
  <si>
    <t>Totaal Vlottende Activa</t>
  </si>
  <si>
    <t>Vaste Passiva</t>
  </si>
  <si>
    <t>P111</t>
  </si>
  <si>
    <t>Eigen vermogen: Algemene reserve</t>
  </si>
  <si>
    <t>P112</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</si>
  <si>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</si>
  <si>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</si>
  <si>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</si>
  <si>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</si>
  <si>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</si>
  <si>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</si>
  <si>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</si>
  <si>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</si>
  <si>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</si>
  <si>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</si>
  <si>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</si>
  <si>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</si>
  <si>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Vaste schuld: Onderhandse leningen van overige binnenlandse sectoren</t>
  </si>
  <si>
    <t>P136</t>
  </si>
  <si>
    <t>P137</t>
  </si>
  <si>
    <t>Vaste schuld: Door derden belegde gelden</t>
  </si>
  <si>
    <t>P138</t>
  </si>
  <si>
    <t>Waarborgsommen</t>
  </si>
  <si>
    <t>Totaal Vaste Passiva</t>
  </si>
  <si>
    <t>Vlottende Passiva</t>
  </si>
  <si>
    <t>P212</t>
  </si>
  <si>
    <t>P213</t>
  </si>
  <si>
    <t>Vlottende schuld: Overig</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</si>
  <si>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</si>
  <si>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</si>
  <si>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</si>
  <si>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</si>
  <si>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</si>
  <si>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</si>
  <si>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</si>
  <si>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</si>
  <si>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</si>
  <si>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</si>
  <si>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</si>
  <si>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</si>
  <si>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</si>
  <si>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</si>
  <si>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</si>
  <si>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</si>
  <si>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</si>
  <si>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</si>
  <si>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</si>
  <si>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</si>
  <si>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</si>
  <si>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</si>
  <si>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</si>
  <si>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</si>
  <si>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</si>
  <si>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</si>
  <si>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Uitzettingen</t>
  </si>
  <si>
    <t>Overige vorderingen</t>
  </si>
  <si>
    <t>PASSIVA</t>
  </si>
  <si>
    <t>Vaste schuld</t>
  </si>
  <si>
    <t>Obligatieleningen</t>
  </si>
  <si>
    <t>Onderhandse leningen van overige binnenlandse sectoren</t>
  </si>
  <si>
    <t>Door derden belegde gelden</t>
  </si>
  <si>
    <t>Vlottende schuld</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</si>
  <si>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</si>
  <si>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</si>
  <si>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</si>
  <si>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</si>
  <si>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</si>
  <si>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</si>
  <si>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</si>
  <si>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</si>
  <si>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</si>
  <si>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</si>
  <si>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</si>
  <si>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</si>
  <si>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</si>
  <si>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</si>
  <si>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</si>
  <si>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</si>
  <si>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</si>
  <si>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</si>
  <si>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</si>
  <si>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</si>
  <si>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</si>
  <si>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</si>
  <si>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</si>
  <si>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</si>
  <si>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</si>
  <si>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</si>
  <si>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</si>
  <si>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</si>
  <si>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</si>
  <si>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</si>
  <si>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</si>
  <si>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</si>
  <si>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</si>
  <si>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</si>
  <si>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</si>
  <si>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</si>
  <si>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</si>
  <si>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</si>
  <si>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</si>
  <si>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</si>
  <si>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</si>
  <si>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</si>
  <si>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</si>
  <si>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</si>
  <si>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</si>
  <si>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</si>
  <si>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</si>
  <si>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</si>
  <si>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</si>
  <si>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</si>
  <si>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</si>
  <si>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</si>
  <si>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</si>
  <si>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</si>
  <si>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</si>
  <si>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</si>
  <si>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</si>
  <si>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</si>
  <si>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</si>
  <si>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</si>
  <si>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</si>
  <si>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</si>
  <si>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</si>
  <si>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</si>
  <si>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</si>
  <si>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</si>
  <si>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</si>
  <si>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</si>
  <si>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</si>
  <si>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</si>
  <si>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</si>
  <si>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</si>
  <si>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</si>
  <si>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</si>
  <si>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</si>
  <si>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</si>
  <si>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</si>
  <si>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</si>
  <si>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</si>
  <si>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</si>
  <si>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</si>
  <si>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</si>
  <si>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</si>
  <si>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</si>
  <si>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</si>
  <si>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</si>
  <si>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</si>
  <si>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</si>
  <si>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</si>
  <si>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</si>
  <si>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</si>
  <si>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</si>
  <si>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</si>
  <si>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</si>
  <si>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</si>
  <si>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</si>
  <si>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</si>
  <si>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</si>
  <si>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</si>
  <si>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</si>
  <si>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</si>
  <si>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</si>
  <si>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</si>
  <si>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</si>
  <si>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</si>
  <si>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</si>
  <si>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</si>
  <si>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</si>
  <si>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</si>
  <si>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</si>
  <si>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</si>
  <si>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</si>
  <si>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</si>
  <si>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</si>
  <si>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</si>
  <si>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</si>
  <si>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</si>
  <si>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</si>
  <si>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</si>
  <si>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</si>
  <si>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</si>
  <si>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</si>
  <si>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</si>
  <si>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</si>
  <si>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</si>
  <si>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</si>
  <si>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</si>
  <si>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</si>
  <si>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</si>
  <si>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</si>
  <si>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</si>
  <si>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</si>
  <si>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</si>
  <si>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</si>
  <si>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</si>
  <si>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</si>
  <si>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</si>
  <si>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</si>
  <si>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</si>
  <si>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</si>
  <si>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</si>
  <si>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</si>
  <si>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</si>
  <si>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</si>
  <si>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</si>
  <si>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</si>
  <si>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</si>
  <si>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</si>
  <si>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</si>
  <si>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</si>
  <si>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</si>
  <si>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</si>
  <si>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</si>
  <si>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</si>
  <si>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</si>
  <si>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</si>
  <si>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</si>
  <si>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</si>
  <si>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</si>
  <si>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</si>
  <si>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</si>
  <si>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</si>
  <si>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</si>
  <si>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</si>
  <si>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</si>
  <si>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</si>
  <si>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</si>
  <si>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</si>
  <si>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</si>
  <si>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</si>
  <si>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</si>
  <si>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</si>
  <si>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</si>
  <si>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</si>
  <si>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</si>
  <si>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</si>
  <si>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</si>
  <si>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</si>
  <si>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</si>
  <si>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</si>
  <si>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</si>
  <si>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</si>
  <si>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</si>
  <si>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</si>
  <si>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</si>
  <si>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</si>
  <si>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</si>
  <si>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</si>
  <si>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</si>
  <si>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</si>
  <si>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</si>
  <si>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</si>
  <si>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</si>
  <si>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</si>
  <si>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</si>
  <si>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</si>
  <si>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</si>
  <si>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</si>
  <si>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</si>
  <si>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</si>
  <si>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</si>
  <si>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</si>
  <si>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</si>
  <si>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</si>
  <si>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</si>
  <si>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</si>
  <si>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</si>
  <si>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</si>
  <si>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</si>
  <si>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</si>
  <si>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</si>
  <si>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</si>
  <si>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</si>
  <si>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</si>
  <si>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</si>
  <si>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</si>
  <si>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</si>
  <si>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</si>
  <si>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</si>
  <si>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</si>
  <si>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</si>
  <si>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</si>
  <si>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</si>
  <si>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</si>
  <si>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</si>
  <si>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</si>
  <si>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</si>
  <si>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</si>
  <si>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</si>
  <si>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</si>
  <si>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</si>
  <si>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</si>
  <si>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</si>
  <si>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</si>
  <si>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</si>
  <si>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</si>
  <si>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</si>
  <si>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</si>
  <si>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</si>
  <si>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</si>
  <si>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</si>
  <si>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</si>
  <si>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</si>
  <si>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</si>
  <si>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</si>
  <si>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</si>
  <si>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</si>
  <si>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</si>
  <si>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</si>
  <si>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r>
      <t xml:space="preserve">De gegevens dienen </t>
    </r>
    <r>
      <rPr>
        <b/>
        <i/>
        <sz val="10"/>
        <color indexed="10"/>
        <rFont val="Arial"/>
        <family val="2"/>
      </rPr>
      <t>cumulatief</t>
    </r>
    <r>
      <rPr>
        <b/>
        <sz val="10"/>
        <color indexed="10"/>
        <rFont val="Arial"/>
        <family val="2"/>
      </rPr>
      <t xml:space="preserve"> </t>
    </r>
    <r>
      <rPr>
        <sz val="10"/>
        <rFont val="Arial"/>
        <family val="2"/>
      </rPr>
      <t>ingevuld</t>
    </r>
    <r>
      <rPr>
        <sz val="10"/>
        <color indexed="10"/>
        <rFont val="Arial"/>
        <family val="2"/>
      </rPr>
      <t xml:space="preserve"> </t>
    </r>
    <r>
      <rPr>
        <sz val="10"/>
        <rFont val="Arial"/>
        <family val="2"/>
      </rPr>
      <t>te worden. De opgave die het CBS bijvoorbeeld over het tweede kwartaal ontvangt, betreft dus de gegevens van 1 januari tot en met 30 juni.</t>
    </r>
  </si>
  <si>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</si>
  <si>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</si>
  <si>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</si>
  <si>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</si>
  <si>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</si>
  <si>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</si>
  <si>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</si>
  <si>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</si>
  <si>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</si>
  <si>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</si>
  <si>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</si>
  <si>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</si>
  <si>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r>
      <t xml:space="preserve">De gevraagde informatie behoort voorzien te zijn van een </t>
    </r>
    <r>
      <rPr>
        <b/>
        <i/>
        <sz val="10"/>
        <color indexed="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</si>
  <si>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</si>
  <si>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</si>
  <si>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</si>
  <si>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</si>
  <si>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</si>
  <si>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</si>
  <si>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</si>
  <si>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</si>
  <si>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</si>
  <si>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</si>
  <si>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</si>
  <si>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</si>
  <si>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</si>
  <si>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</si>
  <si>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</si>
  <si>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</si>
  <si>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</si>
  <si>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Hiervoor ontvangt u van het CBS na de opvraagbrief voor het betreffende kwartaal per e-mail de uploadgegevens. Na het uploaden van de gegevens krijgt u een ontvangstbevestiging op het scherm.</t>
  </si>
  <si>
    <t xml:space="preserve">                               nnnn = provincienummer, dit nummer is te vinden in de opvraagbrief en tevens </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</si>
  <si>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</si>
  <si>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U wordt verzocht de gegevens te verstrekken in eXtensible Business Reporting Language (XBRL). Hiervoor heeft het CBS een zogenaamde taxonomie ontwikkeld die op de website van Bureau Kredo van het CBS te vinden is. Mocht XBRL voor u nog niet mogelijk zijn, dan verzoekt het CBS u voor de aanlevering van kwartaalgegevens gebruik te maken van dit Excel-bestand. In dit bestand bevinden zich tabbladen die u (automatisch) kunt vullen.</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</si>
  <si>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</si>
  <si>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</si>
  <si>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EMU-saldo berekend uit de financiële rekening (categorie 7)</t>
  </si>
  <si>
    <t>Hoofddirectie Economie, Bedrijven en Nationale rekeningen</t>
  </si>
  <si>
    <t>Dhr. Dr. H. Verduin</t>
  </si>
  <si>
    <t>Informatie voor derden (Iv3)</t>
  </si>
  <si>
    <t>Saldo van de rekening van baten en lasten</t>
  </si>
  <si>
    <t>Resultaat van de rekening van baten en lasten</t>
  </si>
  <si>
    <t>Overige inkomensover-drachten</t>
  </si>
  <si>
    <t>Algemene toelichting bij de levering Informatie voor derden (Iv3).</t>
  </si>
  <si>
    <t>A1331a</t>
  </si>
  <si>
    <t>A1332a</t>
  </si>
  <si>
    <t>A1332b</t>
  </si>
  <si>
    <t>A222a</t>
  </si>
  <si>
    <t>Rekening courant verhouding met het Rijk</t>
  </si>
  <si>
    <t>A223a</t>
  </si>
  <si>
    <t>A225a</t>
  </si>
  <si>
    <t>A225b</t>
  </si>
  <si>
    <t>P135a</t>
  </si>
  <si>
    <t>P211a</t>
  </si>
  <si>
    <t>Banksaldi</t>
  </si>
  <si>
    <t>Vlottende schuld: Banksaldi</t>
  </si>
  <si>
    <r>
      <t>Let op</t>
    </r>
    <r>
      <rPr>
        <sz val="10"/>
        <color indexed="8"/>
        <rFont val="Arial"/>
        <family val="2"/>
      </rPr>
      <t xml:space="preserve">: Wijzigingen van de contactpersoon kunt u niet via de upload-pagina doorvoeren. Mutaties van de contactpersoon dient u via </t>
    </r>
    <r>
      <rPr>
        <u/>
        <sz val="10"/>
        <color indexed="8"/>
        <rFont val="Arial"/>
        <family val="2"/>
      </rPr>
      <t>https://www.rijksoverheid.nl/onderwerpen/provincies/provinciale-financien/specifieke-uitkeringeb/doorgeven-of-wijzigen-contactgegevens-sisa-en-of-iv3</t>
    </r>
    <r>
      <rPr>
        <sz val="10"/>
        <color indexed="8"/>
        <rFont val="Arial"/>
        <family val="2"/>
      </rPr>
      <t>, door te geven aan het Ministerie van BZK.</t>
    </r>
  </si>
  <si>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verloopt de communicatie over de levering van de Iv3 en de berichtgever uitsluitend via deze contactpersoon. Het ministerie van BZK gaat uit van de huidige lijst van contactpersonen, zoals deze bij het CBS bekend zijn. Wijziging van de contactpersoon dient u via https://www.rijksoverheid.nl/onderwerpen/provincies/provinciale-financien/specifieke-uitkeringeb/doorgeven-of-wijzigen-contactgegevens-sisa-en-of-iv3 door te geven aan het Ministerie van BZK.</t>
    </r>
  </si>
  <si>
    <t>Den Haag, februari 2015</t>
  </si>
  <si>
    <t>De kwartaalgegevens dienen binnen één maand na afloop van het kwartaal, voorzien van een verklaring van het college, door het CBS ontvangen te zijn. Voor aanlevering van het vierde kwartaal 2015 geldt een uiterste inzenddatum van 14 februari 2016. De (automatisch) te vullen formulieren zijn voor alle kwartaalleveringen voor het jaar 2015.</t>
  </si>
  <si>
    <r>
      <t xml:space="preserve">       </t>
    </r>
    <r>
      <rPr>
        <b/>
        <sz val="10"/>
        <rFont val="Courier"/>
        <family val="3"/>
      </rPr>
      <t>KRDjjp03nnnn.xls</t>
    </r>
    <r>
      <rPr>
        <sz val="10"/>
        <rFont val="Arial"/>
        <family val="2"/>
      </rPr>
      <t xml:space="preserve"> (bijv. KRD151030006.xls)</t>
    </r>
  </si>
  <si>
    <r>
      <t xml:space="preserve">       </t>
    </r>
    <r>
      <rPr>
        <b/>
        <sz val="10"/>
        <rFont val="Courier"/>
        <family val="3"/>
      </rPr>
      <t>AKKjjp03nnnn.pdf</t>
    </r>
    <r>
      <rPr>
        <sz val="10"/>
        <rFont val="Arial"/>
        <family val="2"/>
      </rPr>
      <t xml:space="preserve"> (bijv. AKK151030006.pdf)</t>
    </r>
  </si>
  <si>
    <r>
      <t xml:space="preserve">       </t>
    </r>
    <r>
      <rPr>
        <b/>
        <sz val="10"/>
        <rFont val="Courier"/>
        <family val="3"/>
      </rPr>
      <t>KRDjjp03nnnn.zip</t>
    </r>
    <r>
      <rPr>
        <sz val="10"/>
        <rFont val="Arial"/>
        <family val="2"/>
      </rPr>
      <t xml:space="preserve"> (bijv. KRD151030006.zip)</t>
    </r>
  </si>
  <si>
    <t xml:space="preserve">                                                                                      Kredo - 2015 - periode 1 - provincie - Utrecht</t>
  </si>
  <si>
    <r>
      <t xml:space="preserve">                      </t>
    </r>
    <r>
      <rPr>
        <b/>
        <sz val="10"/>
        <rFont val="Arial"/>
        <family val="2"/>
      </rPr>
      <t>jj</t>
    </r>
    <r>
      <rPr>
        <sz val="10"/>
        <rFont val="Arial"/>
        <family val="2"/>
      </rPr>
      <t xml:space="preserve">  = jaar, bijvoorbeeld voor 2015 wordt het 15</t>
    </r>
  </si>
  <si>
    <r>
      <t xml:space="preserve">Voor de kwartaalgegevens is de uiterlijke inzendtermijn </t>
    </r>
    <r>
      <rPr>
        <b/>
        <sz val="10"/>
        <color indexed="10"/>
        <rFont val="Arial"/>
        <family val="2"/>
      </rPr>
      <t xml:space="preserve">één maand na afloop van het kwartaal. Voor aanlevering van het vierde kwartaal 2015 geldt een uiterste inzenddatum van 14 februari 2016. </t>
    </r>
  </si>
  <si>
    <t>Dit bestand is bestemd voor alle kwartaalleveringen over 2015.</t>
  </si>
  <si>
    <t>Wijzigingen model 2015</t>
  </si>
  <si>
    <t>Financiële vaste activa: Leningen aan openbare lichamen (art. 1a Wet Fido)</t>
  </si>
  <si>
    <t>A1331b</t>
  </si>
  <si>
    <t>Financiële vaste activa: Uitzettingen in ’s Rijks schatkist met een looptijd ≥ 1 jaar</t>
  </si>
  <si>
    <t>Financiële vaste activa: Uitzettingen in de vorm van Nederlands schuldpapier met een looptijd ≥ 1 jaar</t>
  </si>
  <si>
    <t>A1332c</t>
  </si>
  <si>
    <t>Financiële vaste activa: Overige uitzettingen met een looptijd ≥ 1 jaar</t>
  </si>
  <si>
    <t>Uitzettingen: Verstrekte kasgeldleningen aan openbare lichamen (art. 1a Wet Fido)</t>
  </si>
  <si>
    <t>A222b</t>
  </si>
  <si>
    <t>Uitzettingen: Overige verstrekte kasgeldleningen</t>
  </si>
  <si>
    <t>Uitzettingen: Rekening courant verhouding met het Rijk</t>
  </si>
  <si>
    <t>A223b</t>
  </si>
  <si>
    <t>Uitzettingen: Rekening courant verhoudingen overige niet-financiële instellingen</t>
  </si>
  <si>
    <t>Uitzettingen: Uitzettingen in ’s Rijks schatkist met een looptijd &lt; 1 jaar</t>
  </si>
  <si>
    <t>Uitzettingen: Uitzettingen in de vorm van Nederlands schuldpapier met een looptijd &lt; 1 jaar</t>
  </si>
  <si>
    <t>A225c</t>
  </si>
  <si>
    <t>Uitzettingen: Overige uitzettingen met een looptijd &lt; 1 jaar</t>
  </si>
  <si>
    <t>Liquide middelen (kas- en banksaldi)</t>
  </si>
  <si>
    <t>A29a</t>
  </si>
  <si>
    <t>Overlopende activa: Nog te ontvangen bijdragen van de EU</t>
  </si>
  <si>
    <t>A29b</t>
  </si>
  <si>
    <t>Overlopende activa: Nog te ontvangen bijdragen van het Rijk</t>
  </si>
  <si>
    <t>A29c</t>
  </si>
  <si>
    <t>Overlopende activa: Nog te ontvangen bijdragen van overige overheid</t>
  </si>
  <si>
    <t>A29d</t>
  </si>
  <si>
    <t>Overlopende activa: Overige overlopende activa</t>
  </si>
  <si>
    <t>Eigen vermogen: Bestemmingsreserves</t>
  </si>
  <si>
    <t>Vaste schuld: Onderhandse leningen van openbare lichamen (art. 1a Wet Fido)</t>
  </si>
  <si>
    <t>P135b</t>
  </si>
  <si>
    <t>Vaste schuld: Onderhandse leningen van buitenlandse instellingen</t>
  </si>
  <si>
    <t>Vaste schuld: Waarborgsommen</t>
  </si>
  <si>
    <t>Vlottende schuld: Kasgeldleningen van openbare lichamen (art. 1a Wet Fido)</t>
  </si>
  <si>
    <t>P211b</t>
  </si>
  <si>
    <t>Vlottende schuld: Overige kasgeldleningen</t>
  </si>
  <si>
    <t>P29a</t>
  </si>
  <si>
    <t>Overlopende passiva: Vooruit ontvangen bijdragen van de EU</t>
  </si>
  <si>
    <t>P29b</t>
  </si>
  <si>
    <t>Overlopende passiva: Vooruit ontvangen bijdragen van het Rijk</t>
  </si>
  <si>
    <t>P29c</t>
  </si>
  <si>
    <t>Overlopende passiva: Vooruit ontvangen bijdragen van overige overheid</t>
  </si>
  <si>
    <t>P29d</t>
  </si>
  <si>
    <t>Overlopende passiva: Overige overlopende passiva</t>
  </si>
  <si>
    <t>Leningen aan openbare lichamen (art. 1a Wet Fido)</t>
  </si>
  <si>
    <t>Uitzettingen in ’s Rijks schatkist met een looptijd ≥ 1 jaar</t>
  </si>
  <si>
    <t>Uitzettingen in de vorm van Nederlands schuldpapier met een looptijd ≥ 1 jaar</t>
  </si>
  <si>
    <t>Overige uitzettingen met een looptijd ≥ 1 jaar</t>
  </si>
  <si>
    <t>Verstrekte kasgeldleningen aan openbare lichamen (art. 1a Wet Fido)</t>
  </si>
  <si>
    <t>Overige verstrekte kasgeldleningen</t>
  </si>
  <si>
    <t>Rekening courant verhoudingen overige niet-financiële instellingen</t>
  </si>
  <si>
    <r>
      <t xml:space="preserve">Uitzettingen in ’s Rijks schatkist met een looptijd </t>
    </r>
    <r>
      <rPr>
        <sz val="10"/>
        <rFont val="Calibri"/>
        <family val="2"/>
      </rPr>
      <t>&lt;</t>
    </r>
    <r>
      <rPr>
        <sz val="10"/>
        <rFont val="Arial"/>
        <family val="2"/>
      </rPr>
      <t xml:space="preserve"> 1 jaar</t>
    </r>
  </si>
  <si>
    <t>Uitzettingen in de vorm van Nederlands schuldpapier met een looptijd &lt; 1 jaar</t>
  </si>
  <si>
    <t>Overige uitzettingen met een looptijd &lt; 1 jaar</t>
  </si>
  <si>
    <t>Nog te ontvangen bijdragen van de EU</t>
  </si>
  <si>
    <t>Nog te ontvangen bijdragen van het Rijk</t>
  </si>
  <si>
    <t>Nog te ontvangen bijdragen van overige overheid</t>
  </si>
  <si>
    <t>Overige overlopende activa</t>
  </si>
  <si>
    <t>Onderhandse leningen van openbare lichamen (art. 1a Wet Fido)</t>
  </si>
  <si>
    <t>Onderhandse leningen van buitenlandse instellingen</t>
  </si>
  <si>
    <t>Kasgeldleningen van openbare lichamen (art. 1a Wet Fido)</t>
  </si>
  <si>
    <t>Overige kasgeldleningen</t>
  </si>
  <si>
    <t xml:space="preserve">Vooruit ontvangen bijdragen van de EU </t>
  </si>
  <si>
    <t>Vooruit ontvangen bijdragen van het Rijk</t>
  </si>
  <si>
    <t>Vooruit ontvangen bijdragen van overige overheid</t>
  </si>
  <si>
    <t>Overige overlopende passiva</t>
  </si>
  <si>
    <t>De indeling van de balansposten is aangepast vanwege de invoering van het schatkistbankieren. Meer informatie over de wijzigingen is te vinden op de website van het Ministerie van Binnenlandse Zaken en Koninkrijksrelaties: http://www.rijksoverheid.nl/ministeries/bzk/documenten-en-publicaties/publicaties/2014/06/13/totaaloverzicht-met-aanpassingen-iv3-informatievraag-2015-provincies.html</t>
  </si>
  <si>
    <t>Directeur statistieken overheidsfinanciën en consumentenprijzen</t>
  </si>
  <si>
    <r>
      <t xml:space="preserve">Het model van de Iv3-matrix voor 2015 is veranderd ten aanzien van de indeling van balansmutaties en -standen door invoering van het schatkistbankieren. </t>
    </r>
    <r>
      <rPr>
        <sz val="10"/>
        <rFont val="Arial"/>
        <family val="2"/>
      </rPr>
      <t>De indeling van de functies en categorieën is ongewijzigd gebleven.</t>
    </r>
  </si>
  <si>
    <t>Groningen</t>
  </si>
  <si>
    <t>0001</t>
  </si>
  <si>
    <t>G.A. Veldman-Perdok</t>
  </si>
  <si>
    <t>Financiën &amp; Control</t>
  </si>
  <si>
    <t>Financieel beleidsmedewerkster</t>
  </si>
  <si>
    <t>050 3164261</t>
  </si>
  <si>
    <t>g.a.veldman.perdok@provinciegroningen.nl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</si>
</sst>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3" x14ac:knownFonts="1">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b/>
      <i/>
      <sz val="10"/>
      <color indexed="10"/>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sz val="8"/>
      <color indexed="10"/>
      <name val="Arial"/>
      <family val="2"/>
    </font>
    <font>
      <u/>
      <sz val="10"/>
      <name val="Arial"/>
      <family val="2"/>
    </font>
    <font>
      <u/>
      <sz val="10"/>
      <color indexed="8"/>
      <name val="Arial"/>
      <family val="2"/>
    </font>
    <font>
      <b/>
      <sz val="13"/>
      <color indexed="48"/>
      <name val="Arial"/>
      <family val="2"/>
    </font>
    <font>
      <b/>
      <sz val="8"/>
      <color indexed="10"/>
      <name val="Arial"/>
      <family val="2"/>
    </font>
    <font>
      <sz val="10"/>
      <name val="Calibri"/>
      <family val="2"/>
    </font>
    <font>
      <b/>
      <sz val="9"/>
      <color indexed="17"/>
      <name val="Arial"/>
      <family val="2"/>
    </font>
    <font>
      <b/>
      <sz val="9"/>
      <color indexed="10"/>
      <name val="Arial"/>
      <family val="2"/>
    </font>
    <font>
      <sz val="11"/>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41"/>
        <bgColor indexed="64"/>
      </patternFill>
    </fill>
    <fill>
      <patternFill patternType="solid">
        <fgColor indexed="8"/>
        <bgColor indexed="64"/>
      </patternFill>
    </fill>
    <fill>
      <patternFill patternType="solid">
        <fgColor indexed="13"/>
        <bgColor indexed="64"/>
      </patternFill>
    </fill>
  </fills>
  <borders count="90">
    <border>
      <left/>
      <right/>
      <top/>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style="thin">
        <color indexed="64"/>
      </left>
      <right style="thin">
        <color indexed="64"/>
      </right>
      <top style="hair">
        <color indexed="22"/>
      </top>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style="thin">
        <color indexed="22"/>
      </right>
      <top style="thin">
        <color indexed="22"/>
      </top>
      <bottom/>
      <diagonal/>
    </border>
    <border>
      <left style="medium">
        <color indexed="64"/>
      </left>
      <right style="thin">
        <color indexed="64"/>
      </right>
      <top/>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right/>
      <top style="thin">
        <color indexed="22"/>
      </top>
      <bottom/>
      <diagonal/>
    </border>
    <border>
      <left/>
      <right/>
      <top/>
      <bottom style="thin">
        <color indexed="22"/>
      </bottom>
      <diagonal/>
    </border>
    <border>
      <left style="thin">
        <color indexed="22"/>
      </left>
      <right/>
      <top style="thin">
        <color indexed="22"/>
      </top>
      <bottom style="thin">
        <color indexed="22"/>
      </bottom>
      <diagonal/>
    </border>
    <border>
      <left/>
      <right style="medium">
        <color indexed="64"/>
      </right>
      <top style="thin">
        <color indexed="64"/>
      </top>
      <bottom style="medium">
        <color indexed="64"/>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531">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9" fillId="0" borderId="0" xfId="0" applyNumberFormat="1" applyFont="1" applyAlignment="1" applyProtection="1">
      <alignment wrapText="1"/>
    </xf>
    <xf numFmtId="49" fontId="9"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0" borderId="0" xfId="0" applyNumberFormat="1" applyFont="1"/>
    <xf numFmtId="49" fontId="17" fillId="0" borderId="0" xfId="0" applyNumberFormat="1" applyFont="1" applyBorder="1"/>
    <xf numFmtId="0" fontId="19" fillId="2" borderId="0" xfId="0" applyFont="1" applyFill="1" applyAlignment="1" applyProtection="1">
      <alignment horizontal="right"/>
    </xf>
    <xf numFmtId="49" fontId="17" fillId="0" borderId="0" xfId="0" applyNumberFormat="1" applyFont="1" applyAlignment="1">
      <alignment vertical="center"/>
    </xf>
    <xf numFmtId="49" fontId="17" fillId="0" borderId="0" xfId="0" applyNumberFormat="1" applyFont="1" applyAlignment="1"/>
    <xf numFmtId="0" fontId="7" fillId="0" borderId="0" xfId="0" applyFont="1" applyAlignment="1" applyProtection="1">
      <alignment horizontal="left"/>
    </xf>
    <xf numFmtId="0" fontId="18" fillId="3" borderId="0" xfId="0" applyFont="1" applyFill="1" applyBorder="1" applyAlignment="1" applyProtection="1">
      <alignment horizontal="center"/>
    </xf>
    <xf numFmtId="0" fontId="19" fillId="3" borderId="0" xfId="0" applyFont="1" applyFill="1" applyBorder="1" applyAlignment="1" applyProtection="1">
      <alignment horizontal="center"/>
    </xf>
    <xf numFmtId="0" fontId="7" fillId="0" borderId="0" xfId="0" applyFont="1" applyFill="1" applyProtection="1"/>
    <xf numFmtId="0" fontId="21" fillId="3" borderId="0" xfId="0" applyFont="1" applyFill="1" applyBorder="1" applyAlignment="1" applyProtection="1">
      <alignment horizontal="left"/>
    </xf>
    <xf numFmtId="0" fontId="7" fillId="2" borderId="0" xfId="0" applyFont="1" applyFill="1" applyBorder="1" applyAlignment="1" applyProtection="1">
      <alignment horizontal="center"/>
    </xf>
    <xf numFmtId="0" fontId="22" fillId="0" borderId="2" xfId="0" applyFont="1" applyFill="1" applyBorder="1" applyAlignment="1">
      <alignment horizontal="left" vertical="top"/>
    </xf>
    <xf numFmtId="0" fontId="22" fillId="0" borderId="3" xfId="0" applyFont="1" applyFill="1" applyBorder="1" applyAlignment="1">
      <alignment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1" fontId="22" fillId="0" borderId="7" xfId="0" applyNumberFormat="1" applyFont="1" applyFill="1" applyBorder="1" applyAlignment="1">
      <alignment horizontal="left"/>
    </xf>
    <xf numFmtId="1" fontId="22" fillId="0" borderId="8" xfId="0" applyNumberFormat="1" applyFont="1" applyFill="1" applyBorder="1" applyAlignment="1">
      <alignment horizontal="right" vertical="center"/>
    </xf>
    <xf numFmtId="0" fontId="23" fillId="0" borderId="0" xfId="0" applyFont="1" applyBorder="1" applyAlignment="1">
      <alignment vertical="center"/>
    </xf>
    <xf numFmtId="0" fontId="2" fillId="0" borderId="9" xfId="0" applyFont="1" applyFill="1" applyBorder="1" applyAlignment="1">
      <alignment vertical="center"/>
    </xf>
    <xf numFmtId="0" fontId="23" fillId="0" borderId="0" xfId="0" applyFont="1" applyFill="1" applyBorder="1" applyAlignment="1">
      <alignment vertical="center"/>
    </xf>
    <xf numFmtId="0" fontId="2" fillId="2" borderId="10" xfId="0" applyFont="1" applyFill="1" applyBorder="1" applyAlignment="1">
      <alignment vertical="center"/>
    </xf>
    <xf numFmtId="0" fontId="23" fillId="2" borderId="11" xfId="0" applyFont="1" applyFill="1" applyBorder="1" applyAlignment="1">
      <alignment vertical="center"/>
    </xf>
    <xf numFmtId="0" fontId="23" fillId="0" borderId="0" xfId="0" applyFont="1" applyBorder="1"/>
    <xf numFmtId="0" fontId="23" fillId="2" borderId="13" xfId="0" applyFont="1" applyFill="1" applyBorder="1" applyAlignment="1">
      <alignment vertical="center"/>
    </xf>
    <xf numFmtId="0" fontId="23" fillId="2" borderId="14" xfId="0" applyFont="1" applyFill="1" applyBorder="1" applyAlignment="1">
      <alignment vertical="center"/>
    </xf>
    <xf numFmtId="0" fontId="23" fillId="0" borderId="15" xfId="0" applyFont="1" applyFill="1" applyBorder="1" applyAlignment="1" applyProtection="1">
      <alignment horizontal="right" vertical="center"/>
      <protection locked="0"/>
    </xf>
    <xf numFmtId="0" fontId="23" fillId="2" borderId="0" xfId="0" applyFont="1" applyFill="1" applyBorder="1" applyAlignment="1" applyProtection="1">
      <alignment horizontal="right" vertical="center"/>
      <protection locked="0"/>
    </xf>
    <xf numFmtId="0" fontId="23" fillId="2" borderId="19" xfId="0" applyFont="1" applyFill="1" applyBorder="1" applyAlignment="1" applyProtection="1">
      <alignment horizontal="right" vertical="center"/>
      <protection locked="0"/>
    </xf>
    <xf numFmtId="0" fontId="2" fillId="0" borderId="0" xfId="0" applyFont="1" applyFill="1" applyBorder="1" applyAlignment="1">
      <alignment vertical="center"/>
    </xf>
    <xf numFmtId="0" fontId="27" fillId="4" borderId="0" xfId="0" applyFont="1" applyFill="1" applyAlignment="1" applyProtection="1">
      <alignment vertical="center"/>
    </xf>
    <xf numFmtId="0" fontId="23" fillId="0" borderId="0" xfId="0" applyFont="1" applyAlignment="1" applyProtection="1">
      <alignment vertical="center"/>
    </xf>
    <xf numFmtId="0" fontId="27" fillId="0" borderId="0" xfId="0" applyFont="1" applyFill="1" applyAlignment="1" applyProtection="1">
      <alignment vertical="center"/>
    </xf>
    <xf numFmtId="0" fontId="28"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2" borderId="0" xfId="0" applyFont="1" applyFill="1" applyAlignment="1" applyProtection="1">
      <alignment horizontal="center"/>
    </xf>
    <xf numFmtId="49" fontId="29" fillId="2" borderId="0" xfId="0" applyNumberFormat="1" applyFont="1" applyFill="1" applyBorder="1" applyAlignment="1" applyProtection="1">
      <alignment horizontal="left"/>
    </xf>
    <xf numFmtId="0" fontId="29" fillId="2" borderId="0" xfId="0" applyFont="1" applyFill="1" applyAlignment="1" applyProtection="1"/>
    <xf numFmtId="168" fontId="29" fillId="2" borderId="0" xfId="0" applyNumberFormat="1" applyFont="1" applyFill="1" applyAlignment="1" applyProtection="1">
      <alignment horizontal="right"/>
    </xf>
    <xf numFmtId="0" fontId="19" fillId="2" borderId="0" xfId="0" applyFont="1" applyFill="1" applyAlignment="1" applyProtection="1"/>
    <xf numFmtId="165" fontId="19" fillId="3" borderId="0" xfId="0" applyNumberFormat="1" applyFont="1" applyFill="1" applyBorder="1" applyAlignment="1" applyProtection="1"/>
    <xf numFmtId="0" fontId="19" fillId="3" borderId="0" xfId="0" applyFont="1" applyFill="1" applyBorder="1" applyAlignment="1" applyProtection="1"/>
    <xf numFmtId="0" fontId="4" fillId="0" borderId="0" xfId="0" applyFont="1" applyBorder="1" applyAlignment="1" applyProtection="1"/>
    <xf numFmtId="0" fontId="7" fillId="2" borderId="24" xfId="0" applyFont="1" applyFill="1" applyBorder="1" applyAlignment="1" applyProtection="1"/>
    <xf numFmtId="49" fontId="7" fillId="2" borderId="0" xfId="0" applyNumberFormat="1" applyFont="1" applyFill="1" applyBorder="1" applyAlignment="1" applyProtection="1">
      <alignment horizontal="center"/>
    </xf>
    <xf numFmtId="165" fontId="29" fillId="2" borderId="0" xfId="0" applyNumberFormat="1" applyFont="1" applyFill="1" applyAlignment="1" applyProtection="1">
      <alignment horizontal="center"/>
    </xf>
    <xf numFmtId="166" fontId="29" fillId="2" borderId="0" xfId="0" applyNumberFormat="1" applyFont="1" applyFill="1" applyAlignment="1" applyProtection="1">
      <alignment horizontal="center"/>
    </xf>
    <xf numFmtId="0" fontId="7" fillId="2" borderId="0" xfId="0" applyFont="1" applyFill="1" applyBorder="1" applyAlignment="1" applyProtection="1"/>
    <xf numFmtId="0" fontId="30" fillId="0" borderId="0" xfId="0" applyFont="1" applyBorder="1" applyAlignment="1"/>
    <xf numFmtId="0" fontId="7" fillId="2" borderId="0" xfId="0" applyFont="1" applyFill="1" applyAlignment="1" applyProtection="1"/>
    <xf numFmtId="0" fontId="1" fillId="0" borderId="0" xfId="0" applyFont="1" applyBorder="1" applyAlignment="1"/>
    <xf numFmtId="3" fontId="7" fillId="0" borderId="1" xfId="0" applyNumberFormat="1" applyFont="1" applyBorder="1" applyAlignment="1" applyProtection="1">
      <protection locked="0"/>
    </xf>
    <xf numFmtId="0" fontId="7" fillId="0" borderId="1" xfId="0" applyFont="1" applyBorder="1" applyAlignment="1" applyProtection="1">
      <protection locked="0"/>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1" fillId="0" borderId="0" xfId="4" applyNumberFormat="1" applyFont="1" applyFill="1" applyBorder="1" applyAlignment="1">
      <alignment horizontal="left"/>
    </xf>
    <xf numFmtId="165" fontId="29" fillId="2" borderId="0" xfId="0" applyNumberFormat="1" applyFont="1" applyFill="1" applyBorder="1" applyAlignment="1" applyProtection="1">
      <alignment horizontal="center"/>
    </xf>
    <xf numFmtId="0" fontId="30" fillId="0" borderId="0" xfId="0" applyFont="1" applyFill="1" applyBorder="1" applyAlignment="1"/>
    <xf numFmtId="0" fontId="7" fillId="0" borderId="0" xfId="0" applyFont="1" applyAlignment="1" applyProtection="1">
      <alignment horizontal="center"/>
    </xf>
    <xf numFmtId="0" fontId="2" fillId="0" borderId="26"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2" borderId="26" xfId="0" applyFont="1" applyFill="1" applyBorder="1" applyAlignment="1">
      <alignment vertical="top"/>
    </xf>
    <xf numFmtId="0" fontId="23" fillId="2" borderId="27" xfId="0" applyFont="1" applyFill="1" applyBorder="1" applyAlignment="1">
      <alignment vertical="top"/>
    </xf>
    <xf numFmtId="0" fontId="23" fillId="2" borderId="19" xfId="0" applyFont="1" applyFill="1" applyBorder="1" applyAlignment="1">
      <alignment horizontal="center" vertical="center" textRotation="90" wrapText="1"/>
    </xf>
    <xf numFmtId="0" fontId="23" fillId="2" borderId="0" xfId="0" applyFont="1" applyFill="1" applyBorder="1" applyAlignment="1">
      <alignment horizontal="center" vertical="center" textRotation="90" wrapText="1"/>
    </xf>
    <xf numFmtId="0" fontId="23" fillId="2" borderId="28" xfId="0" applyFont="1" applyFill="1" applyBorder="1" applyAlignment="1">
      <alignment horizontal="center" vertical="center" textRotation="90" wrapText="1"/>
    </xf>
    <xf numFmtId="0" fontId="23" fillId="0" borderId="25" xfId="0" applyFont="1" applyBorder="1" applyAlignment="1">
      <alignment horizontal="center" vertical="center"/>
    </xf>
    <xf numFmtId="0" fontId="23" fillId="0" borderId="26" xfId="0" applyFont="1" applyFill="1" applyBorder="1" applyAlignment="1">
      <alignment vertical="center"/>
    </xf>
    <xf numFmtId="0" fontId="23" fillId="0" borderId="31" xfId="0" applyFont="1" applyBorder="1" applyAlignment="1">
      <alignment horizontal="center" vertical="center"/>
    </xf>
    <xf numFmtId="0" fontId="23" fillId="2" borderId="10" xfId="0" applyFont="1" applyFill="1" applyBorder="1" applyAlignment="1">
      <alignment vertical="center"/>
    </xf>
    <xf numFmtId="0" fontId="23" fillId="2" borderId="32" xfId="0" applyFont="1" applyFill="1" applyBorder="1" applyAlignment="1" applyProtection="1">
      <alignment horizontal="right" vertical="center"/>
      <protection locked="0"/>
    </xf>
    <xf numFmtId="0" fontId="2" fillId="0" borderId="9" xfId="0" applyFont="1" applyBorder="1" applyAlignment="1">
      <alignment vertical="center"/>
    </xf>
    <xf numFmtId="0" fontId="23" fillId="2" borderId="33" xfId="0" applyFont="1" applyFill="1" applyBorder="1" applyAlignment="1" applyProtection="1">
      <alignment horizontal="right" vertical="center"/>
      <protection locked="0"/>
    </xf>
    <xf numFmtId="0" fontId="23" fillId="0" borderId="10" xfId="0" applyFont="1" applyBorder="1" applyAlignment="1">
      <alignment horizontal="center" vertical="center"/>
    </xf>
    <xf numFmtId="0" fontId="23" fillId="0" borderId="34" xfId="0" applyFont="1" applyBorder="1" applyAlignment="1">
      <alignment horizontal="center" vertical="center"/>
    </xf>
    <xf numFmtId="0" fontId="23" fillId="2" borderId="34" xfId="0" applyFont="1" applyFill="1" applyBorder="1" applyAlignment="1">
      <alignment vertical="center"/>
    </xf>
    <xf numFmtId="0" fontId="23" fillId="2" borderId="27" xfId="0" applyFont="1" applyFill="1" applyBorder="1" applyAlignment="1">
      <alignment vertical="center"/>
    </xf>
    <xf numFmtId="0" fontId="22" fillId="0" borderId="26" xfId="0" applyFont="1" applyFill="1" applyBorder="1" applyAlignment="1">
      <alignment vertical="center"/>
    </xf>
    <xf numFmtId="0" fontId="22" fillId="0" borderId="0" xfId="0" applyFont="1" applyFill="1" applyBorder="1" applyAlignment="1">
      <alignment vertical="center"/>
    </xf>
    <xf numFmtId="0" fontId="23" fillId="0" borderId="25" xfId="0" applyFont="1" applyBorder="1" applyAlignment="1">
      <alignment vertical="center"/>
    </xf>
    <xf numFmtId="0" fontId="2" fillId="0" borderId="26" xfId="0" applyFont="1" applyFill="1" applyBorder="1" applyAlignment="1">
      <alignment vertical="center"/>
    </xf>
    <xf numFmtId="0" fontId="23" fillId="0" borderId="25" xfId="0" applyFont="1" applyBorder="1" applyAlignment="1">
      <alignment horizontal="center"/>
    </xf>
    <xf numFmtId="0" fontId="2" fillId="0" borderId="37" xfId="0" applyFont="1" applyBorder="1" applyAlignment="1">
      <alignment vertical="center"/>
    </xf>
    <xf numFmtId="0" fontId="2" fillId="0" borderId="37" xfId="0" applyFont="1" applyFill="1" applyBorder="1" applyAlignment="1">
      <alignment vertical="center"/>
    </xf>
    <xf numFmtId="0" fontId="23" fillId="0" borderId="0" xfId="0" applyFont="1" applyFill="1" applyBorder="1"/>
    <xf numFmtId="0" fontId="23" fillId="0" borderId="19" xfId="0" applyFont="1" applyFill="1" applyBorder="1" applyAlignment="1">
      <alignment vertical="center"/>
    </xf>
    <xf numFmtId="0" fontId="2" fillId="0" borderId="19" xfId="0" applyFont="1" applyFill="1" applyBorder="1" applyAlignment="1">
      <alignment vertical="center"/>
    </xf>
    <xf numFmtId="0" fontId="23" fillId="0" borderId="0" xfId="0" applyFont="1" applyBorder="1" applyAlignment="1">
      <alignment horizontal="center"/>
    </xf>
    <xf numFmtId="0" fontId="23" fillId="2" borderId="19" xfId="0" applyFont="1" applyFill="1" applyBorder="1" applyAlignment="1" applyProtection="1">
      <alignment horizontal="center" vertical="center" textRotation="90" wrapText="1"/>
    </xf>
    <xf numFmtId="0" fontId="23" fillId="2" borderId="0" xfId="0" applyFont="1" applyFill="1" applyBorder="1" applyAlignment="1" applyProtection="1">
      <alignment horizontal="center" vertical="center" textRotation="90" wrapText="1"/>
    </xf>
    <xf numFmtId="0" fontId="1" fillId="2" borderId="0" xfId="0" applyFont="1" applyFill="1" applyBorder="1" applyAlignment="1" applyProtection="1">
      <alignment horizontal="center"/>
    </xf>
    <xf numFmtId="3" fontId="7" fillId="2" borderId="1" xfId="0" applyNumberFormat="1" applyFont="1" applyFill="1" applyBorder="1" applyAlignment="1" applyProtection="1"/>
    <xf numFmtId="0" fontId="0" fillId="0" borderId="0" xfId="0" applyAlignment="1"/>
    <xf numFmtId="0" fontId="1" fillId="0" borderId="0" xfId="0" applyFont="1"/>
    <xf numFmtId="0" fontId="23" fillId="0" borderId="41" xfId="0" applyFont="1" applyFill="1" applyBorder="1" applyAlignment="1" applyProtection="1">
      <alignment horizontal="right" vertical="center"/>
      <protection locked="0"/>
    </xf>
    <xf numFmtId="0" fontId="23" fillId="2" borderId="43" xfId="0" applyFont="1" applyFill="1" applyBorder="1" applyAlignment="1" applyProtection="1">
      <alignment horizontal="right" vertical="center"/>
      <protection locked="0"/>
    </xf>
    <xf numFmtId="0" fontId="17" fillId="2" borderId="33" xfId="0" applyFont="1" applyFill="1" applyBorder="1" applyAlignment="1" applyProtection="1">
      <alignment horizontal="right" vertical="center"/>
      <protection locked="0"/>
    </xf>
    <xf numFmtId="0" fontId="2" fillId="0" borderId="47" xfId="0" applyFont="1" applyBorder="1" applyAlignment="1">
      <alignment horizontal="center" vertical="center"/>
    </xf>
    <xf numFmtId="0" fontId="23" fillId="2" borderId="39" xfId="0" applyFont="1" applyFill="1" applyBorder="1" applyAlignment="1">
      <alignment vertical="top"/>
    </xf>
    <xf numFmtId="0" fontId="23" fillId="2" borderId="48" xfId="0" applyFont="1" applyFill="1" applyBorder="1" applyAlignment="1">
      <alignment vertical="top"/>
    </xf>
    <xf numFmtId="0" fontId="2" fillId="0" borderId="49" xfId="0" applyFont="1" applyBorder="1" applyAlignment="1">
      <alignment vertical="center"/>
    </xf>
    <xf numFmtId="0" fontId="23" fillId="0" borderId="50" xfId="0" applyFont="1" applyBorder="1" applyAlignment="1">
      <alignment vertical="center"/>
    </xf>
    <xf numFmtId="0" fontId="2" fillId="0" borderId="12" xfId="0" applyFont="1" applyBorder="1" applyAlignment="1">
      <alignment vertical="center"/>
    </xf>
    <xf numFmtId="0" fontId="2" fillId="0" borderId="12" xfId="0" applyFont="1" applyFill="1" applyBorder="1" applyAlignment="1">
      <alignment vertical="center"/>
    </xf>
    <xf numFmtId="0" fontId="23" fillId="0" borderId="49" xfId="0" applyFont="1" applyBorder="1"/>
    <xf numFmtId="0" fontId="23" fillId="0" borderId="49" xfId="0" applyFont="1" applyFill="1" applyBorder="1"/>
    <xf numFmtId="0" fontId="23" fillId="0" borderId="50" xfId="0" applyFont="1" applyBorder="1"/>
    <xf numFmtId="0" fontId="23" fillId="2" borderId="51" xfId="0" applyFont="1" applyFill="1" applyBorder="1" applyAlignment="1">
      <alignment vertical="center"/>
    </xf>
    <xf numFmtId="0" fontId="23" fillId="2" borderId="48" xfId="0" applyFont="1" applyFill="1" applyBorder="1" applyAlignment="1">
      <alignment vertical="center"/>
    </xf>
    <xf numFmtId="0" fontId="23" fillId="0" borderId="49" xfId="0" applyFont="1" applyFill="1" applyBorder="1" applyAlignment="1">
      <alignment vertical="center"/>
    </xf>
    <xf numFmtId="0" fontId="23" fillId="0" borderId="46" xfId="0" applyFont="1" applyBorder="1" applyAlignment="1">
      <alignment vertical="center"/>
    </xf>
    <xf numFmtId="0" fontId="2" fillId="0" borderId="46" xfId="0" applyFont="1" applyFill="1" applyBorder="1" applyAlignment="1">
      <alignment vertical="center"/>
    </xf>
    <xf numFmtId="0" fontId="23" fillId="0" borderId="52" xfId="0" applyFont="1" applyBorder="1" applyAlignment="1">
      <alignment vertical="center"/>
    </xf>
    <xf numFmtId="0" fontId="30" fillId="0" borderId="0" xfId="0" applyFont="1" applyBorder="1" applyAlignment="1" applyProtection="1"/>
    <xf numFmtId="0" fontId="7" fillId="2" borderId="1" xfId="0" applyFont="1" applyFill="1" applyBorder="1" applyAlignment="1" applyProtection="1"/>
    <xf numFmtId="165" fontId="19" fillId="2" borderId="0" xfId="0" applyNumberFormat="1" applyFont="1" applyFill="1" applyAlignment="1" applyProtection="1"/>
    <xf numFmtId="49" fontId="1" fillId="0" borderId="0" xfId="0" applyNumberFormat="1" applyFont="1" applyFill="1" applyBorder="1"/>
    <xf numFmtId="3" fontId="35" fillId="0" borderId="0" xfId="4" applyNumberFormat="1" applyFont="1" applyFill="1" applyBorder="1" applyAlignment="1">
      <alignment horizontal="left"/>
    </xf>
    <xf numFmtId="0" fontId="1" fillId="0" borderId="0" xfId="0" applyFont="1" applyBorder="1"/>
    <xf numFmtId="0" fontId="7" fillId="0" borderId="54" xfId="0" applyFont="1" applyBorder="1" applyAlignment="1" applyProtection="1"/>
    <xf numFmtId="0" fontId="13" fillId="0" borderId="54" xfId="0" applyFont="1" applyBorder="1" applyAlignment="1" applyProtection="1"/>
    <xf numFmtId="0" fontId="7" fillId="2" borderId="55" xfId="0" applyFont="1" applyFill="1" applyBorder="1" applyAlignment="1" applyProtection="1"/>
    <xf numFmtId="49" fontId="7" fillId="2" borderId="54" xfId="0" applyNumberFormat="1" applyFont="1" applyFill="1" applyBorder="1" applyAlignment="1" applyProtection="1">
      <alignment horizontal="center"/>
    </xf>
    <xf numFmtId="165" fontId="19" fillId="2" borderId="54" xfId="0" applyNumberFormat="1" applyFont="1" applyFill="1" applyBorder="1" applyAlignment="1" applyProtection="1"/>
    <xf numFmtId="166" fontId="29" fillId="2" borderId="54" xfId="0" applyNumberFormat="1" applyFont="1" applyFill="1" applyBorder="1" applyAlignment="1" applyProtection="1">
      <alignment horizontal="center"/>
    </xf>
    <xf numFmtId="0" fontId="7" fillId="2" borderId="54" xfId="0" applyFont="1" applyFill="1" applyBorder="1" applyAlignment="1" applyProtection="1"/>
    <xf numFmtId="0" fontId="13" fillId="0" borderId="0" xfId="0" applyFont="1"/>
    <xf numFmtId="0" fontId="13" fillId="0" borderId="54" xfId="0" applyFont="1" applyBorder="1"/>
    <xf numFmtId="0" fontId="23" fillId="0" borderId="56" xfId="0" applyFont="1" applyBorder="1" applyAlignment="1">
      <alignment horizontal="center" vertical="center" textRotation="90" wrapText="1"/>
    </xf>
    <xf numFmtId="0" fontId="23" fillId="2" borderId="57" xfId="0" applyFont="1" applyFill="1" applyBorder="1" applyAlignment="1">
      <alignment horizontal="center" vertical="center" textRotation="90" wrapText="1"/>
    </xf>
    <xf numFmtId="0" fontId="23" fillId="0" borderId="58" xfId="0" applyFont="1" applyBorder="1" applyAlignment="1">
      <alignment horizontal="center" vertical="center" textRotation="90" wrapText="1"/>
    </xf>
    <xf numFmtId="0" fontId="23" fillId="0" borderId="59" xfId="0" applyFont="1" applyBorder="1" applyAlignment="1">
      <alignment horizontal="center" vertical="center" textRotation="90" wrapText="1"/>
    </xf>
    <xf numFmtId="0" fontId="23" fillId="0" borderId="60" xfId="0" applyFont="1" applyBorder="1" applyAlignment="1">
      <alignment horizontal="center" vertical="center" textRotation="90" wrapText="1"/>
    </xf>
    <xf numFmtId="0" fontId="23" fillId="0" borderId="61" xfId="0" applyFont="1" applyFill="1" applyBorder="1" applyAlignment="1">
      <alignment horizontal="center" vertical="center" textRotation="90" wrapText="1"/>
    </xf>
    <xf numFmtId="0" fontId="23" fillId="0" borderId="62" xfId="0" applyFont="1" applyFill="1" applyBorder="1" applyAlignment="1">
      <alignment horizontal="center" vertical="center" textRotation="90" wrapText="1"/>
    </xf>
    <xf numFmtId="0" fontId="23" fillId="2" borderId="33"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6"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2" borderId="0" xfId="0" applyNumberFormat="1" applyFont="1" applyFill="1" applyAlignment="1">
      <alignment horizontal="justify" vertical="center" wrapText="1"/>
    </xf>
    <xf numFmtId="49" fontId="37"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38" fillId="0" borderId="0" xfId="0" applyNumberFormat="1" applyFont="1" applyAlignment="1">
      <alignment horizontal="left" vertical="center" wrapText="1"/>
    </xf>
    <xf numFmtId="0" fontId="40"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36" fillId="5" borderId="0" xfId="0" applyNumberFormat="1" applyFont="1" applyFill="1" applyBorder="1" applyAlignment="1" applyProtection="1">
      <alignment horizontal="center" wrapText="1"/>
    </xf>
    <xf numFmtId="49" fontId="36"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36"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36"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49" fontId="4" fillId="2" borderId="15" xfId="0" applyNumberFormat="1" applyFont="1" applyFill="1" applyBorder="1" applyAlignment="1" applyProtection="1">
      <alignment wrapText="1"/>
    </xf>
    <xf numFmtId="1" fontId="5" fillId="5" borderId="15" xfId="0" applyNumberFormat="1" applyFont="1" applyFill="1" applyBorder="1" applyAlignment="1" applyProtection="1">
      <alignment horizontal="left" wrapText="1"/>
    </xf>
    <xf numFmtId="0" fontId="5" fillId="5" borderId="15" xfId="0" applyNumberFormat="1" applyFont="1" applyFill="1" applyBorder="1" applyAlignment="1" applyProtection="1">
      <alignment horizontal="left" wrapText="1"/>
    </xf>
    <xf numFmtId="3" fontId="4" fillId="5" borderId="15" xfId="0" applyNumberFormat="1" applyFont="1" applyFill="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2" borderId="15" xfId="0" applyNumberFormat="1" applyFont="1" applyFill="1" applyBorder="1" applyAlignment="1" applyProtection="1">
      <alignment horizontal="left" wrapText="1"/>
    </xf>
    <xf numFmtId="3" fontId="5" fillId="5" borderId="63"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64" xfId="0" applyNumberFormat="1" applyFont="1" applyFill="1" applyBorder="1" applyAlignment="1" applyProtection="1">
      <alignment wrapText="1"/>
    </xf>
    <xf numFmtId="0" fontId="5" fillId="2" borderId="15" xfId="0" applyNumberFormat="1" applyFont="1" applyFill="1" applyBorder="1" applyAlignment="1" applyProtection="1">
      <alignment horizontal="center" wrapText="1"/>
    </xf>
    <xf numFmtId="1" fontId="5" fillId="5" borderId="64" xfId="3" applyNumberFormat="1" applyFont="1" applyFill="1" applyBorder="1" applyAlignment="1" applyProtection="1">
      <alignment horizontal="right" wrapText="1"/>
    </xf>
    <xf numFmtId="49" fontId="5" fillId="2" borderId="15" xfId="0" applyNumberFormat="1" applyFont="1" applyFill="1" applyBorder="1" applyAlignment="1" applyProtection="1">
      <alignment horizontal="center" wrapText="1"/>
    </xf>
    <xf numFmtId="9" fontId="4" fillId="5" borderId="65" xfId="3" applyFont="1" applyFill="1" applyBorder="1" applyAlignment="1" applyProtection="1">
      <alignment horizontal="right" wrapText="1"/>
    </xf>
    <xf numFmtId="49" fontId="42" fillId="6" borderId="15" xfId="0" applyNumberFormat="1" applyFont="1" applyFill="1" applyBorder="1" applyAlignment="1" applyProtection="1">
      <alignment wrapText="1"/>
    </xf>
    <xf numFmtId="0" fontId="21" fillId="6" borderId="15" xfId="0" applyNumberFormat="1" applyFont="1" applyFill="1" applyBorder="1" applyAlignment="1" applyProtection="1">
      <alignment horizontal="right" wrapText="1"/>
    </xf>
    <xf numFmtId="0" fontId="5" fillId="0" borderId="0" xfId="0" applyNumberFormat="1" applyFont="1" applyAlignment="1" applyProtection="1"/>
    <xf numFmtId="49" fontId="13" fillId="0" borderId="23" xfId="0" applyNumberFormat="1" applyFont="1" applyBorder="1" applyAlignment="1" applyProtection="1">
      <alignment wrapText="1"/>
    </xf>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2" borderId="16" xfId="0" applyNumberFormat="1" applyFont="1" applyFill="1" applyBorder="1" applyAlignment="1" applyProtection="1">
      <alignment horizontal="center" wrapText="1"/>
    </xf>
    <xf numFmtId="49" fontId="5" fillId="2" borderId="32" xfId="0" applyNumberFormat="1" applyFont="1" applyFill="1" applyBorder="1" applyAlignment="1" applyProtection="1">
      <alignment horizontal="center" wrapText="1"/>
    </xf>
    <xf numFmtId="49" fontId="5" fillId="2" borderId="66"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2" borderId="29" xfId="0" applyNumberFormat="1" applyFont="1" applyFill="1" applyBorder="1" applyAlignment="1" applyProtection="1">
      <alignment horizontal="center" wrapText="1"/>
    </xf>
    <xf numFmtId="3" fontId="4" fillId="5" borderId="67"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3" fontId="4" fillId="5" borderId="68"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2" borderId="62" xfId="0" applyNumberFormat="1" applyFont="1" applyFill="1" applyBorder="1" applyAlignment="1" applyProtection="1">
      <alignment horizontal="center" wrapText="1"/>
    </xf>
    <xf numFmtId="3" fontId="5" fillId="5" borderId="69" xfId="0" applyNumberFormat="1" applyFont="1" applyFill="1" applyBorder="1" applyAlignment="1" applyProtection="1">
      <alignment wrapText="1"/>
    </xf>
    <xf numFmtId="49" fontId="14" fillId="2" borderId="29" xfId="0" applyNumberFormat="1" applyFont="1" applyFill="1" applyBorder="1" applyAlignment="1" applyProtection="1">
      <alignment horizontal="center" wrapText="1"/>
    </xf>
    <xf numFmtId="49" fontId="14" fillId="5" borderId="21" xfId="0" applyNumberFormat="1" applyFont="1" applyFill="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5" fillId="2" borderId="29" xfId="0" applyNumberFormat="1" applyFont="1" applyFill="1" applyBorder="1" applyAlignment="1" applyProtection="1">
      <alignment horizontal="center" wrapText="1"/>
    </xf>
    <xf numFmtId="0" fontId="5" fillId="5" borderId="64" xfId="0" applyNumberFormat="1" applyFont="1" applyFill="1" applyBorder="1" applyAlignment="1" applyProtection="1">
      <alignment wrapText="1"/>
    </xf>
    <xf numFmtId="49" fontId="5" fillId="5" borderId="21"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21"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70"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21" fillId="6" borderId="22" xfId="0" applyNumberFormat="1" applyFont="1" applyFill="1" applyBorder="1" applyAlignment="1" applyProtection="1">
      <alignment horizontal="center" wrapText="1"/>
    </xf>
    <xf numFmtId="0" fontId="21" fillId="6" borderId="15" xfId="0" applyNumberFormat="1" applyFont="1" applyFill="1" applyBorder="1" applyAlignment="1" applyProtection="1">
      <alignment horizontal="right"/>
    </xf>
    <xf numFmtId="49" fontId="42" fillId="6" borderId="36"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3" fillId="0" borderId="23" xfId="0" applyNumberFormat="1" applyFont="1" applyFill="1" applyBorder="1" applyAlignment="1" applyProtection="1">
      <alignment wrapText="1"/>
    </xf>
    <xf numFmtId="49" fontId="13" fillId="0" borderId="19" xfId="0" applyNumberFormat="1" applyFont="1" applyFill="1" applyBorder="1" applyAlignment="1" applyProtection="1">
      <alignment wrapText="1"/>
    </xf>
    <xf numFmtId="49" fontId="12" fillId="0" borderId="0" xfId="0" applyNumberFormat="1" applyFont="1" applyFill="1" applyAlignment="1" applyProtection="1">
      <alignment horizontal="left" wrapText="1"/>
    </xf>
    <xf numFmtId="49" fontId="42"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63" xfId="0" applyNumberFormat="1" applyFont="1" applyFill="1" applyBorder="1" applyAlignment="1" applyProtection="1">
      <alignment wrapText="1"/>
    </xf>
    <xf numFmtId="3" fontId="14" fillId="5" borderId="63" xfId="0" applyNumberFormat="1" applyFont="1" applyFill="1" applyBorder="1" applyAlignment="1" applyProtection="1">
      <alignment wrapText="1"/>
    </xf>
    <xf numFmtId="3" fontId="4" fillId="5" borderId="64" xfId="0" applyNumberFormat="1" applyFont="1" applyFill="1" applyBorder="1" applyAlignment="1" applyProtection="1">
      <alignment wrapText="1"/>
    </xf>
    <xf numFmtId="3" fontId="14" fillId="5" borderId="64" xfId="0" applyNumberFormat="1" applyFont="1" applyFill="1" applyBorder="1" applyAlignment="1" applyProtection="1">
      <alignment wrapText="1"/>
    </xf>
    <xf numFmtId="3" fontId="14" fillId="5" borderId="71" xfId="0" applyNumberFormat="1" applyFont="1" applyFill="1" applyBorder="1" applyAlignment="1" applyProtection="1">
      <alignment wrapText="1"/>
    </xf>
    <xf numFmtId="49" fontId="14" fillId="5" borderId="72" xfId="0" applyNumberFormat="1" applyFont="1" applyFill="1" applyBorder="1" applyAlignment="1" applyProtection="1">
      <alignment wrapText="1"/>
    </xf>
    <xf numFmtId="1" fontId="13" fillId="5" borderId="72" xfId="0" applyNumberFormat="1" applyFont="1" applyFill="1" applyBorder="1" applyAlignment="1" applyProtection="1">
      <alignment wrapText="1"/>
    </xf>
    <xf numFmtId="49" fontId="13" fillId="5" borderId="72" xfId="0" applyNumberFormat="1" applyFont="1" applyFill="1" applyBorder="1" applyAlignment="1" applyProtection="1">
      <alignment wrapText="1"/>
    </xf>
    <xf numFmtId="49" fontId="5" fillId="5" borderId="29" xfId="0" applyNumberFormat="1" applyFont="1" applyFill="1" applyBorder="1" applyAlignment="1" applyProtection="1">
      <alignment wrapText="1"/>
    </xf>
    <xf numFmtId="1" fontId="4" fillId="5" borderId="29" xfId="0" applyNumberFormat="1" applyFont="1" applyFill="1" applyBorder="1" applyAlignment="1" applyProtection="1">
      <alignment wrapText="1"/>
    </xf>
    <xf numFmtId="49" fontId="4" fillId="5" borderId="29" xfId="0" applyNumberFormat="1" applyFont="1" applyFill="1" applyBorder="1" applyAlignment="1" applyProtection="1">
      <alignment wrapText="1"/>
    </xf>
    <xf numFmtId="0" fontId="5" fillId="5" borderId="29" xfId="0" applyNumberFormat="1" applyFont="1" applyFill="1" applyBorder="1" applyAlignment="1" applyProtection="1">
      <alignment wrapText="1"/>
    </xf>
    <xf numFmtId="1" fontId="21" fillId="5" borderId="29" xfId="0" applyNumberFormat="1" applyFont="1" applyFill="1" applyBorder="1" applyAlignment="1" applyProtection="1">
      <alignment horizontal="left" wrapText="1"/>
    </xf>
    <xf numFmtId="10" fontId="4" fillId="5" borderId="70" xfId="3" applyNumberFormat="1" applyFont="1" applyFill="1" applyBorder="1" applyAlignment="1" applyProtection="1">
      <alignment horizontal="right" wrapText="1"/>
    </xf>
    <xf numFmtId="49" fontId="42" fillId="6" borderId="22" xfId="0" applyNumberFormat="1" applyFont="1" applyFill="1" applyBorder="1" applyAlignment="1" applyProtection="1">
      <alignment wrapText="1"/>
    </xf>
    <xf numFmtId="1" fontId="21" fillId="6" borderId="22" xfId="0" applyNumberFormat="1" applyFont="1" applyFill="1" applyBorder="1" applyAlignment="1" applyProtection="1">
      <alignment wrapText="1"/>
    </xf>
    <xf numFmtId="0" fontId="42" fillId="6" borderId="22" xfId="0" applyNumberFormat="1" applyFont="1" applyFill="1" applyBorder="1" applyAlignment="1" applyProtection="1">
      <alignment wrapText="1"/>
    </xf>
    <xf numFmtId="49" fontId="5" fillId="2" borderId="17" xfId="0" applyNumberFormat="1" applyFont="1" applyFill="1" applyBorder="1" applyAlignment="1" applyProtection="1">
      <alignment horizontal="center" wrapText="1"/>
    </xf>
    <xf numFmtId="1" fontId="5" fillId="5" borderId="63" xfId="0" applyNumberFormat="1" applyFont="1" applyFill="1" applyBorder="1" applyAlignment="1" applyProtection="1">
      <alignment horizontal="right" wrapText="1"/>
    </xf>
    <xf numFmtId="1" fontId="5" fillId="5" borderId="64" xfId="0" applyNumberFormat="1" applyFont="1" applyFill="1" applyBorder="1" applyAlignment="1" applyProtection="1">
      <alignment horizontal="right" wrapText="1"/>
    </xf>
    <xf numFmtId="1" fontId="5" fillId="5" borderId="64" xfId="0" applyNumberFormat="1" applyFont="1" applyFill="1" applyBorder="1" applyAlignment="1" applyProtection="1">
      <alignment wrapText="1"/>
    </xf>
    <xf numFmtId="49" fontId="5" fillId="2" borderId="22" xfId="0" applyNumberFormat="1" applyFont="1" applyFill="1" applyBorder="1" applyAlignment="1" applyProtection="1">
      <alignment horizontal="center" wrapText="1"/>
    </xf>
    <xf numFmtId="49" fontId="21" fillId="6" borderId="15" xfId="0" applyNumberFormat="1" applyFont="1" applyFill="1" applyBorder="1" applyAlignment="1" applyProtection="1">
      <alignment horizontal="center" wrapText="1"/>
    </xf>
    <xf numFmtId="49" fontId="9" fillId="0" borderId="0" xfId="0" applyNumberFormat="1" applyFont="1" applyBorder="1" applyAlignment="1" applyProtection="1">
      <alignment wrapText="1"/>
    </xf>
    <xf numFmtId="49" fontId="5" fillId="2" borderId="18" xfId="0" applyNumberFormat="1" applyFont="1" applyFill="1" applyBorder="1" applyAlignment="1" applyProtection="1">
      <alignment wrapText="1"/>
    </xf>
    <xf numFmtId="49" fontId="5" fillId="2" borderId="33" xfId="0" applyNumberFormat="1" applyFont="1" applyFill="1" applyBorder="1" applyAlignment="1" applyProtection="1">
      <alignment horizontal="right" wrapText="1"/>
    </xf>
    <xf numFmtId="49" fontId="5" fillId="2" borderId="30" xfId="0" applyNumberFormat="1" applyFont="1" applyFill="1" applyBorder="1" applyAlignment="1" applyProtection="1">
      <alignment horizontal="right" wrapText="1"/>
    </xf>
    <xf numFmtId="49" fontId="5" fillId="2" borderId="20" xfId="0" applyNumberFormat="1" applyFont="1" applyFill="1" applyBorder="1" applyAlignment="1" applyProtection="1">
      <alignment horizontal="center" wrapText="1"/>
    </xf>
    <xf numFmtId="49" fontId="14" fillId="2" borderId="20" xfId="0" applyNumberFormat="1" applyFont="1" applyFill="1" applyBorder="1" applyAlignment="1" applyProtection="1">
      <alignment horizontal="center" wrapText="1"/>
    </xf>
    <xf numFmtId="1" fontId="4" fillId="5" borderId="64" xfId="0" applyNumberFormat="1" applyFont="1" applyFill="1" applyBorder="1" applyAlignment="1" applyProtection="1">
      <alignment wrapText="1"/>
    </xf>
    <xf numFmtId="49" fontId="21" fillId="6" borderId="23" xfId="0" applyNumberFormat="1" applyFont="1" applyFill="1" applyBorder="1" applyAlignment="1" applyProtection="1">
      <alignment horizontal="center" wrapText="1"/>
    </xf>
    <xf numFmtId="0" fontId="42" fillId="6" borderId="15" xfId="0" applyNumberFormat="1" applyFont="1" applyFill="1" applyBorder="1" applyAlignment="1" applyProtection="1">
      <alignment wrapText="1"/>
    </xf>
    <xf numFmtId="0" fontId="5" fillId="0" borderId="0" xfId="0" applyFont="1" applyAlignment="1">
      <alignment horizontal="left"/>
    </xf>
    <xf numFmtId="49" fontId="43"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xf>
    <xf numFmtId="0" fontId="9" fillId="0" borderId="0" xfId="0" applyFont="1" applyFill="1" applyAlignment="1">
      <alignment horizontal="justify"/>
    </xf>
    <xf numFmtId="0" fontId="44" fillId="0" borderId="0" xfId="0" applyFont="1" applyProtection="1"/>
    <xf numFmtId="49" fontId="2" fillId="2"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9" fillId="0" borderId="0" xfId="0" applyNumberFormat="1" applyFont="1" applyAlignment="1">
      <alignment wrapText="1"/>
    </xf>
    <xf numFmtId="0" fontId="8" fillId="0" borderId="0" xfId="0" applyFont="1" applyAlignment="1">
      <alignment wrapText="1"/>
    </xf>
    <xf numFmtId="49" fontId="10" fillId="0" borderId="0" xfId="0" applyNumberFormat="1" applyFont="1" applyAlignment="1">
      <alignment wrapText="1"/>
    </xf>
    <xf numFmtId="0" fontId="5" fillId="0" borderId="0" xfId="0" applyFont="1" applyFill="1" applyAlignment="1">
      <alignment vertical="center" wrapText="1"/>
    </xf>
    <xf numFmtId="0" fontId="46"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47" fillId="0" borderId="0" xfId="0" applyFont="1"/>
    <xf numFmtId="49" fontId="25" fillId="0" borderId="0" xfId="0" applyNumberFormat="1" applyFont="1" applyFill="1" applyAlignment="1" applyProtection="1">
      <alignment vertical="center"/>
    </xf>
    <xf numFmtId="0" fontId="24" fillId="0" borderId="0" xfId="0" applyFont="1" applyAlignment="1">
      <alignment horizontal="justify"/>
    </xf>
    <xf numFmtId="0" fontId="4" fillId="0" borderId="73" xfId="0" applyFont="1" applyBorder="1" applyAlignment="1"/>
    <xf numFmtId="0" fontId="4" fillId="0" borderId="74" xfId="0" applyFont="1" applyBorder="1" applyAlignment="1">
      <alignment horizontal="left"/>
    </xf>
    <xf numFmtId="0" fontId="4" fillId="0" borderId="75" xfId="0" applyFont="1" applyBorder="1" applyAlignment="1"/>
    <xf numFmtId="0" fontId="4" fillId="0" borderId="0" xfId="0" applyFont="1" applyAlignment="1"/>
    <xf numFmtId="0" fontId="5" fillId="0" borderId="76" xfId="0" applyFont="1" applyBorder="1" applyAlignment="1">
      <alignment horizontal="justify"/>
    </xf>
    <xf numFmtId="164" fontId="5" fillId="0" borderId="0" xfId="0" applyNumberFormat="1" applyFont="1" applyBorder="1" applyAlignment="1">
      <alignment horizontal="center"/>
    </xf>
    <xf numFmtId="0" fontId="5" fillId="0" borderId="77" xfId="0" applyFont="1" applyBorder="1" applyAlignment="1">
      <alignment horizontal="left"/>
    </xf>
    <xf numFmtId="164" fontId="5" fillId="0" borderId="0" xfId="3" applyNumberFormat="1" applyFont="1" applyBorder="1" applyAlignment="1">
      <alignment horizontal="center"/>
    </xf>
    <xf numFmtId="0" fontId="21" fillId="6" borderId="78" xfId="0" applyFont="1" applyFill="1" applyBorder="1" applyAlignment="1"/>
    <xf numFmtId="0" fontId="42" fillId="6" borderId="79" xfId="0" applyFont="1" applyFill="1" applyBorder="1" applyAlignment="1"/>
    <xf numFmtId="0" fontId="21" fillId="6" borderId="80"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36" fillId="0" borderId="0" xfId="0" applyFont="1" applyBorder="1"/>
    <xf numFmtId="0" fontId="7" fillId="2" borderId="0" xfId="0" applyFont="1" applyFill="1" applyBorder="1" applyAlignment="1" applyProtection="1">
      <protection locked="0"/>
    </xf>
    <xf numFmtId="3" fontId="48" fillId="0" borderId="24" xfId="0" applyNumberFormat="1" applyFont="1" applyBorder="1" applyAlignment="1" applyProtection="1"/>
    <xf numFmtId="3" fontId="48" fillId="0" borderId="55" xfId="0" applyNumberFormat="1" applyFont="1" applyBorder="1" applyAlignment="1" applyProtection="1"/>
    <xf numFmtId="0" fontId="7" fillId="2" borderId="54" xfId="0" applyFont="1" applyFill="1" applyBorder="1" applyAlignment="1" applyProtection="1">
      <protection locked="0"/>
    </xf>
    <xf numFmtId="3" fontId="7" fillId="2" borderId="24" xfId="0" applyNumberFormat="1" applyFont="1" applyFill="1" applyBorder="1" applyAlignment="1" applyProtection="1">
      <protection locked="0"/>
    </xf>
    <xf numFmtId="49" fontId="2" fillId="2" borderId="0" xfId="0" applyNumberFormat="1" applyFont="1" applyFill="1" applyAlignment="1">
      <alignment vertical="center" wrapText="1"/>
    </xf>
    <xf numFmtId="0" fontId="7" fillId="0" borderId="81" xfId="0" applyFont="1" applyFill="1" applyBorder="1" applyAlignment="1" applyProtection="1">
      <alignment horizontal="left"/>
      <protection locked="0"/>
    </xf>
    <xf numFmtId="0" fontId="4" fillId="0" borderId="0" xfId="0" applyNumberFormat="1" applyFont="1" applyAlignment="1" applyProtection="1">
      <alignment horizontal="left" vertical="top" wrapText="1"/>
    </xf>
    <xf numFmtId="0" fontId="21" fillId="3" borderId="33" xfId="0" applyFont="1" applyFill="1" applyBorder="1" applyAlignment="1" applyProtection="1">
      <alignment horizontal="left"/>
    </xf>
    <xf numFmtId="0" fontId="7" fillId="2" borderId="18" xfId="0" applyFont="1" applyFill="1" applyBorder="1" applyProtection="1"/>
    <xf numFmtId="0" fontId="7" fillId="2" borderId="20" xfId="0" applyFont="1" applyFill="1" applyBorder="1" applyAlignment="1" applyProtection="1">
      <alignment vertical="center"/>
    </xf>
    <xf numFmtId="0" fontId="4" fillId="2" borderId="20" xfId="0" applyFont="1" applyFill="1" applyBorder="1" applyAlignment="1" applyProtection="1">
      <alignment horizontal="center"/>
    </xf>
    <xf numFmtId="49" fontId="5" fillId="2" borderId="20" xfId="0" applyNumberFormat="1" applyFont="1" applyFill="1" applyBorder="1" applyAlignment="1">
      <alignment horizontal="left"/>
    </xf>
    <xf numFmtId="49" fontId="5" fillId="2" borderId="23" xfId="0" applyNumberFormat="1" applyFont="1" applyFill="1" applyBorder="1" applyAlignment="1">
      <alignment horizontal="left"/>
    </xf>
    <xf numFmtId="0" fontId="19" fillId="3" borderId="18" xfId="0" applyFont="1" applyFill="1" applyBorder="1" applyProtection="1"/>
    <xf numFmtId="0" fontId="21" fillId="3" borderId="33" xfId="0" applyFont="1" applyFill="1" applyBorder="1" applyAlignment="1" applyProtection="1">
      <alignment horizontal="left" vertical="top"/>
    </xf>
    <xf numFmtId="0" fontId="19" fillId="3" borderId="30" xfId="0" applyFont="1" applyFill="1" applyBorder="1" applyProtection="1"/>
    <xf numFmtId="0" fontId="7" fillId="2" borderId="20" xfId="0" applyFont="1" applyFill="1" applyBorder="1" applyProtection="1"/>
    <xf numFmtId="0" fontId="7" fillId="2" borderId="21" xfId="0" applyFont="1" applyFill="1" applyBorder="1" applyProtection="1"/>
    <xf numFmtId="0" fontId="7" fillId="2" borderId="23" xfId="0" applyFont="1" applyFill="1" applyBorder="1" applyProtection="1"/>
    <xf numFmtId="0" fontId="7" fillId="2" borderId="19" xfId="0" applyFont="1" applyFill="1" applyBorder="1" applyProtection="1"/>
    <xf numFmtId="0" fontId="7" fillId="2" borderId="36" xfId="0" applyFont="1" applyFill="1" applyBorder="1" applyProtection="1"/>
    <xf numFmtId="0" fontId="21" fillId="3" borderId="18" xfId="0" applyFont="1" applyFill="1" applyBorder="1" applyAlignment="1" applyProtection="1">
      <alignment horizontal="left"/>
    </xf>
    <xf numFmtId="0" fontId="21" fillId="3" borderId="30" xfId="0" applyFont="1" applyFill="1" applyBorder="1" applyAlignment="1" applyProtection="1">
      <alignment horizontal="left"/>
    </xf>
    <xf numFmtId="0" fontId="7" fillId="2" borderId="20" xfId="0" applyFont="1" applyFill="1" applyBorder="1" applyAlignment="1" applyProtection="1">
      <alignment horizontal="center"/>
    </xf>
    <xf numFmtId="0" fontId="7" fillId="2" borderId="21" xfId="0" applyFont="1" applyFill="1" applyBorder="1" applyAlignment="1" applyProtection="1">
      <alignment horizontal="center"/>
    </xf>
    <xf numFmtId="49" fontId="17" fillId="2" borderId="23" xfId="0" applyNumberFormat="1" applyFont="1" applyFill="1" applyBorder="1"/>
    <xf numFmtId="49" fontId="17" fillId="2" borderId="19" xfId="0" applyNumberFormat="1" applyFont="1" applyFill="1" applyBorder="1"/>
    <xf numFmtId="49" fontId="17" fillId="2" borderId="36" xfId="0" applyNumberFormat="1" applyFont="1" applyFill="1" applyBorder="1"/>
    <xf numFmtId="49" fontId="17" fillId="4" borderId="18" xfId="0" applyNumberFormat="1" applyFont="1" applyFill="1" applyBorder="1"/>
    <xf numFmtId="49" fontId="17" fillId="4" borderId="30" xfId="0" applyNumberFormat="1" applyFont="1" applyFill="1" applyBorder="1"/>
    <xf numFmtId="49" fontId="17" fillId="4" borderId="20" xfId="0" applyNumberFormat="1" applyFont="1" applyFill="1" applyBorder="1"/>
    <xf numFmtId="49" fontId="17" fillId="4" borderId="21" xfId="0" applyNumberFormat="1" applyFont="1" applyFill="1" applyBorder="1"/>
    <xf numFmtId="49" fontId="17" fillId="4" borderId="23" xfId="0" applyNumberFormat="1" applyFont="1" applyFill="1" applyBorder="1"/>
    <xf numFmtId="49" fontId="17" fillId="4" borderId="36" xfId="0" applyNumberFormat="1" applyFont="1" applyFill="1" applyBorder="1"/>
    <xf numFmtId="49" fontId="17" fillId="0" borderId="0" xfId="0" applyNumberFormat="1" applyFont="1" applyFill="1"/>
    <xf numFmtId="49" fontId="7" fillId="0" borderId="0" xfId="0" applyNumberFormat="1" applyFont="1"/>
    <xf numFmtId="0" fontId="36" fillId="2" borderId="33" xfId="0" applyFont="1" applyFill="1" applyBorder="1" applyAlignment="1" applyProtection="1">
      <alignment horizontal="right"/>
    </xf>
    <xf numFmtId="0" fontId="29" fillId="2" borderId="33" xfId="0" applyFont="1" applyFill="1" applyBorder="1" applyAlignment="1" applyProtection="1"/>
    <xf numFmtId="0" fontId="29" fillId="2" borderId="33" xfId="0" applyFont="1" applyFill="1" applyBorder="1" applyAlignment="1" applyProtection="1">
      <alignment horizontal="right"/>
    </xf>
    <xf numFmtId="0" fontId="50" fillId="2" borderId="33" xfId="0" applyFont="1" applyFill="1" applyBorder="1" applyAlignment="1" applyProtection="1">
      <alignment horizontal="left"/>
    </xf>
    <xf numFmtId="0" fontId="36" fillId="2" borderId="30" xfId="0" applyFont="1" applyFill="1" applyBorder="1" applyProtection="1"/>
    <xf numFmtId="0" fontId="36" fillId="2" borderId="0" xfId="0" applyFont="1" applyFill="1" applyBorder="1" applyAlignment="1" applyProtection="1">
      <alignment horizontal="right" vertical="center"/>
    </xf>
    <xf numFmtId="0" fontId="29" fillId="2" borderId="0" xfId="0" quotePrefix="1" applyFont="1" applyFill="1" applyBorder="1" applyAlignment="1" applyProtection="1">
      <alignment vertical="center"/>
    </xf>
    <xf numFmtId="0" fontId="29" fillId="2" borderId="0" xfId="0" quotePrefix="1" applyFont="1" applyFill="1" applyBorder="1" applyAlignment="1" applyProtection="1">
      <alignment horizontal="right" vertical="center"/>
    </xf>
    <xf numFmtId="0" fontId="36" fillId="2" borderId="21" xfId="0" applyFont="1" applyFill="1" applyBorder="1" applyAlignment="1" applyProtection="1">
      <alignment vertical="center"/>
    </xf>
    <xf numFmtId="0" fontId="36" fillId="2" borderId="82" xfId="0" applyFont="1" applyFill="1" applyBorder="1" applyAlignment="1" applyProtection="1">
      <alignment horizontal="right"/>
    </xf>
    <xf numFmtId="0" fontId="29" fillId="2" borderId="0" xfId="0" applyFont="1" applyFill="1" applyBorder="1" applyAlignment="1" applyProtection="1">
      <alignment horizontal="center"/>
    </xf>
    <xf numFmtId="0" fontId="36" fillId="2" borderId="0" xfId="0" applyFont="1" applyFill="1" applyBorder="1" applyProtection="1"/>
    <xf numFmtId="49" fontId="36" fillId="2" borderId="0" xfId="0" applyNumberFormat="1" applyFont="1" applyFill="1" applyBorder="1" applyAlignment="1">
      <alignment horizontal="left"/>
    </xf>
    <xf numFmtId="0" fontId="29" fillId="2" borderId="0" xfId="0" applyFont="1" applyFill="1" applyBorder="1" applyProtection="1"/>
    <xf numFmtId="0" fontId="29" fillId="2" borderId="21" xfId="0" applyFont="1" applyFill="1" applyBorder="1" applyAlignment="1" applyProtection="1">
      <alignment horizontal="center"/>
    </xf>
    <xf numFmtId="0" fontId="36" fillId="2" borderId="0" xfId="0" applyFont="1" applyFill="1" applyBorder="1" applyAlignment="1" applyProtection="1">
      <alignment horizontal="left"/>
    </xf>
    <xf numFmtId="49" fontId="36" fillId="2" borderId="21" xfId="0" applyNumberFormat="1" applyFont="1" applyFill="1" applyBorder="1" applyAlignment="1">
      <alignment horizontal="left"/>
    </xf>
    <xf numFmtId="167" fontId="29" fillId="2" borderId="19" xfId="0" applyNumberFormat="1" applyFont="1" applyFill="1" applyBorder="1" applyAlignment="1" applyProtection="1">
      <alignment horizontal="right"/>
    </xf>
    <xf numFmtId="49" fontId="36" fillId="2" borderId="19" xfId="0" applyNumberFormat="1" applyFont="1" applyFill="1" applyBorder="1" applyAlignment="1">
      <alignment horizontal="left"/>
    </xf>
    <xf numFmtId="49" fontId="36" fillId="2" borderId="19" xfId="0" applyNumberFormat="1" applyFont="1" applyFill="1" applyBorder="1" applyAlignment="1">
      <alignment horizontal="right" vertical="top"/>
    </xf>
    <xf numFmtId="49" fontId="36" fillId="2" borderId="19" xfId="0" applyNumberFormat="1" applyFont="1" applyFill="1" applyBorder="1" applyAlignment="1">
      <alignment horizontal="left" vertical="top"/>
    </xf>
    <xf numFmtId="0" fontId="29" fillId="2" borderId="19" xfId="0" applyFont="1" applyFill="1" applyBorder="1" applyAlignment="1" applyProtection="1"/>
    <xf numFmtId="49" fontId="36" fillId="2" borderId="36" xfId="0" applyNumberFormat="1" applyFont="1" applyFill="1" applyBorder="1" applyAlignment="1">
      <alignment horizontal="left"/>
    </xf>
    <xf numFmtId="0" fontId="36" fillId="2" borderId="0" xfId="0" applyFont="1" applyFill="1" applyBorder="1" applyAlignment="1" applyProtection="1">
      <alignment horizontal="right"/>
    </xf>
    <xf numFmtId="1" fontId="7" fillId="0" borderId="0" xfId="0" applyNumberFormat="1" applyFont="1" applyBorder="1" applyAlignment="1">
      <alignment horizontal="left"/>
    </xf>
    <xf numFmtId="164" fontId="7" fillId="0" borderId="0" xfId="3" applyNumberFormat="1" applyFont="1" applyBorder="1" applyAlignment="1">
      <alignment horizontal="right"/>
    </xf>
    <xf numFmtId="1" fontId="7" fillId="0" borderId="0" xfId="0" applyNumberFormat="1" applyFont="1" applyBorder="1" applyAlignment="1">
      <alignment horizontal="right" vertical="center"/>
    </xf>
    <xf numFmtId="164" fontId="7" fillId="0" borderId="0" xfId="3" applyNumberFormat="1" applyFont="1" applyBorder="1" applyAlignment="1">
      <alignment horizontal="left"/>
    </xf>
    <xf numFmtId="0" fontId="23" fillId="0" borderId="25" xfId="0" applyFont="1" applyFill="1" applyBorder="1" applyAlignment="1">
      <alignment horizontal="center"/>
    </xf>
    <xf numFmtId="0" fontId="23" fillId="0" borderId="9" xfId="0" applyFont="1" applyBorder="1" applyAlignment="1">
      <alignment horizontal="center"/>
    </xf>
    <xf numFmtId="0" fontId="23" fillId="0" borderId="12" xfId="0" applyFont="1" applyFill="1" applyBorder="1" applyAlignment="1">
      <alignment vertical="center"/>
    </xf>
    <xf numFmtId="0" fontId="7" fillId="2" borderId="0" xfId="0" applyFont="1" applyFill="1" applyBorder="1" applyAlignment="1" applyProtection="1">
      <alignment horizontal="left"/>
    </xf>
    <xf numFmtId="0" fontId="7" fillId="2" borderId="0" xfId="0" applyFont="1" applyFill="1" applyBorder="1" applyAlignment="1">
      <alignment horizontal="left"/>
    </xf>
    <xf numFmtId="0" fontId="0" fillId="0" borderId="0" xfId="0" applyFont="1" applyBorder="1" applyAlignment="1"/>
    <xf numFmtId="0" fontId="36" fillId="0" borderId="0" xfId="0" applyFont="1" applyBorder="1" applyAlignment="1"/>
    <xf numFmtId="3" fontId="13" fillId="5" borderId="71" xfId="0" applyNumberFormat="1" applyFont="1" applyFill="1" applyBorder="1" applyAlignment="1" applyProtection="1">
      <alignment wrapText="1"/>
    </xf>
    <xf numFmtId="0" fontId="23" fillId="2" borderId="26" xfId="0" applyFont="1" applyFill="1" applyBorder="1" applyAlignment="1" applyProtection="1">
      <alignment horizontal="right" vertical="center"/>
    </xf>
    <xf numFmtId="0" fontId="23" fillId="2" borderId="35" xfId="0" applyFont="1" applyFill="1" applyBorder="1" applyAlignment="1" applyProtection="1">
      <alignment horizontal="right" vertical="center"/>
    </xf>
    <xf numFmtId="0" fontId="23" fillId="2" borderId="35" xfId="0" applyFont="1" applyFill="1" applyBorder="1" applyAlignment="1" applyProtection="1">
      <alignment horizontal="right" vertical="center"/>
      <protection locked="0"/>
    </xf>
    <xf numFmtId="3" fontId="7" fillId="2" borderId="53" xfId="0" applyNumberFormat="1" applyFont="1" applyFill="1" applyBorder="1" applyAlignment="1" applyProtection="1"/>
    <xf numFmtId="3" fontId="7" fillId="2" borderId="0" xfId="0" applyNumberFormat="1" applyFont="1" applyFill="1" applyBorder="1" applyAlignment="1" applyProtection="1">
      <protection locked="0"/>
    </xf>
    <xf numFmtId="3" fontId="7" fillId="2" borderId="0" xfId="0" applyNumberFormat="1" applyFont="1" applyFill="1" applyBorder="1" applyAlignment="1" applyProtection="1"/>
    <xf numFmtId="3" fontId="29" fillId="3" borderId="0" xfId="0" applyNumberFormat="1" applyFont="1" applyFill="1" applyBorder="1" applyAlignment="1" applyProtection="1">
      <alignment horizontal="center"/>
    </xf>
    <xf numFmtId="3" fontId="29" fillId="2" borderId="0" xfId="0" applyNumberFormat="1" applyFont="1" applyFill="1" applyBorder="1" applyAlignment="1" applyProtection="1">
      <alignment horizontal="center"/>
    </xf>
    <xf numFmtId="3" fontId="23" fillId="2" borderId="33" xfId="0" applyNumberFormat="1" applyFont="1" applyFill="1" applyBorder="1" applyAlignment="1" applyProtection="1">
      <alignment horizontal="right" vertical="center"/>
    </xf>
    <xf numFmtId="3" fontId="23" fillId="2" borderId="32" xfId="0" applyNumberFormat="1" applyFont="1" applyFill="1" applyBorder="1" applyAlignment="1" applyProtection="1">
      <alignment horizontal="right" vertical="center"/>
    </xf>
    <xf numFmtId="3" fontId="32" fillId="2" borderId="32" xfId="0" applyNumberFormat="1" applyFont="1" applyFill="1" applyBorder="1" applyAlignment="1" applyProtection="1">
      <alignment horizontal="right" vertical="center"/>
    </xf>
    <xf numFmtId="3" fontId="23" fillId="2" borderId="38" xfId="0" applyNumberFormat="1" applyFont="1" applyFill="1" applyBorder="1" applyAlignment="1" applyProtection="1">
      <alignment horizontal="right" vertical="center"/>
    </xf>
    <xf numFmtId="3" fontId="23" fillId="2" borderId="21" xfId="0" applyNumberFormat="1" applyFont="1" applyFill="1" applyBorder="1" applyAlignment="1" applyProtection="1">
      <alignment horizontal="right" vertical="center"/>
      <protection locked="0"/>
    </xf>
    <xf numFmtId="3" fontId="23" fillId="0" borderId="22" xfId="0" applyNumberFormat="1" applyFont="1" applyFill="1" applyBorder="1" applyAlignment="1" applyProtection="1">
      <alignment horizontal="right" vertical="center"/>
      <protection locked="0"/>
    </xf>
    <xf numFmtId="3" fontId="23" fillId="2" borderId="0" xfId="0" applyNumberFormat="1" applyFont="1" applyFill="1" applyBorder="1" applyAlignment="1" applyProtection="1">
      <alignment horizontal="right" vertical="center"/>
      <protection locked="0"/>
    </xf>
    <xf numFmtId="3" fontId="23" fillId="0" borderId="16" xfId="0" applyNumberFormat="1" applyFont="1" applyFill="1" applyBorder="1" applyAlignment="1" applyProtection="1">
      <alignment horizontal="right" vertical="center"/>
      <protection locked="0"/>
    </xf>
    <xf numFmtId="3" fontId="23" fillId="0" borderId="38" xfId="0" applyNumberFormat="1" applyFont="1" applyFill="1" applyBorder="1" applyAlignment="1" applyProtection="1">
      <alignment horizontal="right" vertical="center"/>
      <protection locked="0"/>
    </xf>
    <xf numFmtId="3" fontId="23" fillId="0" borderId="15" xfId="0" applyNumberFormat="1" applyFont="1" applyFill="1" applyBorder="1" applyAlignment="1" applyProtection="1">
      <alignment horizontal="right" vertical="center"/>
      <protection locked="0"/>
    </xf>
    <xf numFmtId="3" fontId="23" fillId="0" borderId="17" xfId="0" applyNumberFormat="1" applyFont="1" applyFill="1" applyBorder="1" applyAlignment="1" applyProtection="1">
      <alignment horizontal="right" vertical="center"/>
      <protection locked="0"/>
    </xf>
    <xf numFmtId="3" fontId="23" fillId="0" borderId="18" xfId="0" applyNumberFormat="1" applyFont="1" applyFill="1" applyBorder="1" applyAlignment="1" applyProtection="1">
      <alignment horizontal="right" vertical="center"/>
      <protection locked="0"/>
    </xf>
    <xf numFmtId="3" fontId="23" fillId="0" borderId="40" xfId="0" applyNumberFormat="1" applyFont="1" applyFill="1" applyBorder="1" applyAlignment="1" applyProtection="1">
      <alignment horizontal="right" vertical="center"/>
      <protection locked="0"/>
    </xf>
    <xf numFmtId="3" fontId="23" fillId="2" borderId="19" xfId="0" applyNumberFormat="1" applyFont="1" applyFill="1" applyBorder="1" applyAlignment="1" applyProtection="1">
      <alignment horizontal="right" vertical="center"/>
      <protection locked="0"/>
    </xf>
    <xf numFmtId="3" fontId="23" fillId="2" borderId="32" xfId="0" applyNumberFormat="1" applyFont="1" applyFill="1" applyBorder="1" applyAlignment="1" applyProtection="1">
      <alignment horizontal="right" vertical="center"/>
      <protection locked="0"/>
    </xf>
    <xf numFmtId="3" fontId="23" fillId="2" borderId="38" xfId="0" applyNumberFormat="1" applyFont="1" applyFill="1" applyBorder="1" applyAlignment="1" applyProtection="1">
      <alignment horizontal="right" vertical="center"/>
      <protection locked="0"/>
    </xf>
    <xf numFmtId="3" fontId="23" fillId="2" borderId="33" xfId="0" applyNumberFormat="1" applyFont="1" applyFill="1" applyBorder="1" applyAlignment="1" applyProtection="1">
      <alignment horizontal="right" vertical="center"/>
      <protection locked="0"/>
    </xf>
    <xf numFmtId="3" fontId="23" fillId="2" borderId="20" xfId="0" applyNumberFormat="1" applyFont="1" applyFill="1" applyBorder="1" applyAlignment="1" applyProtection="1">
      <alignment horizontal="right" vertical="center"/>
      <protection locked="0"/>
    </xf>
    <xf numFmtId="3" fontId="23" fillId="2" borderId="29" xfId="0" applyNumberFormat="1" applyFont="1" applyFill="1" applyBorder="1" applyAlignment="1" applyProtection="1">
      <alignment horizontal="right" vertical="center"/>
      <protection locked="0"/>
    </xf>
    <xf numFmtId="3" fontId="23" fillId="2" borderId="40" xfId="0" applyNumberFormat="1" applyFont="1" applyFill="1" applyBorder="1" applyAlignment="1" applyProtection="1">
      <alignment horizontal="right" vertical="center"/>
      <protection locked="0"/>
    </xf>
    <xf numFmtId="3" fontId="23" fillId="0" borderId="41" xfId="0" applyNumberFormat="1" applyFont="1" applyFill="1" applyBorder="1" applyAlignment="1" applyProtection="1">
      <alignment horizontal="right" vertical="center"/>
      <protection locked="0"/>
    </xf>
    <xf numFmtId="3" fontId="23" fillId="2" borderId="42" xfId="0" applyNumberFormat="1" applyFont="1" applyFill="1" applyBorder="1" applyAlignment="1" applyProtection="1">
      <alignment horizontal="right" vertical="center"/>
      <protection locked="0"/>
    </xf>
    <xf numFmtId="3" fontId="23" fillId="2" borderId="43" xfId="0" applyNumberFormat="1" applyFont="1" applyFill="1" applyBorder="1" applyAlignment="1" applyProtection="1">
      <alignment horizontal="right" vertical="center"/>
      <protection locked="0"/>
    </xf>
    <xf numFmtId="3" fontId="23" fillId="2" borderId="44" xfId="0" applyNumberFormat="1" applyFont="1" applyFill="1" applyBorder="1" applyAlignment="1" applyProtection="1">
      <alignment horizontal="right" vertical="center"/>
      <protection locked="0"/>
    </xf>
    <xf numFmtId="3" fontId="23" fillId="2" borderId="41" xfId="0" applyNumberFormat="1" applyFont="1" applyFill="1" applyBorder="1" applyAlignment="1" applyProtection="1">
      <alignment horizontal="right" vertical="center"/>
      <protection locked="0"/>
    </xf>
    <xf numFmtId="3" fontId="23" fillId="0" borderId="42" xfId="0" applyNumberFormat="1" applyFont="1" applyFill="1" applyBorder="1" applyAlignment="1" applyProtection="1">
      <alignment horizontal="right" vertical="center"/>
      <protection locked="0"/>
    </xf>
    <xf numFmtId="3" fontId="23" fillId="0" borderId="45" xfId="0" applyNumberFormat="1" applyFont="1" applyFill="1" applyBorder="1" applyAlignment="1" applyProtection="1">
      <alignment horizontal="right" vertical="center"/>
      <protection locked="0"/>
    </xf>
    <xf numFmtId="3" fontId="23" fillId="2" borderId="28" xfId="0" applyNumberFormat="1" applyFont="1" applyFill="1" applyBorder="1" applyAlignment="1" applyProtection="1">
      <alignment horizontal="right" vertical="center"/>
      <protection locked="0"/>
    </xf>
    <xf numFmtId="3" fontId="17" fillId="2" borderId="33" xfId="0" applyNumberFormat="1" applyFont="1" applyFill="1" applyBorder="1" applyAlignment="1" applyProtection="1">
      <alignment horizontal="right" vertical="center"/>
      <protection locked="0"/>
    </xf>
    <xf numFmtId="3" fontId="17" fillId="2" borderId="40" xfId="0" applyNumberFormat="1" applyFont="1" applyFill="1" applyBorder="1" applyAlignment="1" applyProtection="1">
      <alignment horizontal="right" vertical="center"/>
      <protection locked="0"/>
    </xf>
    <xf numFmtId="3" fontId="23" fillId="0" borderId="23" xfId="0" applyNumberFormat="1" applyFont="1" applyFill="1" applyBorder="1" applyAlignment="1" applyProtection="1">
      <alignment horizontal="right" vertical="center"/>
      <protection locked="0"/>
    </xf>
    <xf numFmtId="3" fontId="23" fillId="2" borderId="39" xfId="0" applyNumberFormat="1" applyFont="1" applyFill="1" applyBorder="1" applyAlignment="1" applyProtection="1">
      <alignment horizontal="right" vertical="center"/>
      <protection locked="0"/>
    </xf>
    <xf numFmtId="3" fontId="23" fillId="0" borderId="46" xfId="0" applyNumberFormat="1" applyFont="1" applyFill="1" applyBorder="1" applyAlignment="1" applyProtection="1">
      <alignment horizontal="right" vertical="center"/>
      <protection locked="0"/>
    </xf>
    <xf numFmtId="3" fontId="32" fillId="2" borderId="33" xfId="0" applyNumberFormat="1" applyFont="1" applyFill="1" applyBorder="1" applyAlignment="1" applyProtection="1">
      <alignment horizontal="right" vertical="center"/>
    </xf>
    <xf numFmtId="3" fontId="23" fillId="2" borderId="26" xfId="0" applyNumberFormat="1" applyFont="1" applyFill="1" applyBorder="1" applyAlignment="1" applyProtection="1">
      <alignment horizontal="right" vertical="center"/>
    </xf>
    <xf numFmtId="3" fontId="23" fillId="2" borderId="30" xfId="0" applyNumberFormat="1" applyFont="1" applyFill="1" applyBorder="1" applyAlignment="1" applyProtection="1">
      <alignment horizontal="right" vertical="center"/>
      <protection locked="0"/>
    </xf>
    <xf numFmtId="3" fontId="23" fillId="2" borderId="83" xfId="0" applyNumberFormat="1" applyFont="1" applyFill="1" applyBorder="1" applyAlignment="1" applyProtection="1">
      <alignment horizontal="right" vertical="center"/>
    </xf>
    <xf numFmtId="3" fontId="23" fillId="2" borderId="17" xfId="0" applyNumberFormat="1" applyFont="1" applyFill="1" applyBorder="1" applyAlignment="1" applyProtection="1">
      <alignment horizontal="right" vertical="center"/>
      <protection locked="0"/>
    </xf>
    <xf numFmtId="3" fontId="23" fillId="2" borderId="22" xfId="0" applyNumberFormat="1" applyFont="1" applyFill="1" applyBorder="1" applyAlignment="1" applyProtection="1">
      <alignment horizontal="right" vertical="center"/>
      <protection locked="0"/>
    </xf>
    <xf numFmtId="3" fontId="23" fillId="2" borderId="15" xfId="0" applyNumberFormat="1" applyFont="1" applyFill="1" applyBorder="1" applyAlignment="1" applyProtection="1">
      <alignment horizontal="right" vertical="center"/>
      <protection locked="0"/>
    </xf>
    <xf numFmtId="3" fontId="23" fillId="2" borderId="35" xfId="0" applyNumberFormat="1" applyFont="1" applyFill="1" applyBorder="1" applyAlignment="1" applyProtection="1">
      <alignment horizontal="right" vertical="center"/>
      <protection locked="0"/>
    </xf>
    <xf numFmtId="3" fontId="23" fillId="0" borderId="44" xfId="0" applyNumberFormat="1" applyFont="1" applyFill="1" applyBorder="1" applyAlignment="1" applyProtection="1">
      <alignment horizontal="right" vertical="center"/>
      <protection locked="0"/>
    </xf>
    <xf numFmtId="3" fontId="23" fillId="2" borderId="36" xfId="0" applyNumberFormat="1" applyFont="1" applyFill="1" applyBorder="1" applyAlignment="1" applyProtection="1">
      <alignment horizontal="right" vertical="center"/>
      <protection locked="0"/>
    </xf>
    <xf numFmtId="3" fontId="23" fillId="2" borderId="16" xfId="0" applyNumberFormat="1" applyFont="1" applyFill="1" applyBorder="1" applyAlignment="1" applyProtection="1">
      <alignment horizontal="right" vertical="center"/>
      <protection locked="0"/>
    </xf>
    <xf numFmtId="3" fontId="23" fillId="2" borderId="18" xfId="0" applyNumberFormat="1" applyFont="1" applyFill="1" applyBorder="1" applyAlignment="1" applyProtection="1">
      <alignment horizontal="right" vertical="center"/>
      <protection locked="0"/>
    </xf>
    <xf numFmtId="3" fontId="23" fillId="2" borderId="23" xfId="0" applyNumberFormat="1" applyFont="1" applyFill="1" applyBorder="1" applyAlignment="1" applyProtection="1">
      <alignment horizontal="right" vertical="center"/>
      <protection locked="0"/>
    </xf>
    <xf numFmtId="3" fontId="23" fillId="2" borderId="35" xfId="0" applyNumberFormat="1" applyFont="1" applyFill="1" applyBorder="1" applyAlignment="1" applyProtection="1">
      <alignment horizontal="right" vertical="center"/>
    </xf>
    <xf numFmtId="3" fontId="52" fillId="2" borderId="20" xfId="0" applyNumberFormat="1" applyFont="1" applyFill="1" applyBorder="1" applyAlignment="1" applyProtection="1">
      <alignment horizontal="right" vertical="center"/>
      <protection locked="0"/>
    </xf>
    <xf numFmtId="3" fontId="23" fillId="0" borderId="0" xfId="0" applyNumberFormat="1" applyFont="1" applyFill="1" applyBorder="1" applyAlignment="1">
      <alignment horizontal="right"/>
    </xf>
    <xf numFmtId="0" fontId="2" fillId="0" borderId="25" xfId="0" applyFont="1" applyBorder="1" applyAlignment="1">
      <alignment vertical="center"/>
    </xf>
    <xf numFmtId="0" fontId="23" fillId="0" borderId="49" xfId="0" applyFont="1" applyBorder="1" applyAlignment="1">
      <alignment vertical="center"/>
    </xf>
    <xf numFmtId="0" fontId="2" fillId="0" borderId="35" xfId="0" applyFont="1" applyBorder="1" applyAlignment="1">
      <alignment vertical="center"/>
    </xf>
    <xf numFmtId="0" fontId="24" fillId="0" borderId="9" xfId="0" applyFont="1" applyFill="1" applyBorder="1" applyAlignment="1">
      <alignment vertical="center"/>
    </xf>
    <xf numFmtId="0" fontId="24" fillId="0" borderId="12" xfId="0" applyFont="1" applyFill="1" applyBorder="1" applyAlignment="1">
      <alignment vertical="center"/>
    </xf>
    <xf numFmtId="3" fontId="23" fillId="0" borderId="0" xfId="0" applyNumberFormat="1" applyFont="1" applyBorder="1" applyAlignment="1">
      <alignment horizontal="right"/>
    </xf>
    <xf numFmtId="0" fontId="4" fillId="0" borderId="0" xfId="0" applyFont="1" applyFill="1" applyBorder="1" applyAlignment="1"/>
    <xf numFmtId="0" fontId="7" fillId="2" borderId="0" xfId="0" applyFont="1" applyFill="1" applyAlignment="1" applyProtection="1">
      <alignment horizontal="left"/>
    </xf>
    <xf numFmtId="49" fontId="7" fillId="2" borderId="0" xfId="0" applyNumberFormat="1" applyFont="1" applyFill="1" applyBorder="1" applyAlignment="1" applyProtection="1">
      <alignment horizontal="left"/>
    </xf>
    <xf numFmtId="0" fontId="1" fillId="2" borderId="0" xfId="0" applyFont="1" applyFill="1" applyBorder="1" applyAlignment="1">
      <alignment horizontal="center"/>
    </xf>
    <xf numFmtId="0" fontId="7" fillId="2" borderId="54" xfId="0" applyFont="1" applyFill="1" applyBorder="1" applyAlignment="1">
      <alignment horizontal="left"/>
    </xf>
    <xf numFmtId="0" fontId="1" fillId="2" borderId="54" xfId="0" applyFont="1" applyFill="1" applyBorder="1" applyAlignment="1">
      <alignment horizontal="center"/>
    </xf>
    <xf numFmtId="3" fontId="52" fillId="2" borderId="0" xfId="0" applyNumberFormat="1" applyFont="1" applyFill="1" applyBorder="1" applyAlignment="1" applyProtection="1">
      <alignment horizontal="right" vertical="center"/>
      <protection locked="0"/>
    </xf>
    <xf numFmtId="0" fontId="5" fillId="0" borderId="0" xfId="0" applyFont="1" applyAlignment="1">
      <alignment horizontal="left" wrapText="1"/>
    </xf>
    <xf numFmtId="0" fontId="18" fillId="4" borderId="33" xfId="0" applyNumberFormat="1" applyFont="1" applyFill="1" applyBorder="1" applyAlignment="1" applyProtection="1">
      <alignment horizontal="left" vertical="center" wrapText="1"/>
    </xf>
    <xf numFmtId="0" fontId="18" fillId="4" borderId="0" xfId="0" applyNumberFormat="1" applyFont="1" applyFill="1" applyBorder="1" applyAlignment="1" applyProtection="1">
      <alignment horizontal="left" vertical="center" wrapText="1"/>
    </xf>
    <xf numFmtId="0" fontId="18" fillId="4" borderId="19" xfId="0" applyNumberFormat="1" applyFont="1" applyFill="1" applyBorder="1" applyAlignment="1" applyProtection="1">
      <alignment horizontal="left" vertical="center" wrapText="1"/>
    </xf>
    <xf numFmtId="49" fontId="20" fillId="2" borderId="19" xfId="0" applyNumberFormat="1" applyFont="1" applyFill="1" applyBorder="1" applyAlignment="1">
      <alignment horizontal="right" vertical="center"/>
    </xf>
    <xf numFmtId="0" fontId="7" fillId="0" borderId="81" xfId="0" applyFont="1" applyFill="1" applyBorder="1" applyAlignment="1" applyProtection="1">
      <alignment horizontal="left"/>
      <protection locked="0"/>
    </xf>
    <xf numFmtId="0" fontId="7" fillId="0" borderId="81" xfId="0" applyFont="1" applyBorder="1" applyAlignment="1" applyProtection="1">
      <alignment horizontal="center"/>
      <protection locked="0"/>
    </xf>
    <xf numFmtId="0" fontId="29" fillId="0" borderId="84" xfId="0" applyFont="1" applyFill="1" applyBorder="1" applyAlignment="1" applyProtection="1">
      <alignment horizontal="right"/>
      <protection locked="0"/>
    </xf>
    <xf numFmtId="0" fontId="29" fillId="0" borderId="85" xfId="0" applyFont="1" applyFill="1" applyBorder="1" applyAlignment="1" applyProtection="1">
      <alignment horizontal="right"/>
      <protection locked="0"/>
    </xf>
    <xf numFmtId="0" fontId="36" fillId="2" borderId="33" xfId="0" applyFont="1" applyFill="1" applyBorder="1" applyAlignment="1" applyProtection="1">
      <alignment horizontal="left" vertical="top" wrapText="1"/>
    </xf>
    <xf numFmtId="0" fontId="5" fillId="2" borderId="33" xfId="0" applyFont="1" applyFill="1" applyBorder="1" applyAlignment="1">
      <alignment horizontal="left" vertical="top" wrapText="1"/>
    </xf>
    <xf numFmtId="14" fontId="36" fillId="0" borderId="86" xfId="0" applyNumberFormat="1" applyFont="1" applyBorder="1" applyAlignment="1" applyProtection="1">
      <alignment horizontal="center"/>
      <protection locked="0"/>
    </xf>
    <xf numFmtId="0" fontId="7" fillId="0" borderId="87" xfId="0" applyFont="1" applyBorder="1" applyAlignment="1" applyProtection="1">
      <alignment horizontal="center"/>
      <protection locked="0"/>
    </xf>
    <xf numFmtId="0" fontId="3" fillId="0" borderId="81" xfId="2" applyBorder="1" applyAlignment="1" applyProtection="1">
      <alignment horizontal="center"/>
      <protection locked="0"/>
    </xf>
    <xf numFmtId="49" fontId="29" fillId="0" borderId="88" xfId="0" applyNumberFormat="1" applyFont="1" applyFill="1" applyBorder="1" applyAlignment="1" applyProtection="1">
      <alignment horizontal="right"/>
      <protection locked="0"/>
    </xf>
    <xf numFmtId="49" fontId="29" fillId="0" borderId="81" xfId="0" applyNumberFormat="1" applyFont="1" applyFill="1" applyBorder="1" applyAlignment="1" applyProtection="1">
      <alignment horizontal="right"/>
      <protection locked="0"/>
    </xf>
    <xf numFmtId="0" fontId="29" fillId="0" borderId="88" xfId="0" applyFont="1" applyFill="1" applyBorder="1" applyAlignment="1" applyProtection="1">
      <alignment horizontal="right"/>
      <protection locked="0"/>
    </xf>
    <xf numFmtId="0" fontId="29" fillId="0" borderId="81" xfId="0" applyFont="1" applyFill="1" applyBorder="1" applyAlignment="1" applyProtection="1">
      <alignment horizontal="right"/>
      <protection locked="0"/>
    </xf>
    <xf numFmtId="0" fontId="51" fillId="0" borderId="88" xfId="0" applyFont="1" applyFill="1" applyBorder="1" applyAlignment="1" applyProtection="1">
      <alignment horizontal="right"/>
      <protection locked="0"/>
    </xf>
    <xf numFmtId="0" fontId="51" fillId="0" borderId="81" xfId="0" applyFont="1" applyFill="1" applyBorder="1" applyAlignment="1" applyProtection="1">
      <alignment horizontal="right"/>
      <protection locked="0"/>
    </xf>
    <xf numFmtId="0" fontId="7" fillId="0" borderId="87" xfId="0" applyFont="1" applyFill="1" applyBorder="1" applyAlignment="1" applyProtection="1">
      <alignment horizontal="left"/>
      <protection locked="0"/>
    </xf>
    <xf numFmtId="0" fontId="2" fillId="2" borderId="35" xfId="0" applyFont="1" applyFill="1" applyBorder="1" applyAlignment="1">
      <alignment horizontal="center" vertical="center"/>
    </xf>
    <xf numFmtId="0" fontId="2" fillId="2" borderId="52" xfId="0" applyFont="1" applyFill="1" applyBorder="1" applyAlignment="1">
      <alignment horizontal="center" vertical="center"/>
    </xf>
    <xf numFmtId="0" fontId="2" fillId="0" borderId="25" xfId="0" applyFont="1" applyBorder="1" applyAlignment="1">
      <alignment vertical="center"/>
    </xf>
    <xf numFmtId="0" fontId="23" fillId="0" borderId="49" xfId="0" applyFont="1" applyBorder="1" applyAlignment="1">
      <alignment vertical="center"/>
    </xf>
    <xf numFmtId="0" fontId="2" fillId="2" borderId="7" xfId="0" applyFont="1" applyFill="1" applyBorder="1" applyAlignment="1">
      <alignment horizontal="center" vertical="center"/>
    </xf>
    <xf numFmtId="0" fontId="2" fillId="2" borderId="8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2" fillId="0" borderId="25" xfId="0" applyFont="1" applyBorder="1" applyAlignment="1">
      <alignment vertical="center"/>
    </xf>
    <xf numFmtId="0" fontId="17" fillId="0" borderId="49" xfId="0" applyFont="1" applyBorder="1" applyAlignment="1">
      <alignment vertical="center"/>
    </xf>
    <xf numFmtId="0" fontId="2" fillId="0" borderId="10" xfId="0" applyFont="1" applyBorder="1" applyAlignment="1">
      <alignment vertical="center"/>
    </xf>
    <xf numFmtId="0" fontId="23" fillId="0" borderId="11" xfId="0" applyFont="1" applyBorder="1" applyAlignment="1">
      <alignment vertical="center"/>
    </xf>
    <xf numFmtId="0" fontId="22" fillId="0" borderId="9" xfId="0" applyFont="1" applyBorder="1" applyAlignment="1">
      <alignment vertical="center"/>
    </xf>
    <xf numFmtId="0" fontId="17" fillId="0" borderId="12" xfId="0" applyFont="1" applyBorder="1" applyAlignment="1">
      <alignment vertical="center"/>
    </xf>
    <xf numFmtId="0" fontId="2" fillId="0" borderId="35" xfId="0" applyFont="1" applyBorder="1" applyAlignment="1">
      <alignment vertical="center"/>
    </xf>
    <xf numFmtId="0" fontId="2" fillId="0" borderId="52" xfId="0" applyFont="1" applyBorder="1" applyAlignment="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3" fontId="25" fillId="0" borderId="10" xfId="4" applyNumberFormat="1" applyFont="1" applyFill="1" applyBorder="1" applyAlignment="1">
      <alignment horizontal="left"/>
    </xf>
    <xf numFmtId="3" fontId="25" fillId="0" borderId="11" xfId="4" applyNumberFormat="1" applyFont="1" applyFill="1" applyBorder="1" applyAlignment="1">
      <alignment horizontal="left"/>
    </xf>
    <xf numFmtId="0" fontId="24" fillId="0" borderId="9" xfId="0" applyFont="1" applyFill="1" applyBorder="1" applyAlignment="1">
      <alignment vertical="center"/>
    </xf>
    <xf numFmtId="0" fontId="24" fillId="0" borderId="12" xfId="0" applyFont="1" applyFill="1" applyBorder="1" applyAlignment="1">
      <alignment vertical="center"/>
    </xf>
    <xf numFmtId="0" fontId="28" fillId="4"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1"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7" borderId="0" xfId="0" applyFont="1" applyFill="1" applyAlignment="1">
      <alignment horizontal="justify"/>
    </xf>
    <xf numFmtId="0" fontId="4" fillId="2" borderId="0" xfId="0" applyNumberFormat="1" applyFont="1" applyFill="1" applyBorder="1" applyAlignment="1" applyProtection="1">
      <alignment horizontal="center" wrapText="1"/>
    </xf>
  </cellXfs>
  <cellStyles count="5">
    <cellStyle name="Euro" xfId="1"/>
    <cellStyle name="Hyperlink" xfId="2" builtinId="8"/>
    <cellStyle name="Procent" xfId="3" builtinId="5"/>
    <cellStyle name="Standaard" xfId="0" builtinId="0"/>
    <cellStyle name="Standaard_Blad1" xfId="4"/>
  </cellStyles>
  <dxfs count="8">
    <dxf>
      <fill>
        <patternFill>
          <bgColor indexed="43"/>
        </patternFill>
      </fill>
    </dxf>
    <dxf>
      <fill>
        <patternFill>
          <bgColor indexed="10"/>
        </patternFill>
      </fill>
    </dxf>
    <dxf>
      <font>
        <b/>
        <i val="0"/>
        <condense val="0"/>
        <extend val="0"/>
        <color indexed="10"/>
      </font>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340"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341"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338"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amp;C/0.5%20Administratie/0.6%20CBS%20IV3/2015/3e%20kwartaal%202015/KRD153030001OUD.x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anschrijfbrief"/>
      <sheetName val="2.Adressering"/>
      <sheetName val="3.Toelichting"/>
      <sheetName val="4.Informatie"/>
      <sheetName val="5.Verdelingsmatrix lasten"/>
      <sheetName val="6.Verdelingsmatrix baten"/>
      <sheetName val="7.Balansstanden"/>
      <sheetName val="8.Akkoordverklaring"/>
      <sheetName val="9.Eindoordeel"/>
    </sheetNames>
    <sheetDataSet>
      <sheetData sheetId="0"/>
      <sheetData sheetId="1"/>
      <sheetData sheetId="2"/>
      <sheetData sheetId="3">
        <row r="5">
          <cell r="C5" t="str">
            <v>Groningen</v>
          </cell>
        </row>
        <row r="6">
          <cell r="C6" t="str">
            <v>0001</v>
          </cell>
        </row>
        <row r="7">
          <cell r="C7">
            <v>2015</v>
          </cell>
        </row>
        <row r="8">
          <cell r="C8">
            <v>3</v>
          </cell>
        </row>
      </sheetData>
      <sheetData sheetId="4"/>
      <sheetData sheetId="5">
        <row r="179">
          <cell r="AD179">
            <v>904076.15298999997</v>
          </cell>
        </row>
      </sheetData>
      <sheetData sheetId="6"/>
      <sheetData sheetId="7"/>
      <sheetData sheetId="8"/>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heetViews>
  <sheetFormatPr defaultRowHeight="12.75" x14ac:dyDescent="0.2"/>
  <cols>
    <col min="1" max="1" width="10.7109375" style="6" customWidth="1"/>
    <col min="2" max="2" width="80.7109375" style="6" customWidth="1"/>
    <col min="3" max="16384" width="9.140625" style="6"/>
  </cols>
  <sheetData>
    <row r="2" spans="1:2" ht="16.5" x14ac:dyDescent="0.25">
      <c r="A2" s="5"/>
      <c r="B2" s="310" t="s">
        <v>484</v>
      </c>
    </row>
    <row r="3" spans="1:2" x14ac:dyDescent="0.2">
      <c r="A3" s="5"/>
      <c r="B3" s="333" t="s">
        <v>495</v>
      </c>
    </row>
    <row r="4" spans="1:2" x14ac:dyDescent="0.2">
      <c r="A4" s="5"/>
      <c r="B4" s="333"/>
    </row>
    <row r="6" spans="1:2" x14ac:dyDescent="0.2">
      <c r="A6" s="172" t="s">
        <v>7</v>
      </c>
      <c r="B6" s="7" t="s">
        <v>497</v>
      </c>
    </row>
    <row r="7" spans="1:2" ht="9" customHeight="1" x14ac:dyDescent="0.2">
      <c r="A7" s="293"/>
    </row>
    <row r="8" spans="1:2" ht="13.5" customHeight="1" x14ac:dyDescent="0.2">
      <c r="B8" s="8" t="s">
        <v>516</v>
      </c>
    </row>
    <row r="9" spans="1:2" x14ac:dyDescent="0.2">
      <c r="B9" s="12"/>
    </row>
    <row r="10" spans="1:2" s="11" customFormat="1" x14ac:dyDescent="0.2">
      <c r="B10" s="9" t="s">
        <v>6</v>
      </c>
    </row>
    <row r="11" spans="1:2" s="11" customFormat="1" ht="8.25" customHeight="1" x14ac:dyDescent="0.2">
      <c r="B11" s="9"/>
    </row>
    <row r="12" spans="1:2" ht="8.25" customHeight="1" x14ac:dyDescent="0.2">
      <c r="B12" s="9"/>
    </row>
    <row r="13" spans="1:2" ht="51" x14ac:dyDescent="0.2">
      <c r="B13" s="10" t="s">
        <v>465</v>
      </c>
    </row>
    <row r="14" spans="1:2" ht="8.25" customHeight="1" x14ac:dyDescent="0.2">
      <c r="B14" s="10"/>
    </row>
    <row r="15" spans="1:2" ht="63" customHeight="1" x14ac:dyDescent="0.2">
      <c r="B15" s="10" t="s">
        <v>491</v>
      </c>
    </row>
    <row r="16" spans="1:2" s="11" customFormat="1" ht="6" customHeight="1" x14ac:dyDescent="0.2">
      <c r="B16" s="9"/>
    </row>
    <row r="17" spans="2:2" ht="38.25" x14ac:dyDescent="0.2">
      <c r="B17" s="341" t="s">
        <v>591</v>
      </c>
    </row>
    <row r="18" spans="2:2" ht="6.75" customHeight="1" x14ac:dyDescent="0.2"/>
    <row r="19" spans="2:2" s="11" customFormat="1" ht="40.5" customHeight="1" x14ac:dyDescent="0.2">
      <c r="B19" s="10" t="s">
        <v>485</v>
      </c>
    </row>
    <row r="20" spans="2:2" s="11" customFormat="1" ht="6.75" customHeight="1" x14ac:dyDescent="0.2">
      <c r="B20" s="9"/>
    </row>
    <row r="21" spans="2:2" ht="15.75" customHeight="1" x14ac:dyDescent="0.2">
      <c r="B21" s="9" t="s">
        <v>483</v>
      </c>
    </row>
    <row r="22" spans="2:2" x14ac:dyDescent="0.2">
      <c r="B22" s="294" t="s">
        <v>4</v>
      </c>
    </row>
    <row r="23" spans="2:2" x14ac:dyDescent="0.2">
      <c r="B23" s="294" t="s">
        <v>5</v>
      </c>
    </row>
    <row r="24" spans="2:2" x14ac:dyDescent="0.2">
      <c r="B24" s="13" t="s">
        <v>9</v>
      </c>
    </row>
    <row r="25" spans="2:2" s="11" customFormat="1" x14ac:dyDescent="0.2">
      <c r="B25" s="13" t="s">
        <v>10</v>
      </c>
    </row>
    <row r="26" spans="2:2" s="11" customFormat="1" ht="10.5" customHeight="1" x14ac:dyDescent="0.2">
      <c r="B26" s="9"/>
    </row>
    <row r="27" spans="2:2" s="11" customFormat="1" ht="76.5" x14ac:dyDescent="0.2">
      <c r="B27" s="10" t="s">
        <v>492</v>
      </c>
    </row>
    <row r="28" spans="2:2" s="11" customFormat="1" ht="9.75" customHeight="1" x14ac:dyDescent="0.2">
      <c r="B28" s="9"/>
    </row>
    <row r="29" spans="2:2" s="11" customFormat="1" x14ac:dyDescent="0.2">
      <c r="B29" s="9" t="s">
        <v>8</v>
      </c>
    </row>
    <row r="30" spans="2:2" s="11" customFormat="1" ht="8.25" x14ac:dyDescent="0.15"/>
    <row r="32" spans="2:2" x14ac:dyDescent="0.2">
      <c r="B32" s="9" t="s">
        <v>496</v>
      </c>
    </row>
    <row r="33" spans="2:2" x14ac:dyDescent="0.2">
      <c r="B33" s="9" t="s">
        <v>590</v>
      </c>
    </row>
    <row r="34" spans="2:2" x14ac:dyDescent="0.2">
      <c r="B34" s="12"/>
    </row>
  </sheetData>
  <phoneticPr fontId="0" type="noConversion"/>
  <hyperlinks>
    <hyperlink ref="B24" r:id="rId1"/>
    <hyperlink ref="B25" r:id="rId2"/>
  </hyperlinks>
  <pageMargins left="0.39370078740157483" right="0.78740157480314965" top="1.0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x14ac:dyDescent="0.2"/>
  <cols>
    <col min="1" max="1" width="104.85546875" style="3" customWidth="1"/>
    <col min="2" max="2" width="15.7109375" style="15" customWidth="1"/>
    <col min="3" max="16384" width="9.140625" style="15"/>
  </cols>
  <sheetData>
    <row r="1" spans="1:2" ht="15" x14ac:dyDescent="0.2">
      <c r="A1" s="171" t="s">
        <v>212</v>
      </c>
    </row>
    <row r="2" spans="1:2" x14ac:dyDescent="0.2">
      <c r="A2" s="308"/>
    </row>
    <row r="3" spans="1:2" ht="51" customHeight="1" x14ac:dyDescent="0.2">
      <c r="A3" s="308" t="s">
        <v>517</v>
      </c>
    </row>
    <row r="4" spans="1:2" x14ac:dyDescent="0.2">
      <c r="A4" s="477" t="s">
        <v>395</v>
      </c>
    </row>
    <row r="5" spans="1:2" x14ac:dyDescent="0.2">
      <c r="A5" s="477"/>
    </row>
    <row r="6" spans="1:2" x14ac:dyDescent="0.2">
      <c r="A6" s="20"/>
    </row>
    <row r="7" spans="1:2" x14ac:dyDescent="0.2">
      <c r="A7" s="168" t="s">
        <v>394</v>
      </c>
    </row>
    <row r="8" spans="1:2" x14ac:dyDescent="0.2">
      <c r="A8" s="168"/>
    </row>
    <row r="9" spans="1:2" x14ac:dyDescent="0.2">
      <c r="A9" s="17" t="s">
        <v>466</v>
      </c>
    </row>
    <row r="10" spans="1:2" x14ac:dyDescent="0.2">
      <c r="A10" s="17" t="s">
        <v>467</v>
      </c>
    </row>
    <row r="11" spans="1:2" ht="18" customHeight="1" x14ac:dyDescent="0.2">
      <c r="A11" s="173" t="s">
        <v>396</v>
      </c>
    </row>
    <row r="12" spans="1:2" x14ac:dyDescent="0.2">
      <c r="A12" s="168"/>
    </row>
    <row r="13" spans="1:2" ht="25.5" x14ac:dyDescent="0.2">
      <c r="A13" s="302" t="s">
        <v>488</v>
      </c>
      <c r="B13" s="295"/>
    </row>
    <row r="14" spans="1:2" x14ac:dyDescent="0.2">
      <c r="A14" s="15"/>
    </row>
    <row r="15" spans="1:2" ht="38.25" x14ac:dyDescent="0.2">
      <c r="A15" s="307" t="s">
        <v>514</v>
      </c>
    </row>
    <row r="16" spans="1:2" x14ac:dyDescent="0.2">
      <c r="A16" s="307"/>
    </row>
    <row r="17" spans="1:1" ht="38.25" x14ac:dyDescent="0.2">
      <c r="A17" s="309" t="s">
        <v>397</v>
      </c>
    </row>
    <row r="18" spans="1:1" x14ac:dyDescent="0.2">
      <c r="A18" s="175" t="s">
        <v>213</v>
      </c>
    </row>
    <row r="19" spans="1:1" x14ac:dyDescent="0.2">
      <c r="A19" s="175"/>
    </row>
    <row r="20" spans="1:1" ht="15" x14ac:dyDescent="0.2">
      <c r="A20" s="171" t="s">
        <v>14</v>
      </c>
    </row>
    <row r="21" spans="1:1" x14ac:dyDescent="0.2">
      <c r="A21" s="168"/>
    </row>
    <row r="22" spans="1:1" x14ac:dyDescent="0.2">
      <c r="A22" s="20" t="s">
        <v>486</v>
      </c>
    </row>
    <row r="23" spans="1:1" x14ac:dyDescent="0.2">
      <c r="A23" s="20"/>
    </row>
    <row r="24" spans="1:1" x14ac:dyDescent="0.2">
      <c r="A24" s="176" t="s">
        <v>518</v>
      </c>
    </row>
    <row r="25" spans="1:1" x14ac:dyDescent="0.2">
      <c r="A25" s="176" t="s">
        <v>519</v>
      </c>
    </row>
    <row r="26" spans="1:1" x14ac:dyDescent="0.2">
      <c r="A26" s="176" t="s">
        <v>520</v>
      </c>
    </row>
    <row r="27" spans="1:1" x14ac:dyDescent="0.2">
      <c r="A27" s="169" t="s">
        <v>521</v>
      </c>
    </row>
    <row r="28" spans="1:1" x14ac:dyDescent="0.2">
      <c r="A28" s="169"/>
    </row>
    <row r="29" spans="1:1" x14ac:dyDescent="0.2">
      <c r="A29" s="15" t="s">
        <v>398</v>
      </c>
    </row>
    <row r="30" spans="1:1" x14ac:dyDescent="0.2">
      <c r="A30" s="15" t="s">
        <v>468</v>
      </c>
    </row>
    <row r="31" spans="1:1" x14ac:dyDescent="0.2">
      <c r="A31" s="3" t="s">
        <v>522</v>
      </c>
    </row>
    <row r="32" spans="1:1" x14ac:dyDescent="0.2">
      <c r="A32" s="3" t="s">
        <v>469</v>
      </c>
    </row>
    <row r="33" spans="1:1" x14ac:dyDescent="0.2">
      <c r="A33" s="3" t="s">
        <v>493</v>
      </c>
    </row>
    <row r="34" spans="1:1" x14ac:dyDescent="0.2">
      <c r="A34" s="3" t="s">
        <v>489</v>
      </c>
    </row>
    <row r="35" spans="1:1" x14ac:dyDescent="0.2">
      <c r="A35" s="3" t="s">
        <v>399</v>
      </c>
    </row>
    <row r="37" spans="1:1" ht="9" customHeight="1" x14ac:dyDescent="0.2"/>
    <row r="38" spans="1:1" x14ac:dyDescent="0.2">
      <c r="A38" s="170"/>
    </row>
    <row r="39" spans="1:1" x14ac:dyDescent="0.2">
      <c r="A39" s="16"/>
    </row>
    <row r="40" spans="1:1" x14ac:dyDescent="0.2">
      <c r="A40" s="21"/>
    </row>
    <row r="41" spans="1:1" x14ac:dyDescent="0.2">
      <c r="A41" s="14"/>
    </row>
    <row r="42" spans="1:1" x14ac:dyDescent="0.2">
      <c r="A42" s="4"/>
    </row>
    <row r="43" spans="1:1" ht="13.5" customHeight="1" x14ac:dyDescent="0.2">
      <c r="A43" s="21"/>
    </row>
    <row r="45" spans="1:1" x14ac:dyDescent="0.2">
      <c r="A45" s="21"/>
    </row>
    <row r="46" spans="1:1" x14ac:dyDescent="0.2">
      <c r="A46" s="4"/>
    </row>
    <row r="47" spans="1:1" ht="53.25" customHeight="1" x14ac:dyDescent="0.2"/>
    <row r="48" spans="1:1" s="22" customFormat="1" x14ac:dyDescent="0.2">
      <c r="A48" s="15"/>
    </row>
    <row r="49" spans="1:1" ht="25.5" customHeight="1" x14ac:dyDescent="0.2">
      <c r="A49" s="17"/>
    </row>
    <row r="50" spans="1:1" s="22" customFormat="1" x14ac:dyDescent="0.2">
      <c r="A50" s="15"/>
    </row>
    <row r="51" spans="1:1" x14ac:dyDescent="0.2">
      <c r="A51" s="17"/>
    </row>
    <row r="52" spans="1:1" s="22" customFormat="1" x14ac:dyDescent="0.2">
      <c r="A52" s="15"/>
    </row>
    <row r="53" spans="1:1" x14ac:dyDescent="0.2">
      <c r="A53" s="22"/>
    </row>
    <row r="54" spans="1:1" x14ac:dyDescent="0.2">
      <c r="A54" s="17"/>
    </row>
    <row r="55" spans="1:1" x14ac:dyDescent="0.2">
      <c r="A55" s="17"/>
    </row>
    <row r="56" spans="1:1" x14ac:dyDescent="0.2">
      <c r="A56" s="17"/>
    </row>
    <row r="63" spans="1:1" x14ac:dyDescent="0.2">
      <c r="A63" s="17"/>
    </row>
    <row r="64" spans="1:1" x14ac:dyDescent="0.2">
      <c r="A64" s="19"/>
    </row>
    <row r="65" spans="1:1" x14ac:dyDescent="0.2">
      <c r="A65" s="23"/>
    </row>
    <row r="68" spans="1:1" x14ac:dyDescent="0.2">
      <c r="A68" s="24"/>
    </row>
  </sheetData>
  <mergeCells count="1">
    <mergeCell ref="A4:A5"/>
  </mergeCells>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34"/>
  <sheetViews>
    <sheetView showGridLines="0" zoomScaleNormal="100" zoomScaleSheetLayoutView="79" workbookViewId="0"/>
  </sheetViews>
  <sheetFormatPr defaultRowHeight="8.25" x14ac:dyDescent="0.2"/>
  <cols>
    <col min="1" max="1" width="98.42578125" style="2" customWidth="1"/>
    <col min="2" max="16384" width="9.140625" style="1"/>
  </cols>
  <sheetData>
    <row r="1" spans="1:1" s="296" customFormat="1" ht="15" x14ac:dyDescent="0.25">
      <c r="A1" s="300" t="s">
        <v>501</v>
      </c>
    </row>
    <row r="2" spans="1:1" s="296" customFormat="1" ht="33.75" customHeight="1" x14ac:dyDescent="0.2">
      <c r="A2" s="301" t="s">
        <v>450</v>
      </c>
    </row>
    <row r="3" spans="1:1" s="296" customFormat="1" ht="15" customHeight="1" x14ac:dyDescent="0.2">
      <c r="A3" s="301" t="s">
        <v>451</v>
      </c>
    </row>
    <row r="4" spans="1:1" s="296" customFormat="1" ht="15.75" customHeight="1" x14ac:dyDescent="0.2">
      <c r="A4" s="301" t="s">
        <v>452</v>
      </c>
    </row>
    <row r="5" spans="1:1" s="296" customFormat="1" ht="33.75" customHeight="1" x14ac:dyDescent="0.2">
      <c r="A5" s="302" t="s">
        <v>453</v>
      </c>
    </row>
    <row r="6" spans="1:1" s="296" customFormat="1" ht="54.75" customHeight="1" x14ac:dyDescent="0.2">
      <c r="A6" s="302" t="s">
        <v>470</v>
      </c>
    </row>
    <row r="7" spans="1:1" s="296" customFormat="1" ht="22.5" customHeight="1" x14ac:dyDescent="0.2">
      <c r="A7" s="302" t="s">
        <v>454</v>
      </c>
    </row>
    <row r="8" spans="1:1" s="297" customFormat="1" ht="22.5" customHeight="1" x14ac:dyDescent="0.2">
      <c r="A8" s="301" t="s">
        <v>455</v>
      </c>
    </row>
    <row r="9" spans="1:1" s="297" customFormat="1" ht="25.5" x14ac:dyDescent="0.2">
      <c r="A9" s="301" t="s">
        <v>523</v>
      </c>
    </row>
    <row r="10" spans="1:1" s="296" customFormat="1" ht="32.25" customHeight="1" x14ac:dyDescent="0.2">
      <c r="A10" s="301" t="s">
        <v>456</v>
      </c>
    </row>
    <row r="11" spans="1:1" s="298" customFormat="1" ht="22.5" customHeight="1" x14ac:dyDescent="0.2">
      <c r="A11" s="20" t="s">
        <v>524</v>
      </c>
    </row>
    <row r="12" spans="1:1" s="296" customFormat="1" ht="33.75" customHeight="1" x14ac:dyDescent="0.2">
      <c r="A12" s="20" t="s">
        <v>457</v>
      </c>
    </row>
    <row r="13" spans="1:1" s="296" customFormat="1" ht="33.75" customHeight="1" x14ac:dyDescent="0.2">
      <c r="A13" s="301" t="s">
        <v>15</v>
      </c>
    </row>
    <row r="14" spans="1:1" s="296" customFormat="1" ht="46.5" customHeight="1" x14ac:dyDescent="0.2">
      <c r="A14" s="301" t="s">
        <v>13</v>
      </c>
    </row>
    <row r="15" spans="1:1" s="296" customFormat="1" ht="8.25" customHeight="1" x14ac:dyDescent="0.15">
      <c r="A15" s="303"/>
    </row>
    <row r="16" spans="1:1" s="296" customFormat="1" ht="15" x14ac:dyDescent="0.25">
      <c r="A16" s="300" t="s">
        <v>216</v>
      </c>
    </row>
    <row r="17" spans="1:1" s="296" customFormat="1" ht="33" customHeight="1" x14ac:dyDescent="0.2">
      <c r="A17" s="20" t="s">
        <v>487</v>
      </c>
    </row>
    <row r="18" spans="1:1" s="296" customFormat="1" ht="33.75" customHeight="1" x14ac:dyDescent="0.2">
      <c r="A18" s="302" t="s">
        <v>458</v>
      </c>
    </row>
    <row r="19" spans="1:1" s="296" customFormat="1" ht="86.25" customHeight="1" x14ac:dyDescent="0.15">
      <c r="A19" s="306" t="s">
        <v>515</v>
      </c>
    </row>
    <row r="20" spans="1:1" s="296" customFormat="1" ht="18" customHeight="1" x14ac:dyDescent="0.2">
      <c r="A20" s="301" t="s">
        <v>214</v>
      </c>
    </row>
    <row r="21" spans="1:1" s="296" customFormat="1" x14ac:dyDescent="0.15">
      <c r="A21" s="304"/>
    </row>
    <row r="22" spans="1:1" s="296" customFormat="1" ht="15" x14ac:dyDescent="0.25">
      <c r="A22" s="300" t="s">
        <v>211</v>
      </c>
    </row>
    <row r="23" spans="1:1" s="296" customFormat="1" ht="59.25" customHeight="1" x14ac:dyDescent="0.2">
      <c r="A23" s="302" t="s">
        <v>459</v>
      </c>
    </row>
    <row r="24" spans="1:1" s="296" customFormat="1" ht="33.75" customHeight="1" x14ac:dyDescent="0.2">
      <c r="A24" s="302" t="s">
        <v>460</v>
      </c>
    </row>
    <row r="25" spans="1:1" s="296" customFormat="1" ht="30.75" customHeight="1" x14ac:dyDescent="0.2">
      <c r="A25" s="302" t="s">
        <v>215</v>
      </c>
    </row>
    <row r="26" spans="1:1" s="296" customFormat="1" ht="18" customHeight="1" x14ac:dyDescent="0.2">
      <c r="A26" s="305" t="s">
        <v>461</v>
      </c>
    </row>
    <row r="27" spans="1:1" s="296" customFormat="1" x14ac:dyDescent="0.15">
      <c r="A27" s="303"/>
    </row>
    <row r="28" spans="1:1" s="296" customFormat="1" ht="15" x14ac:dyDescent="0.25">
      <c r="A28" s="300" t="s">
        <v>462</v>
      </c>
    </row>
    <row r="29" spans="1:1" s="296" customFormat="1" ht="18" customHeight="1" x14ac:dyDescent="0.2">
      <c r="A29" s="301" t="s">
        <v>463</v>
      </c>
    </row>
    <row r="30" spans="1:1" s="296" customFormat="1" ht="18" customHeight="1" x14ac:dyDescent="0.2">
      <c r="A30" s="301" t="s">
        <v>464</v>
      </c>
    </row>
    <row r="31" spans="1:1" s="296" customFormat="1" ht="38.25" x14ac:dyDescent="0.2">
      <c r="A31" s="301" t="s">
        <v>475</v>
      </c>
    </row>
    <row r="33" spans="1:1" ht="15" x14ac:dyDescent="0.2">
      <c r="A33" s="339" t="s">
        <v>525</v>
      </c>
    </row>
    <row r="34" spans="1:1" ht="51" x14ac:dyDescent="0.2">
      <c r="A34" s="3" t="s">
        <v>589</v>
      </c>
    </row>
  </sheetData>
  <phoneticPr fontId="0" type="noConversion"/>
  <pageMargins left="0.75" right="0.75" top="0.62" bottom="0.47" header="0.5" footer="0.5"/>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V60"/>
  <sheetViews>
    <sheetView showGridLines="0" zoomScaleNormal="100" workbookViewId="0">
      <selection activeCell="C9" sqref="C9:D9"/>
    </sheetView>
  </sheetViews>
  <sheetFormatPr defaultRowHeight="18" x14ac:dyDescent="0.25"/>
  <cols>
    <col min="1" max="1" width="3.140625" style="25" customWidth="1"/>
    <col min="2" max="2" width="12.5703125" style="25" customWidth="1"/>
    <col min="3" max="4" width="15.28515625" style="25" customWidth="1"/>
    <col min="5" max="8" width="10.85546875" style="25" customWidth="1"/>
    <col min="9" max="9" width="13.5703125" style="25" customWidth="1"/>
    <col min="10" max="10" width="3" style="25" customWidth="1"/>
    <col min="11" max="11" width="3.42578125" style="25" customWidth="1"/>
    <col min="12" max="13" width="5.42578125" style="25" customWidth="1"/>
    <col min="14" max="15" width="8.28515625" style="25" customWidth="1"/>
    <col min="16" max="16" width="27" style="25" customWidth="1"/>
    <col min="17" max="17" width="33.5703125" style="25" customWidth="1"/>
    <col min="18" max="16384" width="9.140625" style="25"/>
  </cols>
  <sheetData>
    <row r="1" spans="1:22" ht="14.25" customHeight="1" x14ac:dyDescent="0.25">
      <c r="A1" s="363"/>
      <c r="B1" s="478" t="s">
        <v>16</v>
      </c>
      <c r="C1" s="478"/>
      <c r="D1" s="478"/>
      <c r="E1" s="478"/>
      <c r="F1" s="478"/>
      <c r="G1" s="478"/>
      <c r="H1" s="478"/>
      <c r="I1" s="478"/>
      <c r="J1" s="364"/>
      <c r="R1" s="369"/>
      <c r="S1" s="369"/>
    </row>
    <row r="2" spans="1:22" ht="14.25" customHeight="1" x14ac:dyDescent="0.25">
      <c r="A2" s="365"/>
      <c r="B2" s="479" t="s">
        <v>17</v>
      </c>
      <c r="C2" s="479"/>
      <c r="D2" s="479"/>
      <c r="E2" s="479"/>
      <c r="F2" s="479"/>
      <c r="G2" s="479"/>
      <c r="H2" s="479"/>
      <c r="I2" s="479"/>
      <c r="J2" s="366"/>
      <c r="R2" s="369"/>
      <c r="S2" s="369"/>
    </row>
    <row r="3" spans="1:22" ht="14.25" customHeight="1" x14ac:dyDescent="0.25">
      <c r="A3" s="367"/>
      <c r="B3" s="480" t="str">
        <f>"Provincie "&amp;C5</f>
        <v>Provincie Groningen</v>
      </c>
      <c r="C3" s="480"/>
      <c r="D3" s="480"/>
      <c r="E3" s="480"/>
      <c r="F3" s="480"/>
      <c r="G3" s="480"/>
      <c r="H3" s="480"/>
      <c r="I3" s="480"/>
      <c r="J3" s="368"/>
      <c r="V3" s="370"/>
    </row>
    <row r="4" spans="1:22" ht="14.25" customHeight="1" x14ac:dyDescent="0.25">
      <c r="A4" s="5"/>
      <c r="B4" s="5"/>
      <c r="C4" s="5"/>
      <c r="D4" s="5"/>
      <c r="E4" s="5"/>
      <c r="F4" s="5"/>
      <c r="G4" s="5"/>
      <c r="H4" s="5"/>
      <c r="I4" s="5"/>
      <c r="J4" s="5"/>
      <c r="V4" s="370"/>
    </row>
    <row r="5" spans="1:22" ht="14.25" customHeight="1" x14ac:dyDescent="0.25">
      <c r="A5" s="343"/>
      <c r="B5" s="371" t="s">
        <v>217</v>
      </c>
      <c r="C5" s="484" t="s">
        <v>592</v>
      </c>
      <c r="D5" s="485"/>
      <c r="E5" s="372"/>
      <c r="F5" s="372"/>
      <c r="G5" s="373"/>
      <c r="H5" s="373" t="s">
        <v>361</v>
      </c>
      <c r="I5" s="374" t="str">
        <f>IF(OR(C5 = "aaaa",C6="xxxx"),"Gegevens invullen!","KRD"&amp;RIGHT(C7,2)&amp;C8&amp;"03"&amp;C6&amp;".XLS")</f>
        <v>KRD154030001.XLS</v>
      </c>
      <c r="J5" s="375"/>
      <c r="V5" s="370"/>
    </row>
    <row r="6" spans="1:22" s="28" customFormat="1" ht="14.25" customHeight="1" x14ac:dyDescent="0.2">
      <c r="A6" s="344"/>
      <c r="B6" s="376" t="s">
        <v>218</v>
      </c>
      <c r="C6" s="491" t="s">
        <v>593</v>
      </c>
      <c r="D6" s="492"/>
      <c r="E6" s="377"/>
      <c r="F6" s="377"/>
      <c r="G6" s="378"/>
      <c r="H6" s="378"/>
      <c r="I6" s="378"/>
      <c r="J6" s="379"/>
      <c r="V6" s="370"/>
    </row>
    <row r="7" spans="1:22" ht="14.25" customHeight="1" x14ac:dyDescent="0.25">
      <c r="A7" s="345"/>
      <c r="B7" s="380" t="s">
        <v>18</v>
      </c>
      <c r="C7" s="493">
        <v>2015</v>
      </c>
      <c r="D7" s="494"/>
      <c r="E7" s="381"/>
      <c r="F7" s="382"/>
      <c r="G7" s="382"/>
      <c r="H7" s="383"/>
      <c r="I7" s="384"/>
      <c r="J7" s="385"/>
      <c r="V7" s="370"/>
    </row>
    <row r="8" spans="1:22" ht="14.25" customHeight="1" x14ac:dyDescent="0.25">
      <c r="A8" s="346"/>
      <c r="B8" s="380" t="s">
        <v>19</v>
      </c>
      <c r="C8" s="495">
        <v>4</v>
      </c>
      <c r="D8" s="496"/>
      <c r="E8" s="383"/>
      <c r="F8" s="386" t="s">
        <v>472</v>
      </c>
      <c r="G8" s="382"/>
      <c r="H8" s="382"/>
      <c r="I8" s="382"/>
      <c r="J8" s="387"/>
      <c r="V8" s="370"/>
    </row>
    <row r="9" spans="1:22" s="29" customFormat="1" ht="14.25" customHeight="1" x14ac:dyDescent="0.25">
      <c r="A9" s="347"/>
      <c r="B9" s="388"/>
      <c r="C9" s="481" t="s">
        <v>20</v>
      </c>
      <c r="D9" s="481"/>
      <c r="E9" s="389"/>
      <c r="F9" s="390"/>
      <c r="G9" s="391"/>
      <c r="H9" s="391"/>
      <c r="I9" s="392"/>
      <c r="J9" s="393"/>
      <c r="V9" s="370"/>
    </row>
    <row r="10" spans="1:22" ht="14.25" customHeight="1" x14ac:dyDescent="0.25">
      <c r="A10" s="30"/>
      <c r="B10" s="30"/>
      <c r="C10" s="30"/>
      <c r="D10" s="30"/>
      <c r="E10" s="30"/>
      <c r="F10" s="30"/>
      <c r="G10" s="30"/>
      <c r="H10" s="30"/>
      <c r="I10" s="30"/>
      <c r="J10" s="30"/>
      <c r="V10" s="370"/>
    </row>
    <row r="11" spans="1:22" s="5" customFormat="1" ht="14.25" customHeight="1" x14ac:dyDescent="0.2">
      <c r="A11" s="348"/>
      <c r="B11" s="349" t="s">
        <v>0</v>
      </c>
      <c r="C11" s="486" t="s">
        <v>471</v>
      </c>
      <c r="D11" s="487"/>
      <c r="E11" s="487"/>
      <c r="F11" s="487"/>
      <c r="G11" s="487"/>
      <c r="H11" s="487"/>
      <c r="I11" s="487"/>
      <c r="J11" s="350"/>
      <c r="V11" s="370"/>
    </row>
    <row r="12" spans="1:22" s="33" customFormat="1" ht="14.25" customHeight="1" x14ac:dyDescent="0.2">
      <c r="A12" s="351"/>
      <c r="B12" s="394" t="s">
        <v>21</v>
      </c>
      <c r="C12" s="489" t="s">
        <v>594</v>
      </c>
      <c r="D12" s="489"/>
      <c r="E12" s="489"/>
      <c r="F12" s="489"/>
      <c r="G12" s="489"/>
      <c r="H12" s="489"/>
      <c r="I12" s="489"/>
      <c r="J12" s="352"/>
      <c r="V12" s="370"/>
    </row>
    <row r="13" spans="1:22" s="5" customFormat="1" ht="14.25" customHeight="1" x14ac:dyDescent="0.2">
      <c r="A13" s="351"/>
      <c r="B13" s="394" t="s">
        <v>22</v>
      </c>
      <c r="C13" s="483" t="s">
        <v>595</v>
      </c>
      <c r="D13" s="483"/>
      <c r="E13" s="483"/>
      <c r="F13" s="483"/>
      <c r="G13" s="483"/>
      <c r="H13" s="483"/>
      <c r="I13" s="483"/>
      <c r="J13" s="352"/>
      <c r="V13" s="370"/>
    </row>
    <row r="14" spans="1:22" s="5" customFormat="1" ht="14.25" customHeight="1" x14ac:dyDescent="0.2">
      <c r="A14" s="351"/>
      <c r="B14" s="394" t="s">
        <v>23</v>
      </c>
      <c r="C14" s="483" t="s">
        <v>596</v>
      </c>
      <c r="D14" s="483"/>
      <c r="E14" s="483"/>
      <c r="F14" s="483"/>
      <c r="G14" s="483"/>
      <c r="H14" s="483"/>
      <c r="I14" s="483"/>
      <c r="J14" s="352"/>
      <c r="V14" s="370"/>
    </row>
    <row r="15" spans="1:22" s="5" customFormat="1" ht="14.25" customHeight="1" x14ac:dyDescent="0.2">
      <c r="A15" s="351"/>
      <c r="B15" s="394" t="s">
        <v>24</v>
      </c>
      <c r="C15" s="483" t="s">
        <v>597</v>
      </c>
      <c r="D15" s="483"/>
      <c r="E15" s="483"/>
      <c r="F15" s="483"/>
      <c r="G15" s="483"/>
      <c r="H15" s="483"/>
      <c r="I15" s="483"/>
      <c r="J15" s="352"/>
      <c r="V15" s="370"/>
    </row>
    <row r="16" spans="1:22" s="5" customFormat="1" ht="14.25" customHeight="1" x14ac:dyDescent="0.2">
      <c r="A16" s="351"/>
      <c r="B16" s="394" t="s">
        <v>25</v>
      </c>
      <c r="C16" s="490" t="s">
        <v>598</v>
      </c>
      <c r="D16" s="483"/>
      <c r="E16" s="483"/>
      <c r="F16" s="483"/>
      <c r="G16" s="483"/>
      <c r="H16" s="483"/>
      <c r="I16" s="483"/>
      <c r="J16" s="352"/>
    </row>
    <row r="17" spans="1:17" s="5" customFormat="1" ht="14.25" customHeight="1" x14ac:dyDescent="0.2">
      <c r="A17" s="351"/>
      <c r="B17" s="394" t="s">
        <v>26</v>
      </c>
      <c r="C17" s="488">
        <v>42046</v>
      </c>
      <c r="D17" s="488"/>
      <c r="E17" s="488"/>
      <c r="F17" s="488"/>
      <c r="G17" s="488"/>
      <c r="H17" s="488"/>
      <c r="I17" s="488"/>
      <c r="J17" s="352"/>
    </row>
    <row r="18" spans="1:17" s="5" customFormat="1" ht="14.25" customHeight="1" x14ac:dyDescent="0.2">
      <c r="A18" s="353"/>
      <c r="B18" s="354"/>
      <c r="C18" s="354"/>
      <c r="D18" s="354"/>
      <c r="E18" s="354"/>
      <c r="F18" s="354"/>
      <c r="G18" s="354"/>
      <c r="H18" s="354"/>
      <c r="I18" s="354"/>
      <c r="J18" s="355"/>
    </row>
    <row r="19" spans="1:17" ht="14.25" customHeight="1" x14ac:dyDescent="0.25"/>
    <row r="20" spans="1:17" ht="14.25" customHeight="1" x14ac:dyDescent="0.25">
      <c r="A20" s="356"/>
      <c r="B20" s="342" t="s">
        <v>27</v>
      </c>
      <c r="C20" s="342"/>
      <c r="D20" s="342"/>
      <c r="E20" s="342"/>
      <c r="F20" s="342"/>
      <c r="G20" s="342"/>
      <c r="H20" s="342"/>
      <c r="I20" s="342"/>
      <c r="J20" s="357"/>
      <c r="K20" s="26"/>
    </row>
    <row r="21" spans="1:17" ht="14.25" customHeight="1" x14ac:dyDescent="0.25">
      <c r="A21" s="358"/>
      <c r="B21" s="35"/>
      <c r="C21" s="35"/>
      <c r="D21" s="35"/>
      <c r="E21" s="35"/>
      <c r="F21" s="35"/>
      <c r="G21" s="35"/>
      <c r="H21" s="35"/>
      <c r="I21" s="35"/>
      <c r="J21" s="359"/>
      <c r="K21" s="26"/>
      <c r="L21" s="395"/>
      <c r="M21" s="396"/>
      <c r="N21" s="397"/>
      <c r="O21" s="397"/>
      <c r="P21" s="398"/>
      <c r="Q21" s="398"/>
    </row>
    <row r="22" spans="1:17" ht="14.25" customHeight="1" x14ac:dyDescent="0.25">
      <c r="A22" s="358"/>
      <c r="B22" s="497"/>
      <c r="C22" s="497"/>
      <c r="D22" s="497"/>
      <c r="E22" s="497"/>
      <c r="F22" s="497"/>
      <c r="G22" s="497"/>
      <c r="H22" s="497"/>
      <c r="I22" s="497"/>
      <c r="J22" s="359"/>
      <c r="K22" s="26"/>
      <c r="L22" s="395"/>
      <c r="M22" s="396"/>
      <c r="N22" s="397"/>
      <c r="O22" s="397"/>
      <c r="P22" s="398"/>
      <c r="Q22" s="398"/>
    </row>
    <row r="23" spans="1:17" ht="14.25" customHeight="1" x14ac:dyDescent="0.25">
      <c r="A23" s="358"/>
      <c r="B23" s="482"/>
      <c r="C23" s="482"/>
      <c r="D23" s="482"/>
      <c r="E23" s="482"/>
      <c r="F23" s="482"/>
      <c r="G23" s="482"/>
      <c r="H23" s="482"/>
      <c r="I23" s="482"/>
      <c r="J23" s="359"/>
      <c r="K23" s="26"/>
      <c r="L23" s="395"/>
      <c r="M23" s="396"/>
      <c r="N23" s="397"/>
      <c r="O23" s="397"/>
      <c r="P23" s="398"/>
      <c r="Q23" s="398"/>
    </row>
    <row r="24" spans="1:17" ht="14.25" customHeight="1" x14ac:dyDescent="0.25">
      <c r="A24" s="358"/>
      <c r="B24" s="482"/>
      <c r="C24" s="482"/>
      <c r="D24" s="482"/>
      <c r="E24" s="482"/>
      <c r="F24" s="482"/>
      <c r="G24" s="482"/>
      <c r="H24" s="482"/>
      <c r="I24" s="482"/>
      <c r="J24" s="359"/>
      <c r="K24" s="26"/>
      <c r="L24" s="395"/>
      <c r="M24" s="396"/>
      <c r="N24" s="397"/>
      <c r="O24" s="397"/>
      <c r="P24" s="398"/>
      <c r="Q24" s="398"/>
    </row>
    <row r="25" spans="1:17" ht="14.25" customHeight="1" x14ac:dyDescent="0.25">
      <c r="A25" s="358"/>
      <c r="B25" s="482"/>
      <c r="C25" s="482"/>
      <c r="D25" s="482"/>
      <c r="E25" s="482"/>
      <c r="F25" s="482"/>
      <c r="G25" s="482"/>
      <c r="H25" s="482"/>
      <c r="I25" s="482"/>
      <c r="J25" s="359"/>
      <c r="K25" s="26"/>
      <c r="L25" s="395"/>
      <c r="M25" s="396"/>
      <c r="N25" s="397"/>
      <c r="O25" s="397"/>
      <c r="P25" s="398"/>
      <c r="Q25" s="398"/>
    </row>
    <row r="26" spans="1:17" ht="14.25" customHeight="1" x14ac:dyDescent="0.25">
      <c r="A26" s="358"/>
      <c r="B26" s="482"/>
      <c r="C26" s="482"/>
      <c r="D26" s="482"/>
      <c r="E26" s="482"/>
      <c r="F26" s="482"/>
      <c r="G26" s="482"/>
      <c r="H26" s="482"/>
      <c r="I26" s="482"/>
      <c r="J26" s="359"/>
    </row>
    <row r="27" spans="1:17" ht="14.25" customHeight="1" x14ac:dyDescent="0.25">
      <c r="A27" s="358"/>
      <c r="B27" s="340"/>
      <c r="C27" s="340"/>
      <c r="D27" s="340"/>
      <c r="E27" s="340"/>
      <c r="F27" s="340"/>
      <c r="G27" s="340"/>
      <c r="H27" s="340"/>
      <c r="I27" s="340"/>
      <c r="J27" s="359"/>
    </row>
    <row r="28" spans="1:17" ht="14.25" customHeight="1" x14ac:dyDescent="0.25">
      <c r="A28" s="358"/>
      <c r="B28" s="340"/>
      <c r="C28" s="340"/>
      <c r="D28" s="340"/>
      <c r="E28" s="340"/>
      <c r="F28" s="340"/>
      <c r="G28" s="340"/>
      <c r="H28" s="340"/>
      <c r="I28" s="340"/>
      <c r="J28" s="359"/>
    </row>
    <row r="29" spans="1:17" ht="14.25" customHeight="1" x14ac:dyDescent="0.25">
      <c r="A29" s="358"/>
      <c r="B29" s="340"/>
      <c r="C29" s="340"/>
      <c r="D29" s="340"/>
      <c r="E29" s="340"/>
      <c r="F29" s="340"/>
      <c r="G29" s="340"/>
      <c r="H29" s="340"/>
      <c r="I29" s="340"/>
      <c r="J29" s="359"/>
    </row>
    <row r="30" spans="1:17" ht="14.25" customHeight="1" x14ac:dyDescent="0.25">
      <c r="A30" s="358"/>
      <c r="B30" s="340"/>
      <c r="C30" s="340"/>
      <c r="D30" s="340"/>
      <c r="E30" s="340"/>
      <c r="F30" s="340"/>
      <c r="G30" s="340"/>
      <c r="H30" s="340"/>
      <c r="I30" s="340"/>
      <c r="J30" s="359"/>
    </row>
    <row r="31" spans="1:17" ht="14.25" customHeight="1" x14ac:dyDescent="0.25">
      <c r="A31" s="358"/>
      <c r="B31" s="482"/>
      <c r="C31" s="482"/>
      <c r="D31" s="482"/>
      <c r="E31" s="482"/>
      <c r="F31" s="482"/>
      <c r="G31" s="482"/>
      <c r="H31" s="482"/>
      <c r="I31" s="482"/>
      <c r="J31" s="359"/>
    </row>
    <row r="32" spans="1:17" ht="14.25" customHeight="1" x14ac:dyDescent="0.25">
      <c r="A32" s="358"/>
      <c r="B32" s="482"/>
      <c r="C32" s="482"/>
      <c r="D32" s="482"/>
      <c r="E32" s="482"/>
      <c r="F32" s="482"/>
      <c r="G32" s="482"/>
      <c r="H32" s="482"/>
      <c r="I32" s="482"/>
      <c r="J32" s="359"/>
    </row>
    <row r="33" spans="1:10" ht="14.25" customHeight="1" x14ac:dyDescent="0.25">
      <c r="A33" s="358"/>
      <c r="B33" s="482"/>
      <c r="C33" s="482"/>
      <c r="D33" s="482"/>
      <c r="E33" s="482"/>
      <c r="F33" s="482"/>
      <c r="G33" s="482"/>
      <c r="H33" s="482"/>
      <c r="I33" s="482"/>
      <c r="J33" s="359"/>
    </row>
    <row r="34" spans="1:10" ht="14.25" customHeight="1" x14ac:dyDescent="0.25">
      <c r="A34" s="358"/>
      <c r="B34" s="482"/>
      <c r="C34" s="482"/>
      <c r="D34" s="482"/>
      <c r="E34" s="482"/>
      <c r="F34" s="482"/>
      <c r="G34" s="482"/>
      <c r="H34" s="482"/>
      <c r="I34" s="482"/>
      <c r="J34" s="359"/>
    </row>
    <row r="35" spans="1:10" ht="14.25" customHeight="1" x14ac:dyDescent="0.25">
      <c r="A35" s="358"/>
      <c r="B35" s="482"/>
      <c r="C35" s="482"/>
      <c r="D35" s="482"/>
      <c r="E35" s="482"/>
      <c r="F35" s="482"/>
      <c r="G35" s="482"/>
      <c r="H35" s="482"/>
      <c r="I35" s="482"/>
      <c r="J35" s="359"/>
    </row>
    <row r="36" spans="1:10" ht="14.25" customHeight="1" x14ac:dyDescent="0.25">
      <c r="A36" s="358"/>
      <c r="B36" s="482"/>
      <c r="C36" s="482"/>
      <c r="D36" s="482"/>
      <c r="E36" s="482"/>
      <c r="F36" s="482"/>
      <c r="G36" s="482"/>
      <c r="H36" s="482"/>
      <c r="I36" s="482"/>
      <c r="J36" s="359"/>
    </row>
    <row r="37" spans="1:10" ht="14.25" customHeight="1" x14ac:dyDescent="0.25">
      <c r="A37" s="358"/>
      <c r="B37" s="482"/>
      <c r="C37" s="482"/>
      <c r="D37" s="482"/>
      <c r="E37" s="482"/>
      <c r="F37" s="482"/>
      <c r="G37" s="482"/>
      <c r="H37" s="482"/>
      <c r="I37" s="482"/>
      <c r="J37" s="359"/>
    </row>
    <row r="38" spans="1:10" ht="14.25" customHeight="1" x14ac:dyDescent="0.25">
      <c r="A38" s="360"/>
      <c r="B38" s="361"/>
      <c r="C38" s="361"/>
      <c r="D38" s="361"/>
      <c r="E38" s="361"/>
      <c r="F38" s="361"/>
      <c r="G38" s="361"/>
      <c r="H38" s="361"/>
      <c r="I38" s="361"/>
      <c r="J38" s="362"/>
    </row>
    <row r="39" spans="1:10" ht="14.25" customHeight="1" x14ac:dyDescent="0.25"/>
    <row r="40" spans="1:10" ht="14.25" customHeight="1" x14ac:dyDescent="0.25"/>
    <row r="41" spans="1:10" ht="14.25" customHeight="1" x14ac:dyDescent="0.25"/>
    <row r="42" spans="1:10" ht="14.25" customHeight="1" x14ac:dyDescent="0.25"/>
    <row r="43" spans="1:10" ht="14.25" customHeight="1" x14ac:dyDescent="0.25"/>
    <row r="44" spans="1:10" ht="14.25" customHeight="1" x14ac:dyDescent="0.25"/>
    <row r="45" spans="1:10" ht="14.25" customHeight="1" x14ac:dyDescent="0.25"/>
    <row r="46" spans="1:10" ht="14.25" customHeight="1" x14ac:dyDescent="0.25"/>
    <row r="47" spans="1:10" ht="14.25" customHeight="1" x14ac:dyDescent="0.25"/>
    <row r="48" spans="1:10"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sheetData>
  <mergeCells count="27">
    <mergeCell ref="B37:I37"/>
    <mergeCell ref="B34:I34"/>
    <mergeCell ref="B35:I35"/>
    <mergeCell ref="B22:I22"/>
    <mergeCell ref="B36:I36"/>
    <mergeCell ref="B33:I33"/>
    <mergeCell ref="B24:I24"/>
    <mergeCell ref="B31:I31"/>
    <mergeCell ref="B26:I26"/>
    <mergeCell ref="B25:I25"/>
    <mergeCell ref="B23:I23"/>
    <mergeCell ref="B1:I1"/>
    <mergeCell ref="B2:I2"/>
    <mergeCell ref="B3:I3"/>
    <mergeCell ref="C9:D9"/>
    <mergeCell ref="B32:I32"/>
    <mergeCell ref="C13:I13"/>
    <mergeCell ref="C15:I15"/>
    <mergeCell ref="C5:D5"/>
    <mergeCell ref="C11:I11"/>
    <mergeCell ref="C17:I17"/>
    <mergeCell ref="C14:I14"/>
    <mergeCell ref="C12:I12"/>
    <mergeCell ref="C16:I16"/>
    <mergeCell ref="C6:D6"/>
    <mergeCell ref="C7:D7"/>
    <mergeCell ref="C8:D8"/>
  </mergeCells>
  <phoneticPr fontId="0" type="noConversion"/>
  <conditionalFormatting sqref="E23:E24 E25:G25 P21:P25">
    <cfRule type="expression" dxfId="7" priority="1" stopIfTrue="1">
      <formula>AND(B21&gt;=On2n,E21="")</formula>
    </cfRule>
  </conditionalFormatting>
  <conditionalFormatting sqref="H23:H25">
    <cfRule type="expression" dxfId="6" priority="2" stopIfTrue="1">
      <formula>AND(E23="anders:",H23="")</formula>
    </cfRule>
  </conditionalFormatting>
  <conditionalFormatting sqref="Q21:Q25">
    <cfRule type="expression" dxfId="5" priority="3" stopIfTrue="1">
      <formula>P21="anders:"</formula>
    </cfRule>
  </conditionalFormatting>
  <conditionalFormatting sqref="M21:M25">
    <cfRule type="cellIs" dxfId="4" priority="4" stopIfTrue="1" operator="greaterThanOrEqual">
      <formula>On2n</formula>
    </cfRule>
    <cfRule type="cellIs" dxfId="3" priority="5" stopIfTrue="1" operator="greaterThanOrEqual">
      <formula>Tw2n</formula>
    </cfRule>
  </conditionalFormatting>
  <conditionalFormatting sqref="I5">
    <cfRule type="cellIs" dxfId="2" priority="6" stopIfTrue="1" operator="equal">
      <formula>"Gegevens invullen!"</formula>
    </cfRule>
  </conditionalFormatting>
  <conditionalFormatting sqref="B23:B25">
    <cfRule type="cellIs" dxfId="1" priority="7" stopIfTrue="1" operator="equal">
      <formula>"o"</formula>
    </cfRule>
    <cfRule type="cellIs" dxfId="0" priority="8" stopIfTrue="1" operator="equal">
      <formula>"t"</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86"/>
  <sheetViews>
    <sheetView showGridLines="0" showZeros="0" tabSelected="1" zoomScale="75" zoomScaleNormal="75" workbookViewId="0">
      <pane xSplit="2" ySplit="4" topLeftCell="AA152" activePane="bottomRight" state="frozen"/>
      <selection activeCell="I10" sqref="I10"/>
      <selection pane="topRight" activeCell="I10" sqref="I10"/>
      <selection pane="bottomLeft" activeCell="I10" sqref="I10"/>
      <selection pane="bottomRight" activeCell="AJ170" sqref="AJ170"/>
    </sheetView>
  </sheetViews>
  <sheetFormatPr defaultRowHeight="14.25" x14ac:dyDescent="0.2"/>
  <cols>
    <col min="1" max="1" width="13.140625" style="48" customWidth="1"/>
    <col min="2" max="2" width="97.28515625" style="48" bestFit="1" customWidth="1"/>
    <col min="3" max="3" width="4.140625" style="48" hidden="1" customWidth="1"/>
    <col min="4" max="4" width="7.5703125" style="48" bestFit="1" customWidth="1"/>
    <col min="5" max="5" width="6.42578125" style="48" bestFit="1" customWidth="1"/>
    <col min="6" max="29" width="8.7109375" style="48" customWidth="1"/>
    <col min="30" max="30" width="11" style="48" customWidth="1"/>
    <col min="31" max="16384" width="9.140625" style="113"/>
  </cols>
  <sheetData>
    <row r="1" spans="1:31" s="88" customFormat="1" ht="18" x14ac:dyDescent="0.2">
      <c r="A1" s="36" t="str">
        <f>"Verdelingsmatrix provincie "&amp;+'[1]4.Informatie'!C5&amp;" ("&amp;'[1]4.Informatie'!C6&amp;"): "&amp;'[1]4.Informatie'!C7&amp;" periode "&amp;'[1]4.Informatie'!C8&amp;", lasten"</f>
        <v>Verdelingsmatrix provincie Groningen (0001): 2015 periode 3, lasten</v>
      </c>
      <c r="B1" s="37"/>
      <c r="C1" s="126" t="s">
        <v>28</v>
      </c>
      <c r="D1" s="126" t="s">
        <v>29</v>
      </c>
      <c r="E1" s="38" t="s">
        <v>30</v>
      </c>
      <c r="F1" s="38" t="s">
        <v>220</v>
      </c>
      <c r="G1" s="38" t="s">
        <v>221</v>
      </c>
      <c r="H1" s="38" t="s">
        <v>31</v>
      </c>
      <c r="I1" s="38" t="s">
        <v>32</v>
      </c>
      <c r="J1" s="38" t="s">
        <v>222</v>
      </c>
      <c r="K1" s="38" t="s">
        <v>223</v>
      </c>
      <c r="L1" s="38" t="s">
        <v>34</v>
      </c>
      <c r="M1" s="38" t="s">
        <v>180</v>
      </c>
      <c r="N1" s="38" t="s">
        <v>181</v>
      </c>
      <c r="O1" s="38" t="s">
        <v>182</v>
      </c>
      <c r="P1" s="38" t="s">
        <v>36</v>
      </c>
      <c r="Q1" s="38" t="s">
        <v>37</v>
      </c>
      <c r="R1" s="38" t="s">
        <v>224</v>
      </c>
      <c r="S1" s="38" t="s">
        <v>44</v>
      </c>
      <c r="T1" s="38" t="s">
        <v>225</v>
      </c>
      <c r="U1" s="38" t="s">
        <v>226</v>
      </c>
      <c r="V1" s="38" t="s">
        <v>227</v>
      </c>
      <c r="W1" s="38" t="s">
        <v>228</v>
      </c>
      <c r="X1" s="38" t="s">
        <v>229</v>
      </c>
      <c r="Y1" s="38" t="s">
        <v>230</v>
      </c>
      <c r="Z1" s="38" t="s">
        <v>231</v>
      </c>
      <c r="AA1" s="38" t="s">
        <v>232</v>
      </c>
      <c r="AB1" s="38" t="s">
        <v>233</v>
      </c>
      <c r="AC1" s="39" t="s">
        <v>234</v>
      </c>
      <c r="AD1" s="40"/>
      <c r="AE1" s="87"/>
    </row>
    <row r="2" spans="1:31" s="89" customFormat="1" ht="125.25" customHeight="1" thickBot="1" x14ac:dyDescent="0.3">
      <c r="A2" s="41" t="s">
        <v>46</v>
      </c>
      <c r="B2" s="42" t="s">
        <v>47</v>
      </c>
      <c r="C2" s="157" t="s">
        <v>392</v>
      </c>
      <c r="D2" s="159" t="s">
        <v>48</v>
      </c>
      <c r="E2" s="160" t="s">
        <v>49</v>
      </c>
      <c r="F2" s="160" t="s">
        <v>235</v>
      </c>
      <c r="G2" s="160" t="s">
        <v>236</v>
      </c>
      <c r="H2" s="160" t="s">
        <v>237</v>
      </c>
      <c r="I2" s="160" t="s">
        <v>238</v>
      </c>
      <c r="J2" s="160" t="s">
        <v>51</v>
      </c>
      <c r="K2" s="160" t="s">
        <v>50</v>
      </c>
      <c r="L2" s="160" t="s">
        <v>239</v>
      </c>
      <c r="M2" s="160" t="s">
        <v>240</v>
      </c>
      <c r="N2" s="160" t="s">
        <v>241</v>
      </c>
      <c r="O2" s="160" t="s">
        <v>500</v>
      </c>
      <c r="P2" s="160" t="s">
        <v>242</v>
      </c>
      <c r="Q2" s="160" t="s">
        <v>363</v>
      </c>
      <c r="R2" s="160" t="s">
        <v>243</v>
      </c>
      <c r="S2" s="160" t="s">
        <v>244</v>
      </c>
      <c r="T2" s="160" t="s">
        <v>245</v>
      </c>
      <c r="U2" s="160" t="s">
        <v>52</v>
      </c>
      <c r="V2" s="160" t="s">
        <v>246</v>
      </c>
      <c r="W2" s="160" t="s">
        <v>53</v>
      </c>
      <c r="X2" s="160" t="s">
        <v>54</v>
      </c>
      <c r="Y2" s="160" t="s">
        <v>55</v>
      </c>
      <c r="Z2" s="160" t="s">
        <v>56</v>
      </c>
      <c r="AA2" s="160" t="s">
        <v>57</v>
      </c>
      <c r="AB2" s="160" t="s">
        <v>247</v>
      </c>
      <c r="AC2" s="161" t="s">
        <v>58</v>
      </c>
      <c r="AD2" s="162" t="s">
        <v>364</v>
      </c>
    </row>
    <row r="3" spans="1:31" s="89" customFormat="1" ht="2.25" customHeight="1" x14ac:dyDescent="0.2">
      <c r="A3" s="90"/>
      <c r="B3" s="127"/>
      <c r="C3" s="118"/>
      <c r="D3" s="93"/>
      <c r="E3" s="93"/>
      <c r="F3" s="93"/>
      <c r="G3" s="93"/>
      <c r="H3" s="93"/>
      <c r="I3" s="93"/>
      <c r="J3" s="93"/>
      <c r="K3" s="93"/>
      <c r="L3" s="93"/>
      <c r="M3" s="93"/>
      <c r="N3" s="93"/>
      <c r="O3" s="93"/>
      <c r="P3" s="93"/>
      <c r="Q3" s="93"/>
      <c r="R3" s="93"/>
      <c r="S3" s="93"/>
      <c r="T3" s="93"/>
      <c r="U3" s="93"/>
      <c r="V3" s="93"/>
      <c r="W3" s="93"/>
      <c r="X3" s="93"/>
      <c r="Y3" s="93"/>
      <c r="Z3" s="93"/>
      <c r="AA3" s="93"/>
      <c r="AB3" s="93"/>
      <c r="AC3" s="93"/>
      <c r="AD3" s="158"/>
    </row>
    <row r="4" spans="1:31" s="89" customFormat="1" ht="2.25" customHeight="1" x14ac:dyDescent="0.2">
      <c r="A4" s="91"/>
      <c r="B4" s="128"/>
      <c r="C4" s="117"/>
      <c r="D4" s="92"/>
      <c r="E4" s="92"/>
      <c r="F4" s="92"/>
      <c r="G4" s="92"/>
      <c r="H4" s="92"/>
      <c r="I4" s="92"/>
      <c r="J4" s="92"/>
      <c r="K4" s="92"/>
      <c r="L4" s="92"/>
      <c r="M4" s="93"/>
      <c r="N4" s="92"/>
      <c r="O4" s="92"/>
      <c r="P4" s="92"/>
      <c r="Q4" s="92"/>
      <c r="R4" s="93"/>
      <c r="S4" s="92"/>
      <c r="T4" s="93"/>
      <c r="U4" s="93"/>
      <c r="V4" s="93"/>
      <c r="W4" s="93"/>
      <c r="X4" s="93"/>
      <c r="Y4" s="93"/>
      <c r="Z4" s="92"/>
      <c r="AA4" s="93"/>
      <c r="AB4" s="92"/>
      <c r="AC4" s="92"/>
      <c r="AD4" s="94"/>
    </row>
    <row r="5" spans="1:31" s="45" customFormat="1" ht="15" x14ac:dyDescent="0.2">
      <c r="A5" s="464" t="s">
        <v>62</v>
      </c>
      <c r="B5" s="129" t="s">
        <v>60</v>
      </c>
      <c r="C5" s="415"/>
      <c r="D5" s="417"/>
      <c r="E5" s="417"/>
      <c r="F5" s="417"/>
      <c r="G5" s="417"/>
      <c r="H5" s="417"/>
      <c r="I5" s="417"/>
      <c r="J5" s="417"/>
      <c r="K5" s="417"/>
      <c r="L5" s="417"/>
      <c r="M5" s="448"/>
      <c r="N5" s="417"/>
      <c r="O5" s="417"/>
      <c r="P5" s="417"/>
      <c r="Q5" s="417"/>
      <c r="R5" s="448"/>
      <c r="S5" s="417"/>
      <c r="T5" s="448"/>
      <c r="U5" s="448"/>
      <c r="V5" s="448"/>
      <c r="W5" s="448"/>
      <c r="X5" s="448"/>
      <c r="Y5" s="448"/>
      <c r="Z5" s="417"/>
      <c r="AA5" s="448"/>
      <c r="AB5" s="417"/>
      <c r="AC5" s="417"/>
      <c r="AD5" s="418"/>
    </row>
    <row r="6" spans="1:31" s="45" customFormat="1" x14ac:dyDescent="0.2">
      <c r="A6" s="95" t="s">
        <v>248</v>
      </c>
      <c r="B6" s="465" t="s">
        <v>249</v>
      </c>
      <c r="C6" s="449"/>
      <c r="D6" s="424">
        <f>105365.25/1000</f>
        <v>105.36525</v>
      </c>
      <c r="E6" s="424"/>
      <c r="F6" s="424"/>
      <c r="G6" s="424"/>
      <c r="H6" s="424"/>
      <c r="I6" s="424">
        <f>3691.64/1000</f>
        <v>3.69164</v>
      </c>
      <c r="J6" s="424">
        <f>1031264.13/1000</f>
        <v>1031.26413</v>
      </c>
      <c r="K6" s="424"/>
      <c r="L6" s="424"/>
      <c r="M6" s="433"/>
      <c r="N6" s="424"/>
      <c r="O6" s="424">
        <f>362009.51/1000</f>
        <v>362.00951000000003</v>
      </c>
      <c r="P6" s="424"/>
      <c r="Q6" s="424"/>
      <c r="R6" s="424"/>
      <c r="S6" s="424">
        <f>899.13/1000</f>
        <v>0.89912999999999998</v>
      </c>
      <c r="T6" s="432"/>
      <c r="U6" s="421"/>
      <c r="V6" s="421"/>
      <c r="W6" s="421"/>
      <c r="X6" s="421"/>
      <c r="Y6" s="419"/>
      <c r="Z6" s="424"/>
      <c r="AA6" s="424"/>
      <c r="AB6" s="424"/>
      <c r="AC6" s="422">
        <f>1063610.45/1000</f>
        <v>1063.6104499999999</v>
      </c>
      <c r="AD6" s="423">
        <f t="shared" ref="AD6:AD14" si="0">SUM(C6:AC6)</f>
        <v>2566.8401100000001</v>
      </c>
      <c r="AE6" s="96"/>
    </row>
    <row r="7" spans="1:31" s="45" customFormat="1" x14ac:dyDescent="0.2">
      <c r="A7" s="95" t="s">
        <v>29</v>
      </c>
      <c r="B7" s="465" t="s">
        <v>250</v>
      </c>
      <c r="C7" s="449"/>
      <c r="D7" s="424"/>
      <c r="E7" s="424"/>
      <c r="F7" s="424"/>
      <c r="G7" s="424"/>
      <c r="H7" s="424"/>
      <c r="I7" s="424"/>
      <c r="J7" s="424">
        <f>671952.69/1000</f>
        <v>671.95268999999996</v>
      </c>
      <c r="K7" s="424"/>
      <c r="L7" s="424"/>
      <c r="M7" s="433"/>
      <c r="N7" s="424">
        <f>201923.73/1000</f>
        <v>201.92373000000001</v>
      </c>
      <c r="O7" s="424">
        <f>36053.63/1000</f>
        <v>36.053629999999998</v>
      </c>
      <c r="P7" s="424"/>
      <c r="Q7" s="424"/>
      <c r="R7" s="424"/>
      <c r="S7" s="424">
        <f>(885614.88+166.65)/1000</f>
        <v>885.78152999999998</v>
      </c>
      <c r="T7" s="432"/>
      <c r="U7" s="421"/>
      <c r="V7" s="421"/>
      <c r="W7" s="421"/>
      <c r="X7" s="421"/>
      <c r="Y7" s="419"/>
      <c r="Z7" s="424"/>
      <c r="AA7" s="424"/>
      <c r="AB7" s="424"/>
      <c r="AC7" s="422">
        <f>4148210.18/1000</f>
        <v>4148.21018</v>
      </c>
      <c r="AD7" s="423">
        <f t="shared" si="0"/>
        <v>5943.9217600000002</v>
      </c>
      <c r="AE7" s="96"/>
    </row>
    <row r="8" spans="1:31" s="45" customFormat="1" x14ac:dyDescent="0.2">
      <c r="A8" s="95" t="s">
        <v>30</v>
      </c>
      <c r="B8" s="465" t="s">
        <v>251</v>
      </c>
      <c r="C8" s="449"/>
      <c r="D8" s="431"/>
      <c r="E8" s="450"/>
      <c r="F8" s="424"/>
      <c r="G8" s="424"/>
      <c r="H8" s="424"/>
      <c r="I8" s="424"/>
      <c r="J8" s="424"/>
      <c r="K8" s="424"/>
      <c r="L8" s="424"/>
      <c r="M8" s="433"/>
      <c r="N8" s="424"/>
      <c r="O8" s="424">
        <f>14775/1000</f>
        <v>14.775</v>
      </c>
      <c r="P8" s="424"/>
      <c r="Q8" s="424"/>
      <c r="R8" s="424"/>
      <c r="S8" s="424"/>
      <c r="T8" s="432"/>
      <c r="U8" s="421"/>
      <c r="V8" s="421"/>
      <c r="W8" s="421"/>
      <c r="X8" s="421"/>
      <c r="Y8" s="419"/>
      <c r="Z8" s="424"/>
      <c r="AA8" s="424"/>
      <c r="AB8" s="424"/>
      <c r="AC8" s="422">
        <f>813787.24/1000</f>
        <v>813.78724</v>
      </c>
      <c r="AD8" s="423">
        <f t="shared" si="0"/>
        <v>828.56223999999997</v>
      </c>
      <c r="AE8" s="96"/>
    </row>
    <row r="9" spans="1:31" s="45" customFormat="1" x14ac:dyDescent="0.2">
      <c r="A9" s="95" t="s">
        <v>252</v>
      </c>
      <c r="B9" s="465" t="s">
        <v>253</v>
      </c>
      <c r="C9" s="449"/>
      <c r="D9" s="421"/>
      <c r="E9" s="419"/>
      <c r="F9" s="424"/>
      <c r="G9" s="424"/>
      <c r="H9" s="424"/>
      <c r="I9" s="424"/>
      <c r="J9" s="424">
        <f>59381.49/1000</f>
        <v>59.381489999999999</v>
      </c>
      <c r="K9" s="424"/>
      <c r="L9" s="424"/>
      <c r="M9" s="433"/>
      <c r="N9" s="424"/>
      <c r="O9" s="424"/>
      <c r="P9" s="424"/>
      <c r="Q9" s="424"/>
      <c r="R9" s="424"/>
      <c r="S9" s="424"/>
      <c r="T9" s="432"/>
      <c r="U9" s="421"/>
      <c r="V9" s="421"/>
      <c r="W9" s="421"/>
      <c r="X9" s="421"/>
      <c r="Y9" s="419"/>
      <c r="Z9" s="424"/>
      <c r="AA9" s="424"/>
      <c r="AB9" s="424"/>
      <c r="AC9" s="422">
        <f>822778.42/1000</f>
        <v>822.7784200000001</v>
      </c>
      <c r="AD9" s="423">
        <f t="shared" si="0"/>
        <v>882.15991000000008</v>
      </c>
      <c r="AE9" s="96"/>
    </row>
    <row r="10" spans="1:31" s="45" customFormat="1" x14ac:dyDescent="0.2">
      <c r="A10" s="95" t="s">
        <v>254</v>
      </c>
      <c r="B10" s="465" t="s">
        <v>255</v>
      </c>
      <c r="C10" s="449"/>
      <c r="D10" s="421"/>
      <c r="E10" s="419"/>
      <c r="F10" s="424"/>
      <c r="G10" s="424"/>
      <c r="H10" s="424"/>
      <c r="I10" s="424"/>
      <c r="J10" s="424"/>
      <c r="K10" s="424"/>
      <c r="L10" s="424"/>
      <c r="M10" s="433"/>
      <c r="N10" s="424"/>
      <c r="O10" s="424"/>
      <c r="P10" s="424"/>
      <c r="Q10" s="424"/>
      <c r="R10" s="424"/>
      <c r="S10" s="424"/>
      <c r="T10" s="432"/>
      <c r="U10" s="421"/>
      <c r="V10" s="421"/>
      <c r="W10" s="421"/>
      <c r="X10" s="421"/>
      <c r="Y10" s="419"/>
      <c r="Z10" s="424"/>
      <c r="AA10" s="424"/>
      <c r="AB10" s="424"/>
      <c r="AC10" s="422">
        <f>527368.69/1000</f>
        <v>527.3686899999999</v>
      </c>
      <c r="AD10" s="423">
        <f t="shared" si="0"/>
        <v>527.3686899999999</v>
      </c>
      <c r="AE10" s="96"/>
    </row>
    <row r="11" spans="1:31" s="45" customFormat="1" x14ac:dyDescent="0.2">
      <c r="A11" s="95" t="s">
        <v>256</v>
      </c>
      <c r="B11" s="465" t="s">
        <v>257</v>
      </c>
      <c r="C11" s="449"/>
      <c r="D11" s="421"/>
      <c r="E11" s="419"/>
      <c r="F11" s="424"/>
      <c r="G11" s="424"/>
      <c r="H11" s="424"/>
      <c r="I11" s="424"/>
      <c r="J11" s="424">
        <f>506877.04/1000</f>
        <v>506.87703999999997</v>
      </c>
      <c r="K11" s="424"/>
      <c r="L11" s="424"/>
      <c r="M11" s="433"/>
      <c r="N11" s="424"/>
      <c r="O11" s="424"/>
      <c r="P11" s="424"/>
      <c r="Q11" s="424"/>
      <c r="R11" s="424"/>
      <c r="S11" s="424"/>
      <c r="T11" s="432"/>
      <c r="U11" s="421"/>
      <c r="V11" s="421"/>
      <c r="W11" s="421"/>
      <c r="X11" s="421"/>
      <c r="Y11" s="419"/>
      <c r="Z11" s="424"/>
      <c r="AA11" s="424"/>
      <c r="AB11" s="424"/>
      <c r="AC11" s="422">
        <f>1433027.99/1000</f>
        <v>1433.02799</v>
      </c>
      <c r="AD11" s="423">
        <f t="shared" si="0"/>
        <v>1939.9050299999999</v>
      </c>
      <c r="AE11" s="96"/>
    </row>
    <row r="12" spans="1:31" s="45" customFormat="1" x14ac:dyDescent="0.2">
      <c r="A12" s="95" t="s">
        <v>258</v>
      </c>
      <c r="B12" s="465" t="s">
        <v>259</v>
      </c>
      <c r="C12" s="449"/>
      <c r="D12" s="421"/>
      <c r="E12" s="419"/>
      <c r="F12" s="424"/>
      <c r="G12" s="424"/>
      <c r="H12" s="424"/>
      <c r="I12" s="424">
        <f>2597.44/1000</f>
        <v>2.5974400000000002</v>
      </c>
      <c r="J12" s="424">
        <f>1273103.87/1000</f>
        <v>1273.1038700000001</v>
      </c>
      <c r="K12" s="424"/>
      <c r="L12" s="424"/>
      <c r="M12" s="433"/>
      <c r="N12" s="424">
        <f>17924.89/1000</f>
        <v>17.924889999999998</v>
      </c>
      <c r="O12" s="424">
        <f>1097428/1000</f>
        <v>1097.4280000000001</v>
      </c>
      <c r="P12" s="424"/>
      <c r="Q12" s="424"/>
      <c r="R12" s="424"/>
      <c r="S12" s="424">
        <f>(291.75+731.73)/1000</f>
        <v>1.0234799999999999</v>
      </c>
      <c r="T12" s="432"/>
      <c r="U12" s="421"/>
      <c r="V12" s="421"/>
      <c r="W12" s="421"/>
      <c r="X12" s="421"/>
      <c r="Y12" s="419"/>
      <c r="Z12" s="424"/>
      <c r="AA12" s="424"/>
      <c r="AB12" s="424"/>
      <c r="AC12" s="422">
        <f>3216163.24/1000</f>
        <v>3216.1632400000003</v>
      </c>
      <c r="AD12" s="423">
        <f t="shared" si="0"/>
        <v>5608.2409200000002</v>
      </c>
      <c r="AE12" s="96"/>
    </row>
    <row r="13" spans="1:31" s="45" customFormat="1" x14ac:dyDescent="0.2">
      <c r="A13" s="97" t="s">
        <v>260</v>
      </c>
      <c r="B13" s="130" t="s">
        <v>261</v>
      </c>
      <c r="C13" s="449"/>
      <c r="D13" s="421"/>
      <c r="E13" s="419"/>
      <c r="F13" s="425"/>
      <c r="G13" s="425"/>
      <c r="H13" s="425">
        <f>15930.86/1000</f>
        <v>15.930860000000001</v>
      </c>
      <c r="I13" s="425">
        <f>11269.56/1000</f>
        <v>11.26956</v>
      </c>
      <c r="J13" s="425">
        <f>1127744.75/1000</f>
        <v>1127.7447500000001</v>
      </c>
      <c r="K13" s="425"/>
      <c r="L13" s="425">
        <f>-1329.11/1000</f>
        <v>-1.3291099999999998</v>
      </c>
      <c r="M13" s="433"/>
      <c r="N13" s="425">
        <f>116983/1000</f>
        <v>116.983</v>
      </c>
      <c r="O13" s="425">
        <f>10890/1000</f>
        <v>10.89</v>
      </c>
      <c r="P13" s="425"/>
      <c r="Q13" s="425"/>
      <c r="R13" s="425"/>
      <c r="S13" s="425">
        <f>(29199.15+7282.48-105673.93)/1000</f>
        <v>-69.192299999999989</v>
      </c>
      <c r="T13" s="432"/>
      <c r="U13" s="421"/>
      <c r="V13" s="421"/>
      <c r="W13" s="421"/>
      <c r="X13" s="421"/>
      <c r="Y13" s="419"/>
      <c r="Z13" s="425"/>
      <c r="AA13" s="425"/>
      <c r="AB13" s="425"/>
      <c r="AC13" s="426">
        <f>11135306.54/1000</f>
        <v>11135.30654</v>
      </c>
      <c r="AD13" s="427">
        <f t="shared" si="0"/>
        <v>12347.603299999999</v>
      </c>
      <c r="AE13" s="96"/>
    </row>
    <row r="14" spans="1:31" s="45" customFormat="1" ht="15" collapsed="1" x14ac:dyDescent="0.2">
      <c r="A14" s="508" t="s">
        <v>65</v>
      </c>
      <c r="B14" s="509"/>
      <c r="C14" s="451">
        <f>SUM(C6:C13)</f>
        <v>0</v>
      </c>
      <c r="D14" s="424">
        <f t="shared" ref="D14:AC14" si="1">SUM(D6:D13)</f>
        <v>105.36525</v>
      </c>
      <c r="E14" s="424">
        <f t="shared" si="1"/>
        <v>0</v>
      </c>
      <c r="F14" s="424">
        <f t="shared" si="1"/>
        <v>0</v>
      </c>
      <c r="G14" s="424">
        <f t="shared" si="1"/>
        <v>0</v>
      </c>
      <c r="H14" s="424">
        <f t="shared" si="1"/>
        <v>15.930860000000001</v>
      </c>
      <c r="I14" s="424">
        <f t="shared" si="1"/>
        <v>17.55864</v>
      </c>
      <c r="J14" s="424">
        <f t="shared" si="1"/>
        <v>4670.3239700000004</v>
      </c>
      <c r="K14" s="424">
        <f t="shared" si="1"/>
        <v>0</v>
      </c>
      <c r="L14" s="424">
        <f t="shared" si="1"/>
        <v>-1.3291099999999998</v>
      </c>
      <c r="M14" s="433">
        <f t="shared" si="1"/>
        <v>0</v>
      </c>
      <c r="N14" s="424">
        <f t="shared" si="1"/>
        <v>336.83162000000004</v>
      </c>
      <c r="O14" s="424">
        <f t="shared" si="1"/>
        <v>1521.1561400000003</v>
      </c>
      <c r="P14" s="424">
        <f t="shared" si="1"/>
        <v>0</v>
      </c>
      <c r="Q14" s="424">
        <f t="shared" si="1"/>
        <v>0</v>
      </c>
      <c r="R14" s="424">
        <f t="shared" si="1"/>
        <v>0</v>
      </c>
      <c r="S14" s="424">
        <f t="shared" si="1"/>
        <v>818.51183999999989</v>
      </c>
      <c r="T14" s="432">
        <f t="shared" si="1"/>
        <v>0</v>
      </c>
      <c r="U14" s="421">
        <f t="shared" si="1"/>
        <v>0</v>
      </c>
      <c r="V14" s="421">
        <f t="shared" si="1"/>
        <v>0</v>
      </c>
      <c r="W14" s="421">
        <f t="shared" si="1"/>
        <v>0</v>
      </c>
      <c r="X14" s="421">
        <f t="shared" si="1"/>
        <v>0</v>
      </c>
      <c r="Y14" s="419">
        <f t="shared" si="1"/>
        <v>0</v>
      </c>
      <c r="Z14" s="424">
        <f t="shared" si="1"/>
        <v>0</v>
      </c>
      <c r="AA14" s="424">
        <f t="shared" si="1"/>
        <v>0</v>
      </c>
      <c r="AB14" s="424">
        <f t="shared" si="1"/>
        <v>0</v>
      </c>
      <c r="AC14" s="422">
        <f t="shared" si="1"/>
        <v>23160.25275</v>
      </c>
      <c r="AD14" s="423">
        <f t="shared" si="0"/>
        <v>30644.60196</v>
      </c>
      <c r="AE14" s="96"/>
    </row>
    <row r="15" spans="1:31" s="45" customFormat="1" x14ac:dyDescent="0.2">
      <c r="A15" s="98"/>
      <c r="B15" s="47"/>
      <c r="C15" s="428"/>
      <c r="D15" s="429"/>
      <c r="E15" s="429"/>
      <c r="F15" s="429"/>
      <c r="G15" s="429"/>
      <c r="H15" s="429"/>
      <c r="I15" s="429"/>
      <c r="J15" s="429"/>
      <c r="K15" s="429"/>
      <c r="L15" s="429"/>
      <c r="M15" s="428"/>
      <c r="N15" s="429"/>
      <c r="O15" s="429"/>
      <c r="P15" s="429"/>
      <c r="Q15" s="429"/>
      <c r="R15" s="428"/>
      <c r="S15" s="429"/>
      <c r="T15" s="428"/>
      <c r="U15" s="428"/>
      <c r="V15" s="428"/>
      <c r="W15" s="428"/>
      <c r="X15" s="428"/>
      <c r="Y15" s="428"/>
      <c r="Z15" s="429"/>
      <c r="AA15" s="428"/>
      <c r="AB15" s="429"/>
      <c r="AC15" s="429"/>
      <c r="AD15" s="430"/>
      <c r="AE15" s="96"/>
    </row>
    <row r="16" spans="1:31" s="45" customFormat="1" ht="15" x14ac:dyDescent="0.2">
      <c r="A16" s="100" t="s">
        <v>66</v>
      </c>
      <c r="B16" s="131" t="s">
        <v>63</v>
      </c>
      <c r="C16" s="449"/>
      <c r="D16" s="431"/>
      <c r="E16" s="431"/>
      <c r="F16" s="429"/>
      <c r="G16" s="429"/>
      <c r="H16" s="429"/>
      <c r="I16" s="429"/>
      <c r="J16" s="429"/>
      <c r="K16" s="429"/>
      <c r="L16" s="429"/>
      <c r="M16" s="431"/>
      <c r="N16" s="429"/>
      <c r="O16" s="429"/>
      <c r="P16" s="429"/>
      <c r="Q16" s="429"/>
      <c r="R16" s="431"/>
      <c r="S16" s="429"/>
      <c r="T16" s="431"/>
      <c r="U16" s="431"/>
      <c r="V16" s="431"/>
      <c r="W16" s="431"/>
      <c r="X16" s="431"/>
      <c r="Y16" s="431"/>
      <c r="Z16" s="429"/>
      <c r="AA16" s="431"/>
      <c r="AB16" s="429"/>
      <c r="AC16" s="429"/>
      <c r="AD16" s="430"/>
      <c r="AE16" s="96"/>
    </row>
    <row r="17" spans="1:31" s="45" customFormat="1" x14ac:dyDescent="0.2">
      <c r="A17" s="95" t="s">
        <v>262</v>
      </c>
      <c r="B17" s="465" t="s">
        <v>263</v>
      </c>
      <c r="C17" s="449"/>
      <c r="D17" s="421"/>
      <c r="E17" s="419"/>
      <c r="F17" s="424"/>
      <c r="G17" s="424"/>
      <c r="H17" s="424"/>
      <c r="I17" s="424">
        <f>600/1000</f>
        <v>0.6</v>
      </c>
      <c r="J17" s="424">
        <f>3217.37/1000</f>
        <v>3.2173699999999998</v>
      </c>
      <c r="K17" s="424"/>
      <c r="L17" s="424"/>
      <c r="M17" s="433"/>
      <c r="N17" s="424"/>
      <c r="O17" s="424"/>
      <c r="P17" s="424"/>
      <c r="Q17" s="424"/>
      <c r="R17" s="424"/>
      <c r="S17" s="424">
        <f>22900/1000</f>
        <v>22.9</v>
      </c>
      <c r="T17" s="432"/>
      <c r="U17" s="421"/>
      <c r="V17" s="421"/>
      <c r="W17" s="421"/>
      <c r="X17" s="421"/>
      <c r="Y17" s="419"/>
      <c r="Z17" s="424"/>
      <c r="AA17" s="424"/>
      <c r="AB17" s="424"/>
      <c r="AC17" s="422">
        <f>260422.45/1000</f>
        <v>260.42245000000003</v>
      </c>
      <c r="AD17" s="423">
        <f>SUM(C17:AC17)</f>
        <v>287.13982000000004</v>
      </c>
      <c r="AE17" s="96"/>
    </row>
    <row r="18" spans="1:31" s="45" customFormat="1" x14ac:dyDescent="0.2">
      <c r="A18" s="95" t="s">
        <v>31</v>
      </c>
      <c r="B18" s="465" t="s">
        <v>64</v>
      </c>
      <c r="C18" s="449"/>
      <c r="D18" s="421"/>
      <c r="E18" s="419"/>
      <c r="F18" s="424"/>
      <c r="G18" s="424"/>
      <c r="H18" s="424"/>
      <c r="I18" s="424"/>
      <c r="J18" s="424"/>
      <c r="K18" s="424"/>
      <c r="L18" s="424"/>
      <c r="M18" s="433"/>
      <c r="N18" s="424"/>
      <c r="O18" s="424"/>
      <c r="P18" s="424"/>
      <c r="Q18" s="424"/>
      <c r="R18" s="424"/>
      <c r="S18" s="424"/>
      <c r="T18" s="432"/>
      <c r="U18" s="421"/>
      <c r="V18" s="421"/>
      <c r="W18" s="421"/>
      <c r="X18" s="421"/>
      <c r="Y18" s="419"/>
      <c r="Z18" s="424"/>
      <c r="AA18" s="424"/>
      <c r="AB18" s="424"/>
      <c r="AC18" s="422"/>
      <c r="AD18" s="423">
        <f>SUM(C18:AC18)</f>
        <v>0</v>
      </c>
      <c r="AE18" s="96"/>
    </row>
    <row r="19" spans="1:31" s="45" customFormat="1" x14ac:dyDescent="0.2">
      <c r="A19" s="97" t="s">
        <v>32</v>
      </c>
      <c r="B19" s="130" t="s">
        <v>264</v>
      </c>
      <c r="C19" s="449"/>
      <c r="D19" s="421"/>
      <c r="E19" s="419"/>
      <c r="F19" s="425"/>
      <c r="G19" s="425"/>
      <c r="H19" s="425"/>
      <c r="I19" s="425"/>
      <c r="J19" s="425"/>
      <c r="K19" s="425"/>
      <c r="L19" s="425"/>
      <c r="M19" s="433"/>
      <c r="N19" s="425"/>
      <c r="O19" s="425"/>
      <c r="P19" s="425"/>
      <c r="Q19" s="425"/>
      <c r="R19" s="425"/>
      <c r="S19" s="425"/>
      <c r="T19" s="432"/>
      <c r="U19" s="421"/>
      <c r="V19" s="421"/>
      <c r="W19" s="421"/>
      <c r="X19" s="421"/>
      <c r="Y19" s="419"/>
      <c r="Z19" s="425"/>
      <c r="AA19" s="425"/>
      <c r="AB19" s="425"/>
      <c r="AC19" s="426"/>
      <c r="AD19" s="427">
        <f>SUM(C19:AC19)</f>
        <v>0</v>
      </c>
      <c r="AE19" s="96"/>
    </row>
    <row r="20" spans="1:31" s="45" customFormat="1" ht="15" collapsed="1" x14ac:dyDescent="0.2">
      <c r="A20" s="508" t="s">
        <v>67</v>
      </c>
      <c r="B20" s="509"/>
      <c r="C20" s="449">
        <f>SUM(C17:C19)</f>
        <v>0</v>
      </c>
      <c r="D20" s="421">
        <f t="shared" ref="D20:AC20" si="2">SUM(D17:D19)</f>
        <v>0</v>
      </c>
      <c r="E20" s="419">
        <f t="shared" si="2"/>
        <v>0</v>
      </c>
      <c r="F20" s="424">
        <f t="shared" si="2"/>
        <v>0</v>
      </c>
      <c r="G20" s="424">
        <f t="shared" si="2"/>
        <v>0</v>
      </c>
      <c r="H20" s="424">
        <f t="shared" si="2"/>
        <v>0</v>
      </c>
      <c r="I20" s="424">
        <f t="shared" si="2"/>
        <v>0.6</v>
      </c>
      <c r="J20" s="424">
        <f t="shared" si="2"/>
        <v>3.2173699999999998</v>
      </c>
      <c r="K20" s="424">
        <f t="shared" si="2"/>
        <v>0</v>
      </c>
      <c r="L20" s="424">
        <f t="shared" si="2"/>
        <v>0</v>
      </c>
      <c r="M20" s="433">
        <f t="shared" si="2"/>
        <v>0</v>
      </c>
      <c r="N20" s="424">
        <f t="shared" si="2"/>
        <v>0</v>
      </c>
      <c r="O20" s="424">
        <f t="shared" si="2"/>
        <v>0</v>
      </c>
      <c r="P20" s="424">
        <f t="shared" si="2"/>
        <v>0</v>
      </c>
      <c r="Q20" s="424">
        <f t="shared" si="2"/>
        <v>0</v>
      </c>
      <c r="R20" s="424">
        <f t="shared" si="2"/>
        <v>0</v>
      </c>
      <c r="S20" s="424">
        <f t="shared" si="2"/>
        <v>22.9</v>
      </c>
      <c r="T20" s="432">
        <f t="shared" si="2"/>
        <v>0</v>
      </c>
      <c r="U20" s="421">
        <f t="shared" si="2"/>
        <v>0</v>
      </c>
      <c r="V20" s="421">
        <f t="shared" si="2"/>
        <v>0</v>
      </c>
      <c r="W20" s="421">
        <f t="shared" si="2"/>
        <v>0</v>
      </c>
      <c r="X20" s="421">
        <f t="shared" si="2"/>
        <v>0</v>
      </c>
      <c r="Y20" s="419">
        <f t="shared" si="2"/>
        <v>0</v>
      </c>
      <c r="Z20" s="424">
        <f t="shared" si="2"/>
        <v>0</v>
      </c>
      <c r="AA20" s="424">
        <f t="shared" si="2"/>
        <v>0</v>
      </c>
      <c r="AB20" s="424">
        <f t="shared" si="2"/>
        <v>0</v>
      </c>
      <c r="AC20" s="422">
        <f t="shared" si="2"/>
        <v>260.42245000000003</v>
      </c>
      <c r="AD20" s="423">
        <f>SUM(C20:AC20)</f>
        <v>287.13982000000004</v>
      </c>
      <c r="AE20" s="96"/>
    </row>
    <row r="21" spans="1:31" s="45" customFormat="1" x14ac:dyDescent="0.2">
      <c r="A21" s="98"/>
      <c r="B21" s="47"/>
      <c r="C21" s="449"/>
      <c r="D21" s="428"/>
      <c r="E21" s="428"/>
      <c r="F21" s="429"/>
      <c r="G21" s="429"/>
      <c r="H21" s="429"/>
      <c r="I21" s="429"/>
      <c r="J21" s="429"/>
      <c r="K21" s="429"/>
      <c r="L21" s="429"/>
      <c r="M21" s="428"/>
      <c r="N21" s="429"/>
      <c r="O21" s="429"/>
      <c r="P21" s="429"/>
      <c r="Q21" s="429"/>
      <c r="R21" s="428"/>
      <c r="S21" s="429"/>
      <c r="T21" s="428"/>
      <c r="U21" s="428"/>
      <c r="V21" s="428"/>
      <c r="W21" s="428"/>
      <c r="X21" s="428"/>
      <c r="Y21" s="428"/>
      <c r="Z21" s="429"/>
      <c r="AA21" s="428"/>
      <c r="AB21" s="429"/>
      <c r="AC21" s="429"/>
      <c r="AD21" s="430"/>
      <c r="AE21" s="96"/>
    </row>
    <row r="22" spans="1:31" s="45" customFormat="1" ht="15" x14ac:dyDescent="0.2">
      <c r="A22" s="100" t="s">
        <v>68</v>
      </c>
      <c r="B22" s="131" t="s">
        <v>265</v>
      </c>
      <c r="C22" s="431"/>
      <c r="D22" s="431"/>
      <c r="E22" s="431"/>
      <c r="F22" s="429"/>
      <c r="G22" s="429"/>
      <c r="H22" s="429"/>
      <c r="I22" s="429"/>
      <c r="J22" s="429"/>
      <c r="K22" s="429"/>
      <c r="L22" s="429"/>
      <c r="M22" s="429"/>
      <c r="N22" s="429"/>
      <c r="O22" s="429"/>
      <c r="P22" s="429"/>
      <c r="Q22" s="429"/>
      <c r="R22" s="431"/>
      <c r="S22" s="429"/>
      <c r="T22" s="431"/>
      <c r="U22" s="431"/>
      <c r="V22" s="431"/>
      <c r="W22" s="431"/>
      <c r="X22" s="431"/>
      <c r="Y22" s="431"/>
      <c r="Z22" s="429"/>
      <c r="AA22" s="431"/>
      <c r="AB22" s="429"/>
      <c r="AC22" s="429"/>
      <c r="AD22" s="430"/>
      <c r="AE22" s="96"/>
    </row>
    <row r="23" spans="1:31" s="45" customFormat="1" x14ac:dyDescent="0.2">
      <c r="A23" s="95" t="s">
        <v>34</v>
      </c>
      <c r="B23" s="465" t="s">
        <v>266</v>
      </c>
      <c r="C23" s="449"/>
      <c r="D23" s="421"/>
      <c r="E23" s="419"/>
      <c r="F23" s="424"/>
      <c r="G23" s="424"/>
      <c r="H23" s="424"/>
      <c r="I23" s="424">
        <f>180.08/1000</f>
        <v>0.18008000000000002</v>
      </c>
      <c r="J23" s="424">
        <f>1334365.44/1000</f>
        <v>1334.36544</v>
      </c>
      <c r="K23" s="424"/>
      <c r="L23" s="424"/>
      <c r="M23" s="424">
        <f>23017.21/1000</f>
        <v>23.017209999999999</v>
      </c>
      <c r="N23" s="424">
        <f>972105/1000</f>
        <v>972.10500000000002</v>
      </c>
      <c r="O23" s="424">
        <f>11655/1000</f>
        <v>11.654999999999999</v>
      </c>
      <c r="P23" s="424">
        <f>17949450/1000</f>
        <v>17949.45</v>
      </c>
      <c r="Q23" s="424"/>
      <c r="R23" s="424"/>
      <c r="S23" s="424">
        <f>17042000.03/1000</f>
        <v>17042.000030000003</v>
      </c>
      <c r="T23" s="432"/>
      <c r="U23" s="421"/>
      <c r="V23" s="421"/>
      <c r="W23" s="421"/>
      <c r="X23" s="421"/>
      <c r="Y23" s="419"/>
      <c r="Z23" s="424"/>
      <c r="AA23" s="424"/>
      <c r="AB23" s="424"/>
      <c r="AC23" s="422">
        <f>1782239.26/1000</f>
        <v>1782.2392600000001</v>
      </c>
      <c r="AD23" s="423">
        <f t="shared" ref="AD23:AD28" si="3">SUM(C23:AC23)</f>
        <v>39115.012020000009</v>
      </c>
      <c r="AE23" s="96"/>
    </row>
    <row r="24" spans="1:31" s="45" customFormat="1" x14ac:dyDescent="0.2">
      <c r="A24" s="95" t="s">
        <v>35</v>
      </c>
      <c r="B24" s="465" t="s">
        <v>267</v>
      </c>
      <c r="C24" s="449"/>
      <c r="D24" s="421"/>
      <c r="E24" s="419"/>
      <c r="F24" s="424"/>
      <c r="G24" s="424"/>
      <c r="H24" s="424">
        <f>-2109112.02/1000</f>
        <v>-2109.11202</v>
      </c>
      <c r="I24" s="424">
        <f>1011.21/1000</f>
        <v>1.0112099999999999</v>
      </c>
      <c r="J24" s="424">
        <f>11145867.08/1000</f>
        <v>11145.86708</v>
      </c>
      <c r="K24" s="424">
        <f>38093.86/1000</f>
        <v>38.093859999999999</v>
      </c>
      <c r="L24" s="424">
        <f>156301.94/1000</f>
        <v>156.30194</v>
      </c>
      <c r="M24" s="452"/>
      <c r="N24" s="424">
        <f>46365.68/1000</f>
        <v>46.365679999999998</v>
      </c>
      <c r="O24" s="424">
        <f>2836/1000</f>
        <v>2.8359999999999999</v>
      </c>
      <c r="P24" s="424"/>
      <c r="Q24" s="424"/>
      <c r="R24" s="424"/>
      <c r="S24" s="424">
        <f>(2230840.94+1456722.15+10842967.77)/1000</f>
        <v>14530.530859999999</v>
      </c>
      <c r="T24" s="432"/>
      <c r="U24" s="421"/>
      <c r="V24" s="421"/>
      <c r="W24" s="421"/>
      <c r="X24" s="421"/>
      <c r="Y24" s="419"/>
      <c r="Z24" s="424"/>
      <c r="AA24" s="424"/>
      <c r="AB24" s="424"/>
      <c r="AC24" s="422">
        <f>10753989.66/1000</f>
        <v>10753.989659999999</v>
      </c>
      <c r="AD24" s="423">
        <f t="shared" si="3"/>
        <v>34565.884269999995</v>
      </c>
      <c r="AE24" s="96"/>
    </row>
    <row r="25" spans="1:31" s="45" customFormat="1" x14ac:dyDescent="0.2">
      <c r="A25" s="95" t="s">
        <v>268</v>
      </c>
      <c r="B25" s="465" t="s">
        <v>269</v>
      </c>
      <c r="C25" s="449"/>
      <c r="D25" s="421"/>
      <c r="E25" s="419"/>
      <c r="F25" s="424"/>
      <c r="G25" s="424"/>
      <c r="H25" s="424"/>
      <c r="I25" s="424"/>
      <c r="J25" s="424"/>
      <c r="K25" s="424"/>
      <c r="L25" s="424"/>
      <c r="M25" s="433"/>
      <c r="N25" s="424"/>
      <c r="O25" s="424"/>
      <c r="P25" s="424"/>
      <c r="Q25" s="424"/>
      <c r="R25" s="424"/>
      <c r="S25" s="424"/>
      <c r="T25" s="432"/>
      <c r="U25" s="421"/>
      <c r="V25" s="421"/>
      <c r="W25" s="421"/>
      <c r="X25" s="421"/>
      <c r="Y25" s="419"/>
      <c r="Z25" s="424"/>
      <c r="AA25" s="424"/>
      <c r="AB25" s="424"/>
      <c r="AC25" s="422"/>
      <c r="AD25" s="423">
        <f t="shared" si="3"/>
        <v>0</v>
      </c>
      <c r="AE25" s="96"/>
    </row>
    <row r="26" spans="1:31" s="45" customFormat="1" x14ac:dyDescent="0.2">
      <c r="A26" s="95" t="s">
        <v>270</v>
      </c>
      <c r="B26" s="465" t="s">
        <v>271</v>
      </c>
      <c r="C26" s="449"/>
      <c r="D26" s="421"/>
      <c r="E26" s="419"/>
      <c r="F26" s="424"/>
      <c r="G26" s="424"/>
      <c r="H26" s="424">
        <f>82832.4/1000</f>
        <v>82.832399999999993</v>
      </c>
      <c r="I26" s="424"/>
      <c r="J26" s="424">
        <f>1973457.2/1000</f>
        <v>1973.4572000000001</v>
      </c>
      <c r="K26" s="424">
        <f>-0.9/1000</f>
        <v>-8.9999999999999998E-4</v>
      </c>
      <c r="L26" s="424">
        <f>37162.34/1000</f>
        <v>37.162339999999993</v>
      </c>
      <c r="M26" s="453"/>
      <c r="N26" s="424">
        <f>108340/1000</f>
        <v>108.34</v>
      </c>
      <c r="O26" s="424"/>
      <c r="P26" s="424"/>
      <c r="Q26" s="424"/>
      <c r="R26" s="424"/>
      <c r="S26" s="424">
        <f>(1941304.88+1305242+6204357.61)/1000</f>
        <v>9450.9044900000008</v>
      </c>
      <c r="T26" s="432"/>
      <c r="U26" s="421"/>
      <c r="V26" s="421"/>
      <c r="W26" s="421"/>
      <c r="X26" s="421"/>
      <c r="Y26" s="419"/>
      <c r="Z26" s="424"/>
      <c r="AA26" s="424"/>
      <c r="AB26" s="424"/>
      <c r="AC26" s="422">
        <f>6793022.11/1000</f>
        <v>6793.0221099999999</v>
      </c>
      <c r="AD26" s="423">
        <f t="shared" si="3"/>
        <v>18445.717640000003</v>
      </c>
      <c r="AE26" s="96"/>
    </row>
    <row r="27" spans="1:31" s="45" customFormat="1" x14ac:dyDescent="0.2">
      <c r="A27" s="97" t="s">
        <v>179</v>
      </c>
      <c r="B27" s="130" t="s">
        <v>272</v>
      </c>
      <c r="C27" s="449"/>
      <c r="D27" s="421"/>
      <c r="E27" s="419"/>
      <c r="F27" s="425"/>
      <c r="G27" s="425"/>
      <c r="H27" s="425"/>
      <c r="I27" s="425"/>
      <c r="J27" s="425">
        <f>1599035.82/1000</f>
        <v>1599.0358200000001</v>
      </c>
      <c r="K27" s="425"/>
      <c r="L27" s="425"/>
      <c r="M27" s="425">
        <f>21907632.5/1000</f>
        <v>21907.6325</v>
      </c>
      <c r="N27" s="425">
        <f>39561599/1000</f>
        <v>39561.599000000002</v>
      </c>
      <c r="O27" s="425">
        <f>2115562.59/1000</f>
        <v>2115.56259</v>
      </c>
      <c r="P27" s="425">
        <f>8489474/1000</f>
        <v>8489.4740000000002</v>
      </c>
      <c r="Q27" s="425">
        <f>118120/1000</f>
        <v>118.12</v>
      </c>
      <c r="R27" s="425"/>
      <c r="S27" s="425">
        <f>48599.86/1000</f>
        <v>48.59986</v>
      </c>
      <c r="T27" s="432"/>
      <c r="U27" s="421"/>
      <c r="V27" s="421"/>
      <c r="W27" s="421"/>
      <c r="X27" s="421"/>
      <c r="Y27" s="419"/>
      <c r="Z27" s="425"/>
      <c r="AA27" s="425"/>
      <c r="AB27" s="425"/>
      <c r="AC27" s="426">
        <f>866110.32/1000</f>
        <v>866.11032</v>
      </c>
      <c r="AD27" s="427">
        <f t="shared" si="3"/>
        <v>74706.134090000007</v>
      </c>
      <c r="AE27" s="96"/>
    </row>
    <row r="28" spans="1:31" s="45" customFormat="1" ht="15" collapsed="1" x14ac:dyDescent="0.2">
      <c r="A28" s="508" t="s">
        <v>69</v>
      </c>
      <c r="B28" s="509"/>
      <c r="C28" s="449">
        <f>SUM(C23:C27)</f>
        <v>0</v>
      </c>
      <c r="D28" s="421">
        <f t="shared" ref="D28:AC28" si="4">SUM(D23:D27)</f>
        <v>0</v>
      </c>
      <c r="E28" s="419">
        <f t="shared" si="4"/>
        <v>0</v>
      </c>
      <c r="F28" s="424">
        <f t="shared" si="4"/>
        <v>0</v>
      </c>
      <c r="G28" s="424">
        <f t="shared" si="4"/>
        <v>0</v>
      </c>
      <c r="H28" s="424">
        <f t="shared" si="4"/>
        <v>-2026.27962</v>
      </c>
      <c r="I28" s="424">
        <f t="shared" si="4"/>
        <v>1.19129</v>
      </c>
      <c r="J28" s="424">
        <f t="shared" si="4"/>
        <v>16052.725539999999</v>
      </c>
      <c r="K28" s="424">
        <f t="shared" si="4"/>
        <v>38.092959999999998</v>
      </c>
      <c r="L28" s="424">
        <f t="shared" si="4"/>
        <v>193.46428</v>
      </c>
      <c r="M28" s="424">
        <f t="shared" si="4"/>
        <v>21930.649710000002</v>
      </c>
      <c r="N28" s="424">
        <f t="shared" si="4"/>
        <v>40688.409680000004</v>
      </c>
      <c r="O28" s="424">
        <f t="shared" si="4"/>
        <v>2130.05359</v>
      </c>
      <c r="P28" s="424">
        <f t="shared" si="4"/>
        <v>26438.923999999999</v>
      </c>
      <c r="Q28" s="424">
        <f t="shared" si="4"/>
        <v>118.12</v>
      </c>
      <c r="R28" s="424">
        <f t="shared" si="4"/>
        <v>0</v>
      </c>
      <c r="S28" s="424">
        <f t="shared" si="4"/>
        <v>41072.035240000005</v>
      </c>
      <c r="T28" s="432">
        <f t="shared" si="4"/>
        <v>0</v>
      </c>
      <c r="U28" s="421">
        <f t="shared" si="4"/>
        <v>0</v>
      </c>
      <c r="V28" s="421">
        <f t="shared" si="4"/>
        <v>0</v>
      </c>
      <c r="W28" s="421">
        <f t="shared" si="4"/>
        <v>0</v>
      </c>
      <c r="X28" s="421">
        <f t="shared" si="4"/>
        <v>0</v>
      </c>
      <c r="Y28" s="419">
        <f t="shared" si="4"/>
        <v>0</v>
      </c>
      <c r="Z28" s="424">
        <f t="shared" si="4"/>
        <v>0</v>
      </c>
      <c r="AA28" s="424">
        <f t="shared" si="4"/>
        <v>0</v>
      </c>
      <c r="AB28" s="424">
        <f t="shared" si="4"/>
        <v>0</v>
      </c>
      <c r="AC28" s="422">
        <f t="shared" si="4"/>
        <v>20195.361349999999</v>
      </c>
      <c r="AD28" s="423">
        <f t="shared" si="3"/>
        <v>166832.74802</v>
      </c>
      <c r="AE28" s="96"/>
    </row>
    <row r="29" spans="1:31" s="45" customFormat="1" x14ac:dyDescent="0.2">
      <c r="A29" s="98"/>
      <c r="B29" s="47"/>
      <c r="C29" s="428"/>
      <c r="D29" s="428"/>
      <c r="E29" s="428"/>
      <c r="F29" s="429"/>
      <c r="G29" s="429"/>
      <c r="H29" s="429"/>
      <c r="I29" s="429"/>
      <c r="J29" s="429"/>
      <c r="K29" s="429"/>
      <c r="L29" s="429"/>
      <c r="M29" s="429"/>
      <c r="N29" s="429"/>
      <c r="O29" s="429"/>
      <c r="P29" s="429"/>
      <c r="Q29" s="429"/>
      <c r="R29" s="428"/>
      <c r="S29" s="429"/>
      <c r="T29" s="428"/>
      <c r="U29" s="428"/>
      <c r="V29" s="428"/>
      <c r="W29" s="428"/>
      <c r="X29" s="428"/>
      <c r="Y29" s="428"/>
      <c r="Z29" s="429"/>
      <c r="AA29" s="428"/>
      <c r="AB29" s="429"/>
      <c r="AC29" s="429"/>
      <c r="AD29" s="430"/>
      <c r="AE29" s="96"/>
    </row>
    <row r="30" spans="1:31" s="45" customFormat="1" ht="15" x14ac:dyDescent="0.2">
      <c r="A30" s="100" t="s">
        <v>70</v>
      </c>
      <c r="B30" s="131" t="s">
        <v>273</v>
      </c>
      <c r="C30" s="431"/>
      <c r="D30" s="431"/>
      <c r="E30" s="431"/>
      <c r="F30" s="429"/>
      <c r="G30" s="429"/>
      <c r="H30" s="429"/>
      <c r="I30" s="429"/>
      <c r="J30" s="429"/>
      <c r="K30" s="429"/>
      <c r="L30" s="429"/>
      <c r="M30" s="431"/>
      <c r="N30" s="429"/>
      <c r="O30" s="429"/>
      <c r="P30" s="429"/>
      <c r="Q30" s="429"/>
      <c r="R30" s="431"/>
      <c r="S30" s="429"/>
      <c r="T30" s="431"/>
      <c r="U30" s="431"/>
      <c r="V30" s="431"/>
      <c r="W30" s="431"/>
      <c r="X30" s="431"/>
      <c r="Y30" s="431"/>
      <c r="Z30" s="429"/>
      <c r="AA30" s="431"/>
      <c r="AB30" s="429"/>
      <c r="AC30" s="429"/>
      <c r="AD30" s="430"/>
      <c r="AE30" s="96"/>
    </row>
    <row r="31" spans="1:31" s="45" customFormat="1" x14ac:dyDescent="0.2">
      <c r="A31" s="95" t="s">
        <v>274</v>
      </c>
      <c r="B31" s="465" t="s">
        <v>275</v>
      </c>
      <c r="C31" s="449"/>
      <c r="D31" s="421"/>
      <c r="E31" s="419"/>
      <c r="F31" s="424"/>
      <c r="G31" s="424"/>
      <c r="H31" s="424"/>
      <c r="I31" s="424">
        <f>28156.25/1000</f>
        <v>28.15625</v>
      </c>
      <c r="J31" s="424">
        <f>309266.62/1000</f>
        <v>309.26661999999999</v>
      </c>
      <c r="K31" s="424"/>
      <c r="L31" s="424"/>
      <c r="M31" s="433"/>
      <c r="N31" s="424"/>
      <c r="O31" s="424">
        <f>17500/1000</f>
        <v>17.5</v>
      </c>
      <c r="P31" s="424">
        <f>1353314.58/1000</f>
        <v>1353.31458</v>
      </c>
      <c r="Q31" s="424"/>
      <c r="R31" s="424"/>
      <c r="S31" s="424">
        <f>(147925.1+9445.1)/1000</f>
        <v>157.37020000000001</v>
      </c>
      <c r="T31" s="432"/>
      <c r="U31" s="421"/>
      <c r="V31" s="421"/>
      <c r="W31" s="421"/>
      <c r="X31" s="421"/>
      <c r="Y31" s="419"/>
      <c r="Z31" s="424"/>
      <c r="AA31" s="424"/>
      <c r="AB31" s="424"/>
      <c r="AC31" s="422">
        <f>1067295.27/1000</f>
        <v>1067.2952700000001</v>
      </c>
      <c r="AD31" s="423">
        <f t="shared" ref="AD31:AD37" si="5">SUM(C31:AC31)</f>
        <v>2932.9029200000004</v>
      </c>
      <c r="AE31" s="96"/>
    </row>
    <row r="32" spans="1:31" s="45" customFormat="1" x14ac:dyDescent="0.2">
      <c r="A32" s="95" t="s">
        <v>276</v>
      </c>
      <c r="B32" s="465" t="s">
        <v>277</v>
      </c>
      <c r="C32" s="449"/>
      <c r="D32" s="421"/>
      <c r="E32" s="419"/>
      <c r="F32" s="424"/>
      <c r="G32" s="424"/>
      <c r="H32" s="424"/>
      <c r="I32" s="424"/>
      <c r="J32" s="424"/>
      <c r="K32" s="424"/>
      <c r="L32" s="424"/>
      <c r="M32" s="433"/>
      <c r="N32" s="424">
        <f>402359/1000</f>
        <v>402.35899999999998</v>
      </c>
      <c r="O32" s="424"/>
      <c r="P32" s="424"/>
      <c r="Q32" s="424"/>
      <c r="R32" s="424"/>
      <c r="S32" s="424"/>
      <c r="T32" s="432"/>
      <c r="U32" s="421"/>
      <c r="V32" s="421"/>
      <c r="W32" s="421"/>
      <c r="X32" s="421"/>
      <c r="Y32" s="419"/>
      <c r="Z32" s="424"/>
      <c r="AA32" s="424"/>
      <c r="AB32" s="424"/>
      <c r="AC32" s="422">
        <f>143043.89/1000</f>
        <v>143.04389</v>
      </c>
      <c r="AD32" s="423">
        <f t="shared" si="5"/>
        <v>545.40288999999996</v>
      </c>
      <c r="AE32" s="96"/>
    </row>
    <row r="33" spans="1:31" s="45" customFormat="1" x14ac:dyDescent="0.2">
      <c r="A33" s="95" t="s">
        <v>278</v>
      </c>
      <c r="B33" s="465" t="s">
        <v>279</v>
      </c>
      <c r="C33" s="449"/>
      <c r="D33" s="421"/>
      <c r="E33" s="419"/>
      <c r="F33" s="424"/>
      <c r="G33" s="424"/>
      <c r="H33" s="424"/>
      <c r="I33" s="424"/>
      <c r="J33" s="424"/>
      <c r="K33" s="424"/>
      <c r="L33" s="424"/>
      <c r="M33" s="433"/>
      <c r="N33" s="424"/>
      <c r="O33" s="424"/>
      <c r="P33" s="424"/>
      <c r="Q33" s="424"/>
      <c r="R33" s="424"/>
      <c r="S33" s="424"/>
      <c r="T33" s="432"/>
      <c r="U33" s="421"/>
      <c r="V33" s="421"/>
      <c r="W33" s="421"/>
      <c r="X33" s="421"/>
      <c r="Y33" s="419"/>
      <c r="Z33" s="424"/>
      <c r="AA33" s="424"/>
      <c r="AB33" s="424"/>
      <c r="AC33" s="422"/>
      <c r="AD33" s="423">
        <f t="shared" si="5"/>
        <v>0</v>
      </c>
      <c r="AE33" s="96"/>
    </row>
    <row r="34" spans="1:31" s="45" customFormat="1" x14ac:dyDescent="0.2">
      <c r="A34" s="95" t="s">
        <v>280</v>
      </c>
      <c r="B34" s="465" t="s">
        <v>281</v>
      </c>
      <c r="C34" s="449"/>
      <c r="D34" s="421"/>
      <c r="E34" s="419"/>
      <c r="F34" s="424"/>
      <c r="G34" s="424"/>
      <c r="H34" s="424"/>
      <c r="I34" s="424"/>
      <c r="J34" s="424"/>
      <c r="K34" s="424"/>
      <c r="L34" s="424"/>
      <c r="M34" s="433"/>
      <c r="N34" s="424"/>
      <c r="O34" s="424"/>
      <c r="P34" s="424"/>
      <c r="Q34" s="424"/>
      <c r="R34" s="424"/>
      <c r="S34" s="424"/>
      <c r="T34" s="432"/>
      <c r="U34" s="421"/>
      <c r="V34" s="421"/>
      <c r="W34" s="421"/>
      <c r="X34" s="421"/>
      <c r="Y34" s="419"/>
      <c r="Z34" s="424"/>
      <c r="AA34" s="424"/>
      <c r="AB34" s="424"/>
      <c r="AC34" s="422"/>
      <c r="AD34" s="423">
        <f t="shared" si="5"/>
        <v>0</v>
      </c>
      <c r="AE34" s="96"/>
    </row>
    <row r="35" spans="1:31" s="45" customFormat="1" x14ac:dyDescent="0.2">
      <c r="A35" s="95" t="s">
        <v>282</v>
      </c>
      <c r="B35" s="465" t="s">
        <v>283</v>
      </c>
      <c r="C35" s="449"/>
      <c r="D35" s="421"/>
      <c r="E35" s="419"/>
      <c r="F35" s="424"/>
      <c r="G35" s="424"/>
      <c r="H35" s="424"/>
      <c r="I35" s="424"/>
      <c r="J35" s="424"/>
      <c r="K35" s="424"/>
      <c r="L35" s="424"/>
      <c r="M35" s="433"/>
      <c r="N35" s="424"/>
      <c r="O35" s="424"/>
      <c r="P35" s="424"/>
      <c r="Q35" s="424"/>
      <c r="R35" s="424"/>
      <c r="S35" s="424"/>
      <c r="T35" s="432"/>
      <c r="U35" s="421"/>
      <c r="V35" s="421"/>
      <c r="W35" s="421"/>
      <c r="X35" s="421"/>
      <c r="Y35" s="419"/>
      <c r="Z35" s="424"/>
      <c r="AA35" s="424"/>
      <c r="AB35" s="424"/>
      <c r="AC35" s="422"/>
      <c r="AD35" s="423">
        <f t="shared" si="5"/>
        <v>0</v>
      </c>
      <c r="AE35" s="96"/>
    </row>
    <row r="36" spans="1:31" s="45" customFormat="1" x14ac:dyDescent="0.2">
      <c r="A36" s="97" t="s">
        <v>284</v>
      </c>
      <c r="B36" s="130" t="s">
        <v>285</v>
      </c>
      <c r="C36" s="449"/>
      <c r="D36" s="421"/>
      <c r="E36" s="419"/>
      <c r="F36" s="425"/>
      <c r="G36" s="425"/>
      <c r="H36" s="425"/>
      <c r="I36" s="425"/>
      <c r="J36" s="425"/>
      <c r="K36" s="425"/>
      <c r="L36" s="425"/>
      <c r="M36" s="433"/>
      <c r="N36" s="425"/>
      <c r="O36" s="425"/>
      <c r="P36" s="425"/>
      <c r="Q36" s="425"/>
      <c r="R36" s="425"/>
      <c r="S36" s="425"/>
      <c r="T36" s="432"/>
      <c r="U36" s="421"/>
      <c r="V36" s="421"/>
      <c r="W36" s="421"/>
      <c r="X36" s="421"/>
      <c r="Y36" s="419"/>
      <c r="Z36" s="425"/>
      <c r="AA36" s="425"/>
      <c r="AB36" s="425"/>
      <c r="AC36" s="426"/>
      <c r="AD36" s="427">
        <f t="shared" si="5"/>
        <v>0</v>
      </c>
      <c r="AE36" s="96"/>
    </row>
    <row r="37" spans="1:31" s="45" customFormat="1" ht="15" collapsed="1" x14ac:dyDescent="0.2">
      <c r="A37" s="514" t="s">
        <v>71</v>
      </c>
      <c r="B37" s="515"/>
      <c r="C37" s="449">
        <f>SUM(C31:C36)</f>
        <v>0</v>
      </c>
      <c r="D37" s="421">
        <f t="shared" ref="D37:AC37" si="6">SUM(D31:D36)</f>
        <v>0</v>
      </c>
      <c r="E37" s="419">
        <f t="shared" si="6"/>
        <v>0</v>
      </c>
      <c r="F37" s="424">
        <f t="shared" si="6"/>
        <v>0</v>
      </c>
      <c r="G37" s="424">
        <f t="shared" si="6"/>
        <v>0</v>
      </c>
      <c r="H37" s="424">
        <f t="shared" si="6"/>
        <v>0</v>
      </c>
      <c r="I37" s="424">
        <f t="shared" si="6"/>
        <v>28.15625</v>
      </c>
      <c r="J37" s="424">
        <f t="shared" si="6"/>
        <v>309.26661999999999</v>
      </c>
      <c r="K37" s="424">
        <f t="shared" si="6"/>
        <v>0</v>
      </c>
      <c r="L37" s="424">
        <f t="shared" si="6"/>
        <v>0</v>
      </c>
      <c r="M37" s="433">
        <f t="shared" si="6"/>
        <v>0</v>
      </c>
      <c r="N37" s="424">
        <f t="shared" si="6"/>
        <v>402.35899999999998</v>
      </c>
      <c r="O37" s="424">
        <f t="shared" si="6"/>
        <v>17.5</v>
      </c>
      <c r="P37" s="424">
        <f t="shared" si="6"/>
        <v>1353.31458</v>
      </c>
      <c r="Q37" s="424">
        <f t="shared" si="6"/>
        <v>0</v>
      </c>
      <c r="R37" s="424">
        <f t="shared" si="6"/>
        <v>0</v>
      </c>
      <c r="S37" s="424">
        <f t="shared" si="6"/>
        <v>157.37020000000001</v>
      </c>
      <c r="T37" s="432">
        <f t="shared" si="6"/>
        <v>0</v>
      </c>
      <c r="U37" s="421">
        <f t="shared" si="6"/>
        <v>0</v>
      </c>
      <c r="V37" s="421">
        <f t="shared" si="6"/>
        <v>0</v>
      </c>
      <c r="W37" s="421">
        <f t="shared" si="6"/>
        <v>0</v>
      </c>
      <c r="X37" s="421">
        <f t="shared" si="6"/>
        <v>0</v>
      </c>
      <c r="Y37" s="419">
        <f t="shared" si="6"/>
        <v>0</v>
      </c>
      <c r="Z37" s="424">
        <f t="shared" si="6"/>
        <v>0</v>
      </c>
      <c r="AA37" s="424">
        <f t="shared" si="6"/>
        <v>0</v>
      </c>
      <c r="AB37" s="424">
        <f t="shared" si="6"/>
        <v>0</v>
      </c>
      <c r="AC37" s="422">
        <f t="shared" si="6"/>
        <v>1210.33916</v>
      </c>
      <c r="AD37" s="423">
        <f t="shared" si="5"/>
        <v>3478.3058099999998</v>
      </c>
      <c r="AE37" s="96"/>
    </row>
    <row r="38" spans="1:31" s="45" customFormat="1" x14ac:dyDescent="0.2">
      <c r="A38" s="98"/>
      <c r="B38" s="47"/>
      <c r="C38" s="428"/>
      <c r="D38" s="428"/>
      <c r="E38" s="428"/>
      <c r="F38" s="429"/>
      <c r="G38" s="429"/>
      <c r="H38" s="429"/>
      <c r="I38" s="429"/>
      <c r="J38" s="429"/>
      <c r="K38" s="429"/>
      <c r="L38" s="429"/>
      <c r="M38" s="428"/>
      <c r="N38" s="429"/>
      <c r="O38" s="429"/>
      <c r="P38" s="429"/>
      <c r="Q38" s="429"/>
      <c r="R38" s="428"/>
      <c r="S38" s="429"/>
      <c r="T38" s="428"/>
      <c r="U38" s="428"/>
      <c r="V38" s="428"/>
      <c r="W38" s="428"/>
      <c r="X38" s="428"/>
      <c r="Y38" s="428"/>
      <c r="Z38" s="429"/>
      <c r="AA38" s="428"/>
      <c r="AB38" s="429"/>
      <c r="AC38" s="429"/>
      <c r="AD38" s="430"/>
      <c r="AE38" s="96"/>
    </row>
    <row r="39" spans="1:31" s="45" customFormat="1" ht="15" x14ac:dyDescent="0.2">
      <c r="A39" s="100" t="s">
        <v>72</v>
      </c>
      <c r="B39" s="131" t="s">
        <v>286</v>
      </c>
      <c r="C39" s="431"/>
      <c r="D39" s="431"/>
      <c r="E39" s="431"/>
      <c r="F39" s="429"/>
      <c r="G39" s="429"/>
      <c r="H39" s="429"/>
      <c r="I39" s="429"/>
      <c r="J39" s="429"/>
      <c r="K39" s="429"/>
      <c r="L39" s="429"/>
      <c r="M39" s="429"/>
      <c r="N39" s="429"/>
      <c r="O39" s="429"/>
      <c r="P39" s="429"/>
      <c r="Q39" s="429"/>
      <c r="R39" s="431"/>
      <c r="S39" s="429"/>
      <c r="T39" s="431"/>
      <c r="U39" s="431"/>
      <c r="V39" s="431"/>
      <c r="W39" s="431"/>
      <c r="X39" s="431"/>
      <c r="Y39" s="431"/>
      <c r="Z39" s="429"/>
      <c r="AA39" s="431"/>
      <c r="AB39" s="429"/>
      <c r="AC39" s="429"/>
      <c r="AD39" s="430"/>
      <c r="AE39" s="96"/>
    </row>
    <row r="40" spans="1:31" s="45" customFormat="1" x14ac:dyDescent="0.2">
      <c r="A40" s="95" t="s">
        <v>224</v>
      </c>
      <c r="B40" s="465" t="s">
        <v>287</v>
      </c>
      <c r="C40" s="449"/>
      <c r="D40" s="421"/>
      <c r="E40" s="419"/>
      <c r="F40" s="424"/>
      <c r="G40" s="424"/>
      <c r="H40" s="424"/>
      <c r="I40" s="424"/>
      <c r="J40" s="424">
        <f>2212922.28/1000</f>
        <v>2212.9222799999998</v>
      </c>
      <c r="K40" s="424"/>
      <c r="L40" s="424"/>
      <c r="M40" s="424">
        <f>11250/1000</f>
        <v>11.25</v>
      </c>
      <c r="N40" s="424">
        <f>67791262/1000</f>
        <v>67791.262000000002</v>
      </c>
      <c r="O40" s="424">
        <f>5817562.99/1000</f>
        <v>5817.5629900000004</v>
      </c>
      <c r="P40" s="424">
        <f>-2980/1000</f>
        <v>-2.98</v>
      </c>
      <c r="Q40" s="424"/>
      <c r="R40" s="424"/>
      <c r="S40" s="424">
        <f>198.79/1000</f>
        <v>0.19878999999999999</v>
      </c>
      <c r="T40" s="432"/>
      <c r="U40" s="421"/>
      <c r="V40" s="421"/>
      <c r="W40" s="421"/>
      <c r="X40" s="421"/>
      <c r="Y40" s="419"/>
      <c r="Z40" s="424"/>
      <c r="AA40" s="424"/>
      <c r="AB40" s="424"/>
      <c r="AC40" s="422">
        <f>3112667.41/1000</f>
        <v>3112.66741</v>
      </c>
      <c r="AD40" s="423">
        <f t="shared" ref="AD40:AD47" si="7">SUM(C40:AC40)</f>
        <v>78942.883470000001</v>
      </c>
      <c r="AE40" s="96"/>
    </row>
    <row r="41" spans="1:31" s="45" customFormat="1" x14ac:dyDescent="0.2">
      <c r="A41" s="95" t="s">
        <v>38</v>
      </c>
      <c r="B41" s="465" t="s">
        <v>288</v>
      </c>
      <c r="C41" s="449"/>
      <c r="D41" s="421"/>
      <c r="E41" s="419"/>
      <c r="F41" s="424"/>
      <c r="G41" s="424"/>
      <c r="H41" s="424"/>
      <c r="I41" s="424"/>
      <c r="J41" s="424"/>
      <c r="K41" s="424"/>
      <c r="L41" s="424"/>
      <c r="M41" s="452"/>
      <c r="N41" s="424"/>
      <c r="O41" s="424"/>
      <c r="P41" s="424"/>
      <c r="Q41" s="424"/>
      <c r="R41" s="424"/>
      <c r="S41" s="424"/>
      <c r="T41" s="432"/>
      <c r="U41" s="421"/>
      <c r="V41" s="421"/>
      <c r="W41" s="421"/>
      <c r="X41" s="421"/>
      <c r="Y41" s="419"/>
      <c r="Z41" s="424"/>
      <c r="AA41" s="424"/>
      <c r="AB41" s="424"/>
      <c r="AC41" s="422"/>
      <c r="AD41" s="423">
        <f t="shared" si="7"/>
        <v>0</v>
      </c>
      <c r="AE41" s="96"/>
    </row>
    <row r="42" spans="1:31" s="45" customFormat="1" x14ac:dyDescent="0.2">
      <c r="A42" s="95" t="s">
        <v>39</v>
      </c>
      <c r="B42" s="465" t="s">
        <v>289</v>
      </c>
      <c r="C42" s="449"/>
      <c r="D42" s="421"/>
      <c r="E42" s="419"/>
      <c r="F42" s="424"/>
      <c r="G42" s="424"/>
      <c r="H42" s="424"/>
      <c r="I42" s="424"/>
      <c r="J42" s="424">
        <f>2359583.59/1000</f>
        <v>2359.5835899999997</v>
      </c>
      <c r="K42" s="424"/>
      <c r="L42" s="424"/>
      <c r="M42" s="433"/>
      <c r="N42" s="424">
        <f>277525.17/1000</f>
        <v>277.52517</v>
      </c>
      <c r="O42" s="424">
        <f>17000/1000</f>
        <v>17</v>
      </c>
      <c r="P42" s="424"/>
      <c r="Q42" s="424"/>
      <c r="R42" s="424"/>
      <c r="S42" s="424">
        <f>(162037.04+325790.88)/1000</f>
        <v>487.82792000000006</v>
      </c>
      <c r="T42" s="432"/>
      <c r="U42" s="421"/>
      <c r="V42" s="421"/>
      <c r="W42" s="421"/>
      <c r="X42" s="421"/>
      <c r="Y42" s="419"/>
      <c r="Z42" s="424"/>
      <c r="AA42" s="424"/>
      <c r="AB42" s="424"/>
      <c r="AC42" s="422">
        <f>1318243.09/1000</f>
        <v>1318.2430900000002</v>
      </c>
      <c r="AD42" s="423">
        <f t="shared" si="7"/>
        <v>4460.1797699999997</v>
      </c>
      <c r="AE42" s="96"/>
    </row>
    <row r="43" spans="1:31" s="45" customFormat="1" x14ac:dyDescent="0.2">
      <c r="A43" s="95" t="s">
        <v>40</v>
      </c>
      <c r="B43" s="465" t="s">
        <v>290</v>
      </c>
      <c r="C43" s="449"/>
      <c r="D43" s="421"/>
      <c r="E43" s="419"/>
      <c r="F43" s="424"/>
      <c r="G43" s="424"/>
      <c r="H43" s="424"/>
      <c r="I43" s="424"/>
      <c r="J43" s="424"/>
      <c r="K43" s="424"/>
      <c r="L43" s="424"/>
      <c r="M43" s="433"/>
      <c r="N43" s="424"/>
      <c r="O43" s="424"/>
      <c r="P43" s="424"/>
      <c r="Q43" s="424"/>
      <c r="R43" s="424"/>
      <c r="S43" s="424"/>
      <c r="T43" s="432"/>
      <c r="U43" s="421"/>
      <c r="V43" s="421"/>
      <c r="W43" s="421"/>
      <c r="X43" s="421"/>
      <c r="Y43" s="419"/>
      <c r="Z43" s="424"/>
      <c r="AA43" s="424"/>
      <c r="AB43" s="424"/>
      <c r="AC43" s="422"/>
      <c r="AD43" s="423">
        <f t="shared" si="7"/>
        <v>0</v>
      </c>
      <c r="AE43" s="96"/>
    </row>
    <row r="44" spans="1:31" s="45" customFormat="1" x14ac:dyDescent="0.2">
      <c r="A44" s="95" t="s">
        <v>41</v>
      </c>
      <c r="B44" s="465" t="s">
        <v>291</v>
      </c>
      <c r="C44" s="449"/>
      <c r="D44" s="421"/>
      <c r="E44" s="419"/>
      <c r="F44" s="424"/>
      <c r="G44" s="424"/>
      <c r="H44" s="424"/>
      <c r="I44" s="424"/>
      <c r="J44" s="424"/>
      <c r="K44" s="424"/>
      <c r="L44" s="424"/>
      <c r="M44" s="433"/>
      <c r="N44" s="424"/>
      <c r="O44" s="424"/>
      <c r="P44" s="424"/>
      <c r="Q44" s="424"/>
      <c r="R44" s="424"/>
      <c r="S44" s="424"/>
      <c r="T44" s="432"/>
      <c r="U44" s="421"/>
      <c r="V44" s="421"/>
      <c r="W44" s="421"/>
      <c r="X44" s="421"/>
      <c r="Y44" s="419"/>
      <c r="Z44" s="424"/>
      <c r="AA44" s="424"/>
      <c r="AB44" s="424"/>
      <c r="AC44" s="422"/>
      <c r="AD44" s="423">
        <f t="shared" si="7"/>
        <v>0</v>
      </c>
      <c r="AE44" s="96"/>
    </row>
    <row r="45" spans="1:31" s="45" customFormat="1" x14ac:dyDescent="0.2">
      <c r="A45" s="95" t="s">
        <v>42</v>
      </c>
      <c r="B45" s="465" t="s">
        <v>292</v>
      </c>
      <c r="C45" s="449"/>
      <c r="D45" s="421"/>
      <c r="E45" s="419"/>
      <c r="F45" s="424"/>
      <c r="G45" s="424"/>
      <c r="H45" s="424"/>
      <c r="I45" s="424">
        <f>61.5/1000</f>
        <v>6.1499999999999999E-2</v>
      </c>
      <c r="J45" s="424">
        <f>4868583.64/1000</f>
        <v>4868.5836399999998</v>
      </c>
      <c r="K45" s="424"/>
      <c r="L45" s="424"/>
      <c r="M45" s="433"/>
      <c r="N45" s="424">
        <f>89592.8/1000</f>
        <v>89.592799999999997</v>
      </c>
      <c r="O45" s="424">
        <f>18000/1000</f>
        <v>18</v>
      </c>
      <c r="P45" s="424">
        <f>-4659.78/1000</f>
        <v>-4.6597799999999996</v>
      </c>
      <c r="Q45" s="424">
        <f>406/1000</f>
        <v>0.40600000000000003</v>
      </c>
      <c r="R45" s="424"/>
      <c r="S45" s="424">
        <f>6016.81/1000</f>
        <v>6.0168100000000004</v>
      </c>
      <c r="T45" s="432"/>
      <c r="U45" s="421"/>
      <c r="V45" s="421"/>
      <c r="W45" s="421"/>
      <c r="X45" s="421"/>
      <c r="Y45" s="419"/>
      <c r="Z45" s="424"/>
      <c r="AA45" s="424"/>
      <c r="AB45" s="424"/>
      <c r="AC45" s="422">
        <f>2832231.92/1000</f>
        <v>2832.2319199999997</v>
      </c>
      <c r="AD45" s="423">
        <f t="shared" si="7"/>
        <v>7810.2328899999993</v>
      </c>
      <c r="AE45" s="96"/>
    </row>
    <row r="46" spans="1:31" s="45" customFormat="1" x14ac:dyDescent="0.2">
      <c r="A46" s="97" t="s">
        <v>43</v>
      </c>
      <c r="B46" s="130" t="s">
        <v>293</v>
      </c>
      <c r="C46" s="449"/>
      <c r="D46" s="421"/>
      <c r="E46" s="419"/>
      <c r="F46" s="425"/>
      <c r="G46" s="425"/>
      <c r="H46" s="425"/>
      <c r="I46" s="425"/>
      <c r="J46" s="425">
        <f>4390/1000</f>
        <v>4.3899999999999997</v>
      </c>
      <c r="K46" s="425"/>
      <c r="L46" s="425"/>
      <c r="M46" s="433"/>
      <c r="N46" s="425"/>
      <c r="O46" s="425"/>
      <c r="P46" s="425"/>
      <c r="Q46" s="425"/>
      <c r="R46" s="425"/>
      <c r="S46" s="425"/>
      <c r="T46" s="432"/>
      <c r="U46" s="421"/>
      <c r="V46" s="421"/>
      <c r="W46" s="421"/>
      <c r="X46" s="421"/>
      <c r="Y46" s="419"/>
      <c r="Z46" s="425"/>
      <c r="AA46" s="425"/>
      <c r="AB46" s="425"/>
      <c r="AC46" s="426">
        <f>260528.21/1000</f>
        <v>260.52821</v>
      </c>
      <c r="AD46" s="427">
        <f t="shared" si="7"/>
        <v>264.91820999999999</v>
      </c>
      <c r="AE46" s="96"/>
    </row>
    <row r="47" spans="1:31" s="45" customFormat="1" ht="15" collapsed="1" x14ac:dyDescent="0.2">
      <c r="A47" s="508" t="s">
        <v>73</v>
      </c>
      <c r="B47" s="509"/>
      <c r="C47" s="421">
        <f t="shared" ref="C47:AC47" si="8">SUM(C40:C46)</f>
        <v>0</v>
      </c>
      <c r="D47" s="421">
        <f t="shared" si="8"/>
        <v>0</v>
      </c>
      <c r="E47" s="419">
        <f t="shared" si="8"/>
        <v>0</v>
      </c>
      <c r="F47" s="424">
        <f t="shared" si="8"/>
        <v>0</v>
      </c>
      <c r="G47" s="424">
        <f t="shared" si="8"/>
        <v>0</v>
      </c>
      <c r="H47" s="424">
        <f t="shared" si="8"/>
        <v>0</v>
      </c>
      <c r="I47" s="424">
        <f t="shared" si="8"/>
        <v>6.1499999999999999E-2</v>
      </c>
      <c r="J47" s="424">
        <f t="shared" si="8"/>
        <v>9445.4795099999974</v>
      </c>
      <c r="K47" s="424">
        <f t="shared" si="8"/>
        <v>0</v>
      </c>
      <c r="L47" s="424">
        <f t="shared" si="8"/>
        <v>0</v>
      </c>
      <c r="M47" s="424">
        <f t="shared" si="8"/>
        <v>11.25</v>
      </c>
      <c r="N47" s="424">
        <f t="shared" si="8"/>
        <v>68158.379969999995</v>
      </c>
      <c r="O47" s="424">
        <f t="shared" si="8"/>
        <v>5852.5629900000004</v>
      </c>
      <c r="P47" s="424">
        <f t="shared" si="8"/>
        <v>-7.63978</v>
      </c>
      <c r="Q47" s="424">
        <f t="shared" si="8"/>
        <v>0.40600000000000003</v>
      </c>
      <c r="R47" s="424">
        <f t="shared" si="8"/>
        <v>0</v>
      </c>
      <c r="S47" s="424">
        <f t="shared" si="8"/>
        <v>494.04352000000006</v>
      </c>
      <c r="T47" s="432">
        <f t="shared" si="8"/>
        <v>0</v>
      </c>
      <c r="U47" s="421">
        <f t="shared" si="8"/>
        <v>0</v>
      </c>
      <c r="V47" s="421">
        <f t="shared" si="8"/>
        <v>0</v>
      </c>
      <c r="W47" s="421">
        <f t="shared" si="8"/>
        <v>0</v>
      </c>
      <c r="X47" s="421">
        <f t="shared" si="8"/>
        <v>0</v>
      </c>
      <c r="Y47" s="419">
        <f t="shared" si="8"/>
        <v>0</v>
      </c>
      <c r="Z47" s="424">
        <f t="shared" si="8"/>
        <v>0</v>
      </c>
      <c r="AA47" s="424">
        <f t="shared" si="8"/>
        <v>0</v>
      </c>
      <c r="AB47" s="424">
        <f t="shared" si="8"/>
        <v>0</v>
      </c>
      <c r="AC47" s="422">
        <f t="shared" si="8"/>
        <v>7523.6706300000005</v>
      </c>
      <c r="AD47" s="423">
        <f t="shared" si="7"/>
        <v>91478.214340000006</v>
      </c>
      <c r="AE47" s="96"/>
    </row>
    <row r="48" spans="1:31" s="45" customFormat="1" x14ac:dyDescent="0.2">
      <c r="A48" s="98"/>
      <c r="B48" s="47"/>
      <c r="C48" s="428"/>
      <c r="D48" s="428"/>
      <c r="E48" s="428"/>
      <c r="F48" s="429"/>
      <c r="G48" s="429"/>
      <c r="H48" s="429"/>
      <c r="I48" s="429"/>
      <c r="J48" s="429"/>
      <c r="K48" s="429"/>
      <c r="L48" s="429"/>
      <c r="M48" s="429"/>
      <c r="N48" s="429"/>
      <c r="O48" s="429"/>
      <c r="P48" s="429"/>
      <c r="Q48" s="429"/>
      <c r="R48" s="428"/>
      <c r="S48" s="429"/>
      <c r="T48" s="428"/>
      <c r="U48" s="428"/>
      <c r="V48" s="428"/>
      <c r="W48" s="428"/>
      <c r="X48" s="428"/>
      <c r="Y48" s="428"/>
      <c r="Z48" s="429"/>
      <c r="AA48" s="428"/>
      <c r="AB48" s="429"/>
      <c r="AC48" s="429"/>
      <c r="AD48" s="430"/>
      <c r="AE48" s="96"/>
    </row>
    <row r="49" spans="1:31" s="45" customFormat="1" ht="15" x14ac:dyDescent="0.2">
      <c r="A49" s="100" t="s">
        <v>74</v>
      </c>
      <c r="B49" s="131" t="s">
        <v>294</v>
      </c>
      <c r="C49" s="431"/>
      <c r="D49" s="431"/>
      <c r="E49" s="431"/>
      <c r="F49" s="429"/>
      <c r="G49" s="429"/>
      <c r="H49" s="429"/>
      <c r="I49" s="429"/>
      <c r="J49" s="429"/>
      <c r="K49" s="429"/>
      <c r="L49" s="429"/>
      <c r="M49" s="431"/>
      <c r="N49" s="429"/>
      <c r="O49" s="429"/>
      <c r="P49" s="429"/>
      <c r="Q49" s="429"/>
      <c r="R49" s="431"/>
      <c r="S49" s="429"/>
      <c r="T49" s="431"/>
      <c r="U49" s="431"/>
      <c r="V49" s="431"/>
      <c r="W49" s="431"/>
      <c r="X49" s="431"/>
      <c r="Y49" s="431"/>
      <c r="Z49" s="429"/>
      <c r="AA49" s="431"/>
      <c r="AB49" s="429"/>
      <c r="AC49" s="429"/>
      <c r="AD49" s="430"/>
      <c r="AE49" s="96"/>
    </row>
    <row r="50" spans="1:31" s="45" customFormat="1" x14ac:dyDescent="0.2">
      <c r="A50" s="95" t="s">
        <v>44</v>
      </c>
      <c r="B50" s="465" t="s">
        <v>295</v>
      </c>
      <c r="C50" s="449"/>
      <c r="D50" s="421"/>
      <c r="E50" s="419"/>
      <c r="F50" s="424"/>
      <c r="G50" s="424"/>
      <c r="H50" s="424"/>
      <c r="I50" s="424"/>
      <c r="J50" s="424"/>
      <c r="K50" s="424"/>
      <c r="L50" s="424"/>
      <c r="M50" s="433"/>
      <c r="N50" s="424"/>
      <c r="O50" s="424"/>
      <c r="P50" s="424"/>
      <c r="Q50" s="424"/>
      <c r="R50" s="424"/>
      <c r="S50" s="424"/>
      <c r="T50" s="432"/>
      <c r="U50" s="421"/>
      <c r="V50" s="421"/>
      <c r="W50" s="421"/>
      <c r="X50" s="421"/>
      <c r="Y50" s="419"/>
      <c r="Z50" s="424"/>
      <c r="AA50" s="424"/>
      <c r="AB50" s="424"/>
      <c r="AC50" s="422"/>
      <c r="AD50" s="423">
        <f>SUM(C50:AC50)</f>
        <v>0</v>
      </c>
      <c r="AE50" s="96"/>
    </row>
    <row r="51" spans="1:31" s="45" customFormat="1" x14ac:dyDescent="0.2">
      <c r="A51" s="95" t="s">
        <v>45</v>
      </c>
      <c r="B51" s="465" t="s">
        <v>296</v>
      </c>
      <c r="C51" s="449"/>
      <c r="D51" s="421"/>
      <c r="E51" s="419"/>
      <c r="F51" s="424"/>
      <c r="G51" s="424"/>
      <c r="H51" s="424"/>
      <c r="I51" s="424"/>
      <c r="J51" s="424">
        <f>170108.7/1000</f>
        <v>170.1087</v>
      </c>
      <c r="K51" s="424"/>
      <c r="L51" s="424"/>
      <c r="M51" s="433"/>
      <c r="N51" s="424">
        <f>9565/1000</f>
        <v>9.5649999999999995</v>
      </c>
      <c r="O51" s="424">
        <f>-38721.63/1000</f>
        <v>-38.721629999999998</v>
      </c>
      <c r="P51" s="424">
        <f>3094433.22/1000</f>
        <v>3094.4332200000003</v>
      </c>
      <c r="Q51" s="424">
        <f>1411906/1000</f>
        <v>1411.9059999999999</v>
      </c>
      <c r="R51" s="424"/>
      <c r="S51" s="424">
        <f>579249.31/1000</f>
        <v>579.24931000000004</v>
      </c>
      <c r="T51" s="432"/>
      <c r="U51" s="421"/>
      <c r="V51" s="421"/>
      <c r="W51" s="421"/>
      <c r="X51" s="421"/>
      <c r="Y51" s="419"/>
      <c r="Z51" s="424"/>
      <c r="AA51" s="424"/>
      <c r="AB51" s="424"/>
      <c r="AC51" s="422">
        <f>389377.4/1000</f>
        <v>389.37740000000002</v>
      </c>
      <c r="AD51" s="423">
        <f>SUM(C51:AC51)</f>
        <v>5615.9180000000006</v>
      </c>
      <c r="AE51" s="96"/>
    </row>
    <row r="52" spans="1:31" s="45" customFormat="1" x14ac:dyDescent="0.2">
      <c r="A52" s="97" t="s">
        <v>297</v>
      </c>
      <c r="B52" s="130" t="s">
        <v>298</v>
      </c>
      <c r="C52" s="449"/>
      <c r="D52" s="421"/>
      <c r="E52" s="419"/>
      <c r="F52" s="425"/>
      <c r="G52" s="425"/>
      <c r="H52" s="425"/>
      <c r="I52" s="425"/>
      <c r="J52" s="425">
        <f>4813394.6/1000</f>
        <v>4813.3945999999996</v>
      </c>
      <c r="K52" s="425"/>
      <c r="L52" s="425">
        <f>20716.81/1000</f>
        <v>20.716810000000002</v>
      </c>
      <c r="M52" s="433"/>
      <c r="N52" s="425">
        <f>9467122.36/1000</f>
        <v>9467.1223599999994</v>
      </c>
      <c r="O52" s="425">
        <f>5467757.47/1000</f>
        <v>5467.7574699999996</v>
      </c>
      <c r="P52" s="425">
        <f>5088492.36/1000</f>
        <v>5088.4923600000002</v>
      </c>
      <c r="Q52" s="425">
        <f>1604095.74/1000</f>
        <v>1604.09574</v>
      </c>
      <c r="R52" s="425"/>
      <c r="S52" s="425">
        <f>1870.03/1000</f>
        <v>1.8700300000000001</v>
      </c>
      <c r="T52" s="432"/>
      <c r="U52" s="421"/>
      <c r="V52" s="421"/>
      <c r="W52" s="421"/>
      <c r="X52" s="421"/>
      <c r="Y52" s="419"/>
      <c r="Z52" s="425"/>
      <c r="AA52" s="425"/>
      <c r="AB52" s="425"/>
      <c r="AC52" s="426">
        <f>4145230.61/1000</f>
        <v>4145.2306099999996</v>
      </c>
      <c r="AD52" s="427">
        <f>SUM(C52:AC52)</f>
        <v>30608.679979999997</v>
      </c>
      <c r="AE52" s="96"/>
    </row>
    <row r="53" spans="1:31" s="45" customFormat="1" ht="15" collapsed="1" x14ac:dyDescent="0.2">
      <c r="A53" s="508" t="s">
        <v>75</v>
      </c>
      <c r="B53" s="509"/>
      <c r="C53" s="421">
        <f t="shared" ref="C53:AC53" si="9">+SUM(C50:C52)</f>
        <v>0</v>
      </c>
      <c r="D53" s="421">
        <f t="shared" si="9"/>
        <v>0</v>
      </c>
      <c r="E53" s="419">
        <f t="shared" si="9"/>
        <v>0</v>
      </c>
      <c r="F53" s="424">
        <f t="shared" si="9"/>
        <v>0</v>
      </c>
      <c r="G53" s="424">
        <f t="shared" si="9"/>
        <v>0</v>
      </c>
      <c r="H53" s="424">
        <f t="shared" si="9"/>
        <v>0</v>
      </c>
      <c r="I53" s="424">
        <f t="shared" si="9"/>
        <v>0</v>
      </c>
      <c r="J53" s="424">
        <f t="shared" si="9"/>
        <v>4983.5032999999994</v>
      </c>
      <c r="K53" s="424">
        <f t="shared" si="9"/>
        <v>0</v>
      </c>
      <c r="L53" s="424">
        <f t="shared" si="9"/>
        <v>20.716810000000002</v>
      </c>
      <c r="M53" s="433">
        <f t="shared" si="9"/>
        <v>0</v>
      </c>
      <c r="N53" s="424">
        <f t="shared" si="9"/>
        <v>9476.6873599999999</v>
      </c>
      <c r="O53" s="424">
        <f t="shared" si="9"/>
        <v>5429.0358399999996</v>
      </c>
      <c r="P53" s="424">
        <f t="shared" si="9"/>
        <v>8182.925580000001</v>
      </c>
      <c r="Q53" s="424">
        <f t="shared" si="9"/>
        <v>3016.0017399999997</v>
      </c>
      <c r="R53" s="424">
        <f t="shared" si="9"/>
        <v>0</v>
      </c>
      <c r="S53" s="424">
        <f t="shared" si="9"/>
        <v>581.11934000000008</v>
      </c>
      <c r="T53" s="432">
        <f t="shared" si="9"/>
        <v>0</v>
      </c>
      <c r="U53" s="421">
        <f t="shared" si="9"/>
        <v>0</v>
      </c>
      <c r="V53" s="421">
        <f t="shared" si="9"/>
        <v>0</v>
      </c>
      <c r="W53" s="421">
        <f t="shared" si="9"/>
        <v>0</v>
      </c>
      <c r="X53" s="421">
        <f t="shared" si="9"/>
        <v>0</v>
      </c>
      <c r="Y53" s="419">
        <f t="shared" si="9"/>
        <v>0</v>
      </c>
      <c r="Z53" s="424">
        <f t="shared" si="9"/>
        <v>0</v>
      </c>
      <c r="AA53" s="424">
        <f t="shared" si="9"/>
        <v>0</v>
      </c>
      <c r="AB53" s="424">
        <f t="shared" si="9"/>
        <v>0</v>
      </c>
      <c r="AC53" s="422">
        <f t="shared" si="9"/>
        <v>4534.6080099999999</v>
      </c>
      <c r="AD53" s="423">
        <f>SUM(C53:AC53)</f>
        <v>36224.597979999999</v>
      </c>
      <c r="AE53" s="96"/>
    </row>
    <row r="54" spans="1:31" s="45" customFormat="1" x14ac:dyDescent="0.2">
      <c r="A54" s="98"/>
      <c r="B54" s="47"/>
      <c r="C54" s="428"/>
      <c r="D54" s="428"/>
      <c r="E54" s="428"/>
      <c r="F54" s="429"/>
      <c r="G54" s="429"/>
      <c r="H54" s="429"/>
      <c r="I54" s="429"/>
      <c r="J54" s="429"/>
      <c r="K54" s="429"/>
      <c r="L54" s="429"/>
      <c r="M54" s="428"/>
      <c r="N54" s="429"/>
      <c r="O54" s="429"/>
      <c r="P54" s="429"/>
      <c r="Q54" s="429"/>
      <c r="R54" s="428"/>
      <c r="S54" s="429"/>
      <c r="T54" s="428"/>
      <c r="U54" s="428"/>
      <c r="V54" s="428"/>
      <c r="W54" s="428"/>
      <c r="X54" s="428"/>
      <c r="Y54" s="428"/>
      <c r="Z54" s="429"/>
      <c r="AA54" s="428"/>
      <c r="AB54" s="429"/>
      <c r="AC54" s="429"/>
      <c r="AD54" s="430"/>
      <c r="AE54" s="96"/>
    </row>
    <row r="55" spans="1:31" s="45" customFormat="1" ht="15" x14ac:dyDescent="0.2">
      <c r="A55" s="100" t="s">
        <v>76</v>
      </c>
      <c r="B55" s="131" t="s">
        <v>299</v>
      </c>
      <c r="C55" s="431"/>
      <c r="D55" s="431"/>
      <c r="E55" s="431"/>
      <c r="F55" s="429"/>
      <c r="G55" s="429"/>
      <c r="H55" s="429"/>
      <c r="I55" s="429"/>
      <c r="J55" s="429"/>
      <c r="K55" s="429"/>
      <c r="L55" s="429"/>
      <c r="M55" s="429"/>
      <c r="N55" s="429"/>
      <c r="O55" s="429"/>
      <c r="P55" s="429"/>
      <c r="Q55" s="429"/>
      <c r="R55" s="431"/>
      <c r="S55" s="429"/>
      <c r="T55" s="431"/>
      <c r="U55" s="431"/>
      <c r="V55" s="431"/>
      <c r="W55" s="431"/>
      <c r="X55" s="431"/>
      <c r="Y55" s="431"/>
      <c r="Z55" s="429"/>
      <c r="AA55" s="431"/>
      <c r="AB55" s="429"/>
      <c r="AC55" s="429"/>
      <c r="AD55" s="430"/>
      <c r="AE55" s="96"/>
    </row>
    <row r="56" spans="1:31" s="45" customFormat="1" x14ac:dyDescent="0.2">
      <c r="A56" s="95" t="s">
        <v>300</v>
      </c>
      <c r="B56" s="465" t="s">
        <v>301</v>
      </c>
      <c r="C56" s="449"/>
      <c r="D56" s="421"/>
      <c r="E56" s="419"/>
      <c r="F56" s="424"/>
      <c r="G56" s="424"/>
      <c r="H56" s="424"/>
      <c r="I56" s="424"/>
      <c r="J56" s="424">
        <f>482176.58/1000</f>
        <v>482.17658</v>
      </c>
      <c r="K56" s="424"/>
      <c r="L56" s="424"/>
      <c r="M56" s="424"/>
      <c r="N56" s="424">
        <f>7500/1000</f>
        <v>7.5</v>
      </c>
      <c r="O56" s="424">
        <f>132979.33/1000</f>
        <v>132.97932999999998</v>
      </c>
      <c r="P56" s="424"/>
      <c r="Q56" s="424"/>
      <c r="R56" s="424"/>
      <c r="S56" s="424"/>
      <c r="T56" s="432"/>
      <c r="U56" s="421"/>
      <c r="V56" s="421"/>
      <c r="W56" s="421"/>
      <c r="X56" s="421"/>
      <c r="Y56" s="419"/>
      <c r="Z56" s="424"/>
      <c r="AA56" s="424"/>
      <c r="AB56" s="424"/>
      <c r="AC56" s="422">
        <f>341188.71/1000</f>
        <v>341.18871000000001</v>
      </c>
      <c r="AD56" s="423">
        <f>SUM(C56:AC56)</f>
        <v>963.84461999999996</v>
      </c>
      <c r="AE56" s="96"/>
    </row>
    <row r="57" spans="1:31" s="45" customFormat="1" x14ac:dyDescent="0.2">
      <c r="A57" s="95" t="s">
        <v>225</v>
      </c>
      <c r="B57" s="465" t="s">
        <v>302</v>
      </c>
      <c r="C57" s="449"/>
      <c r="D57" s="421"/>
      <c r="E57" s="419"/>
      <c r="F57" s="424"/>
      <c r="G57" s="424"/>
      <c r="H57" s="424"/>
      <c r="I57" s="424"/>
      <c r="J57" s="424">
        <f>1272330.69/1000</f>
        <v>1272.33069</v>
      </c>
      <c r="K57" s="424"/>
      <c r="L57" s="424"/>
      <c r="M57" s="424"/>
      <c r="N57" s="424">
        <f>1931778.24/1000</f>
        <v>1931.7782400000001</v>
      </c>
      <c r="O57" s="424">
        <f>37789435.29/1000</f>
        <v>37789.435290000001</v>
      </c>
      <c r="P57" s="424">
        <f>12382854/1000</f>
        <v>12382.853999999999</v>
      </c>
      <c r="Q57" s="424">
        <f>8171843.2/1000</f>
        <v>8171.8432000000003</v>
      </c>
      <c r="R57" s="424">
        <f>6869.35/1000</f>
        <v>6.8693500000000007</v>
      </c>
      <c r="S57" s="424">
        <f>(370.69+65834.7)/1000</f>
        <v>66.205389999999994</v>
      </c>
      <c r="T57" s="432"/>
      <c r="U57" s="421"/>
      <c r="V57" s="421"/>
      <c r="W57" s="421"/>
      <c r="X57" s="421"/>
      <c r="Y57" s="419"/>
      <c r="Z57" s="424"/>
      <c r="AA57" s="424"/>
      <c r="AB57" s="424"/>
      <c r="AC57" s="422">
        <f>3970086.07/1000</f>
        <v>3970.0860699999998</v>
      </c>
      <c r="AD57" s="423">
        <f>SUM(C57:AC57)</f>
        <v>65591.402230000007</v>
      </c>
      <c r="AE57" s="96"/>
    </row>
    <row r="58" spans="1:31" s="45" customFormat="1" x14ac:dyDescent="0.2">
      <c r="A58" s="95" t="s">
        <v>226</v>
      </c>
      <c r="B58" s="465" t="s">
        <v>303</v>
      </c>
      <c r="C58" s="449"/>
      <c r="D58" s="421"/>
      <c r="E58" s="419"/>
      <c r="F58" s="424"/>
      <c r="G58" s="424"/>
      <c r="H58" s="424"/>
      <c r="I58" s="424"/>
      <c r="J58" s="424">
        <f>32927.12/1000</f>
        <v>32.927120000000002</v>
      </c>
      <c r="K58" s="424"/>
      <c r="L58" s="424"/>
      <c r="M58" s="424"/>
      <c r="N58" s="424"/>
      <c r="O58" s="424"/>
      <c r="P58" s="424"/>
      <c r="Q58" s="424"/>
      <c r="R58" s="424"/>
      <c r="S58" s="424">
        <f>4630986.29/1000</f>
        <v>4630.9862899999998</v>
      </c>
      <c r="T58" s="432"/>
      <c r="U58" s="421"/>
      <c r="V58" s="421"/>
      <c r="W58" s="421"/>
      <c r="X58" s="421"/>
      <c r="Y58" s="419"/>
      <c r="Z58" s="424"/>
      <c r="AA58" s="424"/>
      <c r="AB58" s="424"/>
      <c r="AC58" s="422">
        <f>112574.55/1000</f>
        <v>112.57455</v>
      </c>
      <c r="AD58" s="423">
        <f>SUM(C58:AC58)</f>
        <v>4776.4879600000004</v>
      </c>
      <c r="AE58" s="96"/>
    </row>
    <row r="59" spans="1:31" s="45" customFormat="1" x14ac:dyDescent="0.2">
      <c r="A59" s="97" t="s">
        <v>227</v>
      </c>
      <c r="B59" s="130" t="s">
        <v>304</v>
      </c>
      <c r="C59" s="449"/>
      <c r="D59" s="421"/>
      <c r="E59" s="419"/>
      <c r="F59" s="425"/>
      <c r="G59" s="425"/>
      <c r="H59" s="425"/>
      <c r="I59" s="425"/>
      <c r="J59" s="425">
        <f>381136.2/1000</f>
        <v>381.13620000000003</v>
      </c>
      <c r="K59" s="425"/>
      <c r="L59" s="425"/>
      <c r="M59" s="425"/>
      <c r="N59" s="425"/>
      <c r="O59" s="425">
        <f>995903.51/1000</f>
        <v>995.90350999999998</v>
      </c>
      <c r="P59" s="425">
        <f>9620683.37/1000</f>
        <v>9620.6833699999988</v>
      </c>
      <c r="Q59" s="425">
        <f>27897/1000</f>
        <v>27.896999999999998</v>
      </c>
      <c r="R59" s="425"/>
      <c r="S59" s="425"/>
      <c r="T59" s="432"/>
      <c r="U59" s="421"/>
      <c r="V59" s="421"/>
      <c r="W59" s="421"/>
      <c r="X59" s="421"/>
      <c r="Y59" s="419"/>
      <c r="Z59" s="425"/>
      <c r="AA59" s="425"/>
      <c r="AB59" s="425"/>
      <c r="AC59" s="426">
        <f>891004.82/1000</f>
        <v>891.00482</v>
      </c>
      <c r="AD59" s="427">
        <f>SUM(C59:AC59)</f>
        <v>11916.624900000001</v>
      </c>
      <c r="AE59" s="96"/>
    </row>
    <row r="60" spans="1:31" s="45" customFormat="1" ht="15" collapsed="1" x14ac:dyDescent="0.2">
      <c r="A60" s="508" t="s">
        <v>77</v>
      </c>
      <c r="B60" s="509"/>
      <c r="C60" s="449">
        <f>+SUM(C56:C59)</f>
        <v>0</v>
      </c>
      <c r="D60" s="421">
        <f t="shared" ref="D60:AC60" si="10">+SUM(D56:D59)</f>
        <v>0</v>
      </c>
      <c r="E60" s="419">
        <f t="shared" si="10"/>
        <v>0</v>
      </c>
      <c r="F60" s="424">
        <f t="shared" si="10"/>
        <v>0</v>
      </c>
      <c r="G60" s="424">
        <f t="shared" si="10"/>
        <v>0</v>
      </c>
      <c r="H60" s="424">
        <f t="shared" si="10"/>
        <v>0</v>
      </c>
      <c r="I60" s="424">
        <f t="shared" si="10"/>
        <v>0</v>
      </c>
      <c r="J60" s="424">
        <f t="shared" si="10"/>
        <v>2168.5705900000003</v>
      </c>
      <c r="K60" s="424">
        <f t="shared" si="10"/>
        <v>0</v>
      </c>
      <c r="L60" s="424">
        <f t="shared" si="10"/>
        <v>0</v>
      </c>
      <c r="M60" s="424">
        <f t="shared" si="10"/>
        <v>0</v>
      </c>
      <c r="N60" s="424">
        <f t="shared" si="10"/>
        <v>1939.2782400000001</v>
      </c>
      <c r="O60" s="424">
        <f t="shared" si="10"/>
        <v>38918.31813</v>
      </c>
      <c r="P60" s="424">
        <f t="shared" si="10"/>
        <v>22003.537369999998</v>
      </c>
      <c r="Q60" s="424">
        <f t="shared" si="10"/>
        <v>8199.7402000000002</v>
      </c>
      <c r="R60" s="424">
        <f t="shared" si="10"/>
        <v>6.8693500000000007</v>
      </c>
      <c r="S60" s="424">
        <f t="shared" si="10"/>
        <v>4697.1916799999999</v>
      </c>
      <c r="T60" s="432">
        <f t="shared" si="10"/>
        <v>0</v>
      </c>
      <c r="U60" s="421">
        <f t="shared" si="10"/>
        <v>0</v>
      </c>
      <c r="V60" s="421">
        <f t="shared" si="10"/>
        <v>0</v>
      </c>
      <c r="W60" s="421">
        <f t="shared" si="10"/>
        <v>0</v>
      </c>
      <c r="X60" s="421">
        <f t="shared" si="10"/>
        <v>0</v>
      </c>
      <c r="Y60" s="419">
        <f t="shared" si="10"/>
        <v>0</v>
      </c>
      <c r="Z60" s="424">
        <f t="shared" si="10"/>
        <v>0</v>
      </c>
      <c r="AA60" s="424">
        <f t="shared" si="10"/>
        <v>0</v>
      </c>
      <c r="AB60" s="424">
        <f t="shared" si="10"/>
        <v>0</v>
      </c>
      <c r="AC60" s="422">
        <f t="shared" si="10"/>
        <v>5314.8541500000001</v>
      </c>
      <c r="AD60" s="423">
        <f>SUM(C60:AC60)</f>
        <v>83248.359710000004</v>
      </c>
      <c r="AE60" s="96"/>
    </row>
    <row r="61" spans="1:31" s="45" customFormat="1" x14ac:dyDescent="0.2">
      <c r="A61" s="98"/>
      <c r="B61" s="47"/>
      <c r="C61" s="428"/>
      <c r="D61" s="428"/>
      <c r="E61" s="428"/>
      <c r="F61" s="429"/>
      <c r="G61" s="429"/>
      <c r="H61" s="429"/>
      <c r="I61" s="429"/>
      <c r="J61" s="429"/>
      <c r="K61" s="429"/>
      <c r="L61" s="429"/>
      <c r="M61" s="429"/>
      <c r="N61" s="429"/>
      <c r="O61" s="429"/>
      <c r="P61" s="429"/>
      <c r="Q61" s="429"/>
      <c r="R61" s="428"/>
      <c r="S61" s="429"/>
      <c r="T61" s="428"/>
      <c r="U61" s="428"/>
      <c r="V61" s="428"/>
      <c r="W61" s="428"/>
      <c r="X61" s="428"/>
      <c r="Y61" s="428"/>
      <c r="Z61" s="429"/>
      <c r="AA61" s="428"/>
      <c r="AB61" s="429"/>
      <c r="AC61" s="429"/>
      <c r="AD61" s="430"/>
      <c r="AE61" s="96"/>
    </row>
    <row r="62" spans="1:31" s="45" customFormat="1" ht="15" x14ac:dyDescent="0.2">
      <c r="A62" s="100" t="s">
        <v>78</v>
      </c>
      <c r="B62" s="131" t="s">
        <v>305</v>
      </c>
      <c r="C62" s="431"/>
      <c r="D62" s="431"/>
      <c r="E62" s="431"/>
      <c r="F62" s="429"/>
      <c r="G62" s="429"/>
      <c r="H62" s="429"/>
      <c r="I62" s="429"/>
      <c r="J62" s="429"/>
      <c r="K62" s="429"/>
      <c r="L62" s="429"/>
      <c r="M62" s="431"/>
      <c r="N62" s="429"/>
      <c r="O62" s="429"/>
      <c r="P62" s="429"/>
      <c r="Q62" s="429"/>
      <c r="R62" s="431"/>
      <c r="S62" s="429"/>
      <c r="T62" s="431"/>
      <c r="U62" s="431"/>
      <c r="V62" s="431"/>
      <c r="W62" s="431"/>
      <c r="X62" s="431"/>
      <c r="Y62" s="431"/>
      <c r="Z62" s="429"/>
      <c r="AA62" s="431"/>
      <c r="AB62" s="429"/>
      <c r="AC62" s="429"/>
      <c r="AD62" s="430"/>
      <c r="AE62" s="96"/>
    </row>
    <row r="63" spans="1:31" s="45" customFormat="1" x14ac:dyDescent="0.2">
      <c r="A63" s="95" t="s">
        <v>306</v>
      </c>
      <c r="B63" s="465" t="s">
        <v>307</v>
      </c>
      <c r="C63" s="449"/>
      <c r="D63" s="421"/>
      <c r="E63" s="419"/>
      <c r="F63" s="424"/>
      <c r="G63" s="424"/>
      <c r="H63" s="424"/>
      <c r="I63" s="424"/>
      <c r="J63" s="424">
        <f>89526.5/1000</f>
        <v>89.526499999999999</v>
      </c>
      <c r="K63" s="424"/>
      <c r="L63" s="424"/>
      <c r="M63" s="433"/>
      <c r="N63" s="424">
        <f>1095368/1000</f>
        <v>1095.3679999999999</v>
      </c>
      <c r="O63" s="424">
        <f>484960.62/1000</f>
        <v>484.96062000000001</v>
      </c>
      <c r="P63" s="424"/>
      <c r="Q63" s="424">
        <f>241320/1000</f>
        <v>241.32</v>
      </c>
      <c r="R63" s="424"/>
      <c r="S63" s="424"/>
      <c r="T63" s="432"/>
      <c r="U63" s="421"/>
      <c r="V63" s="421"/>
      <c r="W63" s="421"/>
      <c r="X63" s="421"/>
      <c r="Y63" s="419"/>
      <c r="Z63" s="424"/>
      <c r="AA63" s="424"/>
      <c r="AB63" s="424"/>
      <c r="AC63" s="422">
        <f>654500.55/1000</f>
        <v>654.50055000000009</v>
      </c>
      <c r="AD63" s="423">
        <f t="shared" ref="AD63:AD72" si="11">SUM(C63:AC63)</f>
        <v>2565.6756700000001</v>
      </c>
      <c r="AE63" s="96"/>
    </row>
    <row r="64" spans="1:31" s="45" customFormat="1" x14ac:dyDescent="0.2">
      <c r="A64" s="95" t="s">
        <v>233</v>
      </c>
      <c r="B64" s="465" t="s">
        <v>308</v>
      </c>
      <c r="C64" s="449"/>
      <c r="D64" s="421"/>
      <c r="E64" s="419"/>
      <c r="F64" s="424"/>
      <c r="G64" s="424"/>
      <c r="H64" s="424"/>
      <c r="I64" s="424"/>
      <c r="J64" s="424">
        <f>-3305.84/1000</f>
        <v>-3.3058400000000003</v>
      </c>
      <c r="K64" s="424"/>
      <c r="L64" s="424"/>
      <c r="M64" s="453"/>
      <c r="N64" s="424"/>
      <c r="O64" s="424">
        <f>158830.69/1000</f>
        <v>158.83069</v>
      </c>
      <c r="P64" s="424"/>
      <c r="Q64" s="424"/>
      <c r="R64" s="424"/>
      <c r="S64" s="424"/>
      <c r="T64" s="432"/>
      <c r="U64" s="421"/>
      <c r="V64" s="421"/>
      <c r="W64" s="421"/>
      <c r="X64" s="421"/>
      <c r="Y64" s="419"/>
      <c r="Z64" s="424"/>
      <c r="AA64" s="424"/>
      <c r="AB64" s="424"/>
      <c r="AC64" s="422">
        <f>166716.94/1000</f>
        <v>166.71693999999999</v>
      </c>
      <c r="AD64" s="423">
        <f t="shared" si="11"/>
        <v>322.24179000000004</v>
      </c>
      <c r="AE64" s="96"/>
    </row>
    <row r="65" spans="1:31" s="45" customFormat="1" x14ac:dyDescent="0.2">
      <c r="A65" s="95" t="s">
        <v>234</v>
      </c>
      <c r="B65" s="465" t="s">
        <v>309</v>
      </c>
      <c r="C65" s="449"/>
      <c r="D65" s="421"/>
      <c r="E65" s="419"/>
      <c r="F65" s="424"/>
      <c r="G65" s="424"/>
      <c r="H65" s="424"/>
      <c r="I65" s="424"/>
      <c r="J65" s="424">
        <f>-12500/1000</f>
        <v>-12.5</v>
      </c>
      <c r="K65" s="424"/>
      <c r="L65" s="424"/>
      <c r="M65" s="424"/>
      <c r="N65" s="424"/>
      <c r="O65" s="424">
        <f>104000/1000</f>
        <v>104</v>
      </c>
      <c r="P65" s="424"/>
      <c r="Q65" s="424"/>
      <c r="R65" s="424"/>
      <c r="S65" s="424">
        <f>9197.35/1000</f>
        <v>9.1973500000000001</v>
      </c>
      <c r="T65" s="432"/>
      <c r="U65" s="421"/>
      <c r="V65" s="421"/>
      <c r="W65" s="421"/>
      <c r="X65" s="421"/>
      <c r="Y65" s="419"/>
      <c r="Z65" s="424"/>
      <c r="AA65" s="424"/>
      <c r="AB65" s="424"/>
      <c r="AC65" s="422">
        <f>81066.56/1000</f>
        <v>81.066559999999996</v>
      </c>
      <c r="AD65" s="423">
        <f t="shared" si="11"/>
        <v>181.76391000000001</v>
      </c>
      <c r="AE65" s="96"/>
    </row>
    <row r="66" spans="1:31" s="45" customFormat="1" x14ac:dyDescent="0.2">
      <c r="A66" s="95" t="s">
        <v>310</v>
      </c>
      <c r="B66" s="465" t="s">
        <v>311</v>
      </c>
      <c r="C66" s="449"/>
      <c r="D66" s="421"/>
      <c r="E66" s="419"/>
      <c r="F66" s="424"/>
      <c r="G66" s="424"/>
      <c r="H66" s="424"/>
      <c r="I66" s="424"/>
      <c r="J66" s="424">
        <f>77432.09/1000</f>
        <v>77.432090000000002</v>
      </c>
      <c r="K66" s="424"/>
      <c r="L66" s="424"/>
      <c r="M66" s="424"/>
      <c r="N66" s="424">
        <f>649457.07/1000</f>
        <v>649.45706999999993</v>
      </c>
      <c r="O66" s="424">
        <f>5662323.11/1000</f>
        <v>5662.3231100000003</v>
      </c>
      <c r="P66" s="424">
        <f>559464.64/1000</f>
        <v>559.46464000000003</v>
      </c>
      <c r="Q66" s="424">
        <f>1044041.88/1000</f>
        <v>1044.04188</v>
      </c>
      <c r="R66" s="424"/>
      <c r="S66" s="424">
        <f>(31081.2+2515.37)/1000</f>
        <v>33.59657</v>
      </c>
      <c r="T66" s="432"/>
      <c r="U66" s="421"/>
      <c r="V66" s="421"/>
      <c r="W66" s="421"/>
      <c r="X66" s="421"/>
      <c r="Y66" s="419"/>
      <c r="Z66" s="424"/>
      <c r="AA66" s="424"/>
      <c r="AB66" s="424"/>
      <c r="AC66" s="422">
        <f>1663071.16/1000</f>
        <v>1663.07116</v>
      </c>
      <c r="AD66" s="423">
        <f t="shared" si="11"/>
        <v>9689.38652</v>
      </c>
      <c r="AE66" s="96"/>
    </row>
    <row r="67" spans="1:31" s="45" customFormat="1" x14ac:dyDescent="0.2">
      <c r="A67" s="95" t="s">
        <v>312</v>
      </c>
      <c r="B67" s="465" t="s">
        <v>313</v>
      </c>
      <c r="C67" s="449"/>
      <c r="D67" s="421"/>
      <c r="E67" s="419"/>
      <c r="F67" s="424"/>
      <c r="G67" s="424"/>
      <c r="H67" s="424"/>
      <c r="I67" s="424"/>
      <c r="J67" s="424"/>
      <c r="K67" s="424"/>
      <c r="L67" s="424"/>
      <c r="M67" s="454"/>
      <c r="N67" s="424">
        <f>111790/1000</f>
        <v>111.79</v>
      </c>
      <c r="O67" s="424">
        <f>2670300/1000</f>
        <v>2670.3</v>
      </c>
      <c r="P67" s="424"/>
      <c r="Q67" s="424"/>
      <c r="R67" s="424"/>
      <c r="S67" s="424"/>
      <c r="T67" s="432"/>
      <c r="U67" s="421"/>
      <c r="V67" s="421"/>
      <c r="W67" s="421"/>
      <c r="X67" s="421"/>
      <c r="Y67" s="419"/>
      <c r="Z67" s="424"/>
      <c r="AA67" s="424"/>
      <c r="AB67" s="424"/>
      <c r="AC67" s="422">
        <f>69543.19/1000</f>
        <v>69.543189999999996</v>
      </c>
      <c r="AD67" s="423">
        <f t="shared" si="11"/>
        <v>2851.63319</v>
      </c>
      <c r="AE67" s="96"/>
    </row>
    <row r="68" spans="1:31" s="45" customFormat="1" x14ac:dyDescent="0.2">
      <c r="A68" s="95" t="s">
        <v>314</v>
      </c>
      <c r="B68" s="465" t="s">
        <v>315</v>
      </c>
      <c r="C68" s="449"/>
      <c r="D68" s="421"/>
      <c r="E68" s="419"/>
      <c r="F68" s="424"/>
      <c r="G68" s="424"/>
      <c r="H68" s="424"/>
      <c r="I68" s="424"/>
      <c r="J68" s="424"/>
      <c r="K68" s="424"/>
      <c r="L68" s="424"/>
      <c r="M68" s="424"/>
      <c r="N68" s="424"/>
      <c r="O68" s="424"/>
      <c r="P68" s="424"/>
      <c r="Q68" s="424"/>
      <c r="R68" s="424"/>
      <c r="S68" s="424"/>
      <c r="T68" s="432"/>
      <c r="U68" s="421"/>
      <c r="V68" s="421"/>
      <c r="W68" s="421"/>
      <c r="X68" s="421"/>
      <c r="Y68" s="419"/>
      <c r="Z68" s="424"/>
      <c r="AA68" s="424"/>
      <c r="AB68" s="424"/>
      <c r="AC68" s="422"/>
      <c r="AD68" s="423">
        <f t="shared" si="11"/>
        <v>0</v>
      </c>
      <c r="AE68" s="96"/>
    </row>
    <row r="69" spans="1:31" s="45" customFormat="1" x14ac:dyDescent="0.2">
      <c r="A69" s="95" t="s">
        <v>316</v>
      </c>
      <c r="B69" s="465" t="s">
        <v>317</v>
      </c>
      <c r="C69" s="449"/>
      <c r="D69" s="421"/>
      <c r="E69" s="419"/>
      <c r="F69" s="424"/>
      <c r="G69" s="424"/>
      <c r="H69" s="424"/>
      <c r="I69" s="424"/>
      <c r="J69" s="424">
        <f>22125/1000</f>
        <v>22.125</v>
      </c>
      <c r="K69" s="424"/>
      <c r="L69" s="424"/>
      <c r="M69" s="454"/>
      <c r="N69" s="424">
        <f>668176.47/1000</f>
        <v>668.17646999999999</v>
      </c>
      <c r="O69" s="424">
        <f>192529.66/1000</f>
        <v>192.52966000000001</v>
      </c>
      <c r="P69" s="424"/>
      <c r="Q69" s="424"/>
      <c r="R69" s="424"/>
      <c r="S69" s="424">
        <f>142956.46/1000</f>
        <v>142.95645999999999</v>
      </c>
      <c r="T69" s="432"/>
      <c r="U69" s="421"/>
      <c r="V69" s="421"/>
      <c r="W69" s="421"/>
      <c r="X69" s="421"/>
      <c r="Y69" s="419"/>
      <c r="Z69" s="424"/>
      <c r="AA69" s="424"/>
      <c r="AB69" s="424"/>
      <c r="AC69" s="422">
        <f>264799.25/1000</f>
        <v>264.79924999999997</v>
      </c>
      <c r="AD69" s="423">
        <f t="shared" si="11"/>
        <v>1290.5868399999999</v>
      </c>
      <c r="AE69" s="96"/>
    </row>
    <row r="70" spans="1:31" s="45" customFormat="1" x14ac:dyDescent="0.2">
      <c r="A70" s="95" t="s">
        <v>318</v>
      </c>
      <c r="B70" s="465" t="s">
        <v>319</v>
      </c>
      <c r="C70" s="449"/>
      <c r="D70" s="421"/>
      <c r="E70" s="419"/>
      <c r="F70" s="424"/>
      <c r="G70" s="424"/>
      <c r="H70" s="424"/>
      <c r="I70" s="424"/>
      <c r="J70" s="424"/>
      <c r="K70" s="424"/>
      <c r="L70" s="424"/>
      <c r="M70" s="424"/>
      <c r="N70" s="424"/>
      <c r="O70" s="424"/>
      <c r="P70" s="424"/>
      <c r="Q70" s="424"/>
      <c r="R70" s="424"/>
      <c r="S70" s="424"/>
      <c r="T70" s="432"/>
      <c r="U70" s="421"/>
      <c r="V70" s="421"/>
      <c r="W70" s="421"/>
      <c r="X70" s="421"/>
      <c r="Y70" s="419"/>
      <c r="Z70" s="424"/>
      <c r="AA70" s="424"/>
      <c r="AB70" s="424"/>
      <c r="AC70" s="422"/>
      <c r="AD70" s="423">
        <f t="shared" si="11"/>
        <v>0</v>
      </c>
      <c r="AE70" s="96"/>
    </row>
    <row r="71" spans="1:31" s="45" customFormat="1" x14ac:dyDescent="0.2">
      <c r="A71" s="97" t="s">
        <v>320</v>
      </c>
      <c r="B71" s="130" t="s">
        <v>321</v>
      </c>
      <c r="C71" s="449"/>
      <c r="D71" s="421"/>
      <c r="E71" s="419"/>
      <c r="F71" s="425"/>
      <c r="G71" s="425"/>
      <c r="H71" s="425"/>
      <c r="I71" s="425"/>
      <c r="J71" s="425">
        <f>10400/1000</f>
        <v>10.4</v>
      </c>
      <c r="K71" s="425"/>
      <c r="L71" s="425"/>
      <c r="M71" s="452"/>
      <c r="N71" s="425">
        <f>-7772/1000</f>
        <v>-7.7720000000000002</v>
      </c>
      <c r="O71" s="425">
        <f>-44148.17/1000</f>
        <v>-44.14817</v>
      </c>
      <c r="P71" s="425"/>
      <c r="Q71" s="425"/>
      <c r="R71" s="425"/>
      <c r="S71" s="425"/>
      <c r="T71" s="432"/>
      <c r="U71" s="421"/>
      <c r="V71" s="421"/>
      <c r="W71" s="421"/>
      <c r="X71" s="421"/>
      <c r="Y71" s="419"/>
      <c r="Z71" s="425"/>
      <c r="AA71" s="425"/>
      <c r="AB71" s="425"/>
      <c r="AC71" s="426">
        <f>272957.28/1000</f>
        <v>272.95728000000003</v>
      </c>
      <c r="AD71" s="427">
        <f t="shared" si="11"/>
        <v>231.43711000000002</v>
      </c>
      <c r="AE71" s="96"/>
    </row>
    <row r="72" spans="1:31" s="45" customFormat="1" ht="15" collapsed="1" x14ac:dyDescent="0.2">
      <c r="A72" s="508" t="s">
        <v>81</v>
      </c>
      <c r="B72" s="509"/>
      <c r="C72" s="449">
        <f>SUM(C63:C71)</f>
        <v>0</v>
      </c>
      <c r="D72" s="421">
        <f t="shared" ref="D72:AC72" si="12">SUM(D63:D71)</f>
        <v>0</v>
      </c>
      <c r="E72" s="419">
        <f t="shared" si="12"/>
        <v>0</v>
      </c>
      <c r="F72" s="424">
        <f t="shared" si="12"/>
        <v>0</v>
      </c>
      <c r="G72" s="424">
        <f t="shared" si="12"/>
        <v>0</v>
      </c>
      <c r="H72" s="424">
        <f t="shared" si="12"/>
        <v>0</v>
      </c>
      <c r="I72" s="424">
        <f t="shared" si="12"/>
        <v>0</v>
      </c>
      <c r="J72" s="424">
        <f t="shared" si="12"/>
        <v>183.67775</v>
      </c>
      <c r="K72" s="424">
        <f t="shared" si="12"/>
        <v>0</v>
      </c>
      <c r="L72" s="424">
        <f t="shared" si="12"/>
        <v>0</v>
      </c>
      <c r="M72" s="424">
        <f t="shared" si="12"/>
        <v>0</v>
      </c>
      <c r="N72" s="424">
        <f t="shared" si="12"/>
        <v>2517.0195399999998</v>
      </c>
      <c r="O72" s="424">
        <f t="shared" si="12"/>
        <v>9228.7959100000007</v>
      </c>
      <c r="P72" s="424">
        <f t="shared" si="12"/>
        <v>559.46464000000003</v>
      </c>
      <c r="Q72" s="424">
        <f t="shared" si="12"/>
        <v>1285.3618799999999</v>
      </c>
      <c r="R72" s="424">
        <f t="shared" si="12"/>
        <v>0</v>
      </c>
      <c r="S72" s="424">
        <f t="shared" si="12"/>
        <v>185.75038000000001</v>
      </c>
      <c r="T72" s="432">
        <f t="shared" si="12"/>
        <v>0</v>
      </c>
      <c r="U72" s="421">
        <f t="shared" si="12"/>
        <v>0</v>
      </c>
      <c r="V72" s="421">
        <f t="shared" si="12"/>
        <v>0</v>
      </c>
      <c r="W72" s="421">
        <f t="shared" si="12"/>
        <v>0</v>
      </c>
      <c r="X72" s="421">
        <f t="shared" si="12"/>
        <v>0</v>
      </c>
      <c r="Y72" s="419">
        <f t="shared" si="12"/>
        <v>0</v>
      </c>
      <c r="Z72" s="424">
        <f t="shared" si="12"/>
        <v>0</v>
      </c>
      <c r="AA72" s="424">
        <f t="shared" si="12"/>
        <v>0</v>
      </c>
      <c r="AB72" s="424">
        <f t="shared" si="12"/>
        <v>0</v>
      </c>
      <c r="AC72" s="422">
        <f t="shared" si="12"/>
        <v>3172.6549300000001</v>
      </c>
      <c r="AD72" s="423">
        <f t="shared" si="11"/>
        <v>17132.725030000001</v>
      </c>
      <c r="AE72" s="96"/>
    </row>
    <row r="73" spans="1:31" s="45" customFormat="1" x14ac:dyDescent="0.2">
      <c r="A73" s="98"/>
      <c r="B73" s="47"/>
      <c r="C73" s="428"/>
      <c r="D73" s="428"/>
      <c r="E73" s="428"/>
      <c r="F73" s="429"/>
      <c r="G73" s="429"/>
      <c r="H73" s="429"/>
      <c r="I73" s="429"/>
      <c r="J73" s="429"/>
      <c r="K73" s="429"/>
      <c r="L73" s="429"/>
      <c r="M73" s="429"/>
      <c r="N73" s="429"/>
      <c r="O73" s="429"/>
      <c r="P73" s="429"/>
      <c r="Q73" s="429"/>
      <c r="R73" s="428"/>
      <c r="S73" s="429"/>
      <c r="T73" s="428"/>
      <c r="U73" s="428"/>
      <c r="V73" s="428"/>
      <c r="W73" s="428"/>
      <c r="X73" s="428"/>
      <c r="Y73" s="428"/>
      <c r="Z73" s="429"/>
      <c r="AA73" s="428"/>
      <c r="AB73" s="429"/>
      <c r="AC73" s="429"/>
      <c r="AD73" s="430"/>
      <c r="AE73" s="96"/>
    </row>
    <row r="74" spans="1:31" s="45" customFormat="1" ht="15" x14ac:dyDescent="0.2">
      <c r="A74" s="100" t="s">
        <v>82</v>
      </c>
      <c r="B74" s="131" t="s">
        <v>79</v>
      </c>
      <c r="C74" s="431"/>
      <c r="D74" s="431"/>
      <c r="E74" s="431"/>
      <c r="F74" s="429"/>
      <c r="G74" s="429"/>
      <c r="H74" s="429"/>
      <c r="I74" s="429"/>
      <c r="J74" s="429"/>
      <c r="K74" s="429"/>
      <c r="L74" s="429"/>
      <c r="M74" s="431"/>
      <c r="N74" s="429"/>
      <c r="O74" s="429"/>
      <c r="P74" s="429"/>
      <c r="Q74" s="429"/>
      <c r="R74" s="431"/>
      <c r="S74" s="429"/>
      <c r="T74" s="431"/>
      <c r="U74" s="431"/>
      <c r="V74" s="431"/>
      <c r="W74" s="431"/>
      <c r="X74" s="431"/>
      <c r="Y74" s="431"/>
      <c r="Z74" s="429"/>
      <c r="AA74" s="431"/>
      <c r="AB74" s="429"/>
      <c r="AC74" s="429"/>
      <c r="AD74" s="430"/>
      <c r="AE74" s="96"/>
    </row>
    <row r="75" spans="1:31" s="45" customFormat="1" x14ac:dyDescent="0.2">
      <c r="A75" s="95" t="s">
        <v>322</v>
      </c>
      <c r="B75" s="465" t="s">
        <v>323</v>
      </c>
      <c r="C75" s="449"/>
      <c r="D75" s="421"/>
      <c r="E75" s="419"/>
      <c r="F75" s="424"/>
      <c r="G75" s="424"/>
      <c r="H75" s="424"/>
      <c r="I75" s="424"/>
      <c r="J75" s="424"/>
      <c r="K75" s="424"/>
      <c r="L75" s="424"/>
      <c r="M75" s="433"/>
      <c r="N75" s="424"/>
      <c r="O75" s="424"/>
      <c r="P75" s="424"/>
      <c r="Q75" s="424"/>
      <c r="R75" s="424"/>
      <c r="S75" s="424"/>
      <c r="T75" s="432"/>
      <c r="U75" s="421"/>
      <c r="V75" s="421"/>
      <c r="W75" s="421"/>
      <c r="X75" s="421"/>
      <c r="Y75" s="419"/>
      <c r="Z75" s="424"/>
      <c r="AA75" s="424"/>
      <c r="AB75" s="424"/>
      <c r="AC75" s="422"/>
      <c r="AD75" s="423">
        <f>SUM(C75:AC75)</f>
        <v>0</v>
      </c>
      <c r="AE75" s="96"/>
    </row>
    <row r="76" spans="1:31" s="45" customFormat="1" x14ac:dyDescent="0.2">
      <c r="A76" s="95" t="s">
        <v>324</v>
      </c>
      <c r="B76" s="465" t="s">
        <v>80</v>
      </c>
      <c r="C76" s="449"/>
      <c r="D76" s="421"/>
      <c r="E76" s="419"/>
      <c r="F76" s="424"/>
      <c r="G76" s="424">
        <f>40000/1000</f>
        <v>40</v>
      </c>
      <c r="H76" s="424">
        <f>116666.15/1000</f>
        <v>116.66614999999999</v>
      </c>
      <c r="I76" s="424">
        <f>12844.23/1000</f>
        <v>12.84423</v>
      </c>
      <c r="J76" s="424">
        <f>3682817.21/1000</f>
        <v>3682.8172100000002</v>
      </c>
      <c r="K76" s="424"/>
      <c r="L76" s="424">
        <f>176590.03/1000</f>
        <v>176.59003000000001</v>
      </c>
      <c r="M76" s="433"/>
      <c r="N76" s="424">
        <f>10981494.5/1000</f>
        <v>10981.494500000001</v>
      </c>
      <c r="O76" s="424">
        <f>8624242.22/1000</f>
        <v>8624.2422200000001</v>
      </c>
      <c r="P76" s="424">
        <f>624365.81/1000</f>
        <v>624.36581000000001</v>
      </c>
      <c r="Q76" s="424">
        <f>188963.72/1000</f>
        <v>188.96372</v>
      </c>
      <c r="R76" s="424"/>
      <c r="S76" s="424">
        <f>(420.12+1676580.76)/1000</f>
        <v>1677.0008800000001</v>
      </c>
      <c r="T76" s="432"/>
      <c r="U76" s="421"/>
      <c r="V76" s="421"/>
      <c r="W76" s="421"/>
      <c r="X76" s="421"/>
      <c r="Y76" s="419"/>
      <c r="Z76" s="424"/>
      <c r="AA76" s="424"/>
      <c r="AB76" s="424"/>
      <c r="AC76" s="422">
        <f>5677954.69/1000</f>
        <v>5677.9546900000005</v>
      </c>
      <c r="AD76" s="423">
        <f>SUM(C76:AC76)</f>
        <v>31802.939440000002</v>
      </c>
      <c r="AE76" s="96"/>
    </row>
    <row r="77" spans="1:31" s="45" customFormat="1" x14ac:dyDescent="0.2">
      <c r="A77" s="95" t="s">
        <v>325</v>
      </c>
      <c r="B77" s="465" t="s">
        <v>326</v>
      </c>
      <c r="C77" s="449"/>
      <c r="D77" s="421"/>
      <c r="E77" s="419"/>
      <c r="F77" s="424"/>
      <c r="G77" s="424"/>
      <c r="H77" s="424"/>
      <c r="I77" s="424"/>
      <c r="J77" s="424">
        <f>399123.37/1000</f>
        <v>399.12337000000002</v>
      </c>
      <c r="K77" s="424"/>
      <c r="L77" s="424"/>
      <c r="M77" s="433"/>
      <c r="N77" s="424">
        <f>328801/1000</f>
        <v>328.80099999999999</v>
      </c>
      <c r="O77" s="424">
        <f>1990356.452/1000</f>
        <v>1990.356452</v>
      </c>
      <c r="P77" s="424">
        <f>11291226.09/1000</f>
        <v>11291.22609</v>
      </c>
      <c r="Q77" s="424">
        <f>20000/1000</f>
        <v>20</v>
      </c>
      <c r="R77" s="424"/>
      <c r="S77" s="424">
        <f>40143.5/1000</f>
        <v>40.143500000000003</v>
      </c>
      <c r="T77" s="432"/>
      <c r="U77" s="421"/>
      <c r="V77" s="421"/>
      <c r="W77" s="421"/>
      <c r="X77" s="421"/>
      <c r="Y77" s="419"/>
      <c r="Z77" s="424"/>
      <c r="AA77" s="424"/>
      <c r="AB77" s="424"/>
      <c r="AC77" s="422">
        <f>895399.5/1000</f>
        <v>895.39949999999999</v>
      </c>
      <c r="AD77" s="423">
        <f>SUM(C77:AC77)</f>
        <v>14965.049912</v>
      </c>
      <c r="AE77" s="96"/>
    </row>
    <row r="78" spans="1:31" s="45" customFormat="1" x14ac:dyDescent="0.2">
      <c r="A78" s="97" t="s">
        <v>327</v>
      </c>
      <c r="B78" s="130" t="s">
        <v>328</v>
      </c>
      <c r="C78" s="449"/>
      <c r="D78" s="421"/>
      <c r="E78" s="419"/>
      <c r="F78" s="425"/>
      <c r="G78" s="425"/>
      <c r="H78" s="425"/>
      <c r="I78" s="425"/>
      <c r="J78" s="425"/>
      <c r="K78" s="425"/>
      <c r="L78" s="425"/>
      <c r="M78" s="433"/>
      <c r="N78" s="425"/>
      <c r="O78" s="425"/>
      <c r="P78" s="425"/>
      <c r="Q78" s="425"/>
      <c r="R78" s="425"/>
      <c r="S78" s="425"/>
      <c r="T78" s="432"/>
      <c r="U78" s="421"/>
      <c r="V78" s="421"/>
      <c r="W78" s="421"/>
      <c r="X78" s="421"/>
      <c r="Y78" s="419"/>
      <c r="Z78" s="425"/>
      <c r="AA78" s="425"/>
      <c r="AB78" s="425"/>
      <c r="AC78" s="426"/>
      <c r="AD78" s="427">
        <f>SUM(C78:AC78)</f>
        <v>0</v>
      </c>
      <c r="AE78" s="96"/>
    </row>
    <row r="79" spans="1:31" s="45" customFormat="1" ht="15" collapsed="1" x14ac:dyDescent="0.2">
      <c r="A79" s="508" t="s">
        <v>88</v>
      </c>
      <c r="B79" s="509"/>
      <c r="C79" s="449">
        <f>SUM(C75:C78)</f>
        <v>0</v>
      </c>
      <c r="D79" s="421">
        <f t="shared" ref="D79:AC79" si="13">SUM(D75:D78)</f>
        <v>0</v>
      </c>
      <c r="E79" s="419">
        <f t="shared" si="13"/>
        <v>0</v>
      </c>
      <c r="F79" s="424">
        <f t="shared" si="13"/>
        <v>0</v>
      </c>
      <c r="G79" s="424">
        <f t="shared" si="13"/>
        <v>40</v>
      </c>
      <c r="H79" s="424">
        <f t="shared" si="13"/>
        <v>116.66614999999999</v>
      </c>
      <c r="I79" s="424">
        <f t="shared" si="13"/>
        <v>12.84423</v>
      </c>
      <c r="J79" s="424">
        <f t="shared" si="13"/>
        <v>4081.9405800000004</v>
      </c>
      <c r="K79" s="424">
        <f t="shared" si="13"/>
        <v>0</v>
      </c>
      <c r="L79" s="424">
        <f t="shared" si="13"/>
        <v>176.59003000000001</v>
      </c>
      <c r="M79" s="433">
        <f t="shared" si="13"/>
        <v>0</v>
      </c>
      <c r="N79" s="424">
        <f t="shared" si="13"/>
        <v>11310.2955</v>
      </c>
      <c r="O79" s="424">
        <f t="shared" si="13"/>
        <v>10614.598672</v>
      </c>
      <c r="P79" s="424">
        <f t="shared" si="13"/>
        <v>11915.591899999999</v>
      </c>
      <c r="Q79" s="424">
        <f t="shared" si="13"/>
        <v>208.96372</v>
      </c>
      <c r="R79" s="424">
        <f t="shared" si="13"/>
        <v>0</v>
      </c>
      <c r="S79" s="424">
        <f t="shared" si="13"/>
        <v>1717.14438</v>
      </c>
      <c r="T79" s="432">
        <f t="shared" si="13"/>
        <v>0</v>
      </c>
      <c r="U79" s="421">
        <f t="shared" si="13"/>
        <v>0</v>
      </c>
      <c r="V79" s="421">
        <f t="shared" si="13"/>
        <v>0</v>
      </c>
      <c r="W79" s="421">
        <f t="shared" si="13"/>
        <v>0</v>
      </c>
      <c r="X79" s="421">
        <f t="shared" si="13"/>
        <v>0</v>
      </c>
      <c r="Y79" s="419">
        <f t="shared" si="13"/>
        <v>0</v>
      </c>
      <c r="Z79" s="424">
        <f t="shared" si="13"/>
        <v>0</v>
      </c>
      <c r="AA79" s="424">
        <f t="shared" si="13"/>
        <v>0</v>
      </c>
      <c r="AB79" s="424">
        <f t="shared" si="13"/>
        <v>0</v>
      </c>
      <c r="AC79" s="422">
        <f t="shared" si="13"/>
        <v>6573.35419</v>
      </c>
      <c r="AD79" s="423">
        <f>SUM(C79:AC79)</f>
        <v>46767.989351999997</v>
      </c>
      <c r="AE79" s="96"/>
    </row>
    <row r="80" spans="1:31" s="45" customFormat="1" x14ac:dyDescent="0.2">
      <c r="A80" s="98"/>
      <c r="B80" s="47"/>
      <c r="C80" s="428"/>
      <c r="D80" s="428"/>
      <c r="E80" s="428"/>
      <c r="F80" s="429"/>
      <c r="G80" s="429"/>
      <c r="H80" s="429"/>
      <c r="I80" s="429"/>
      <c r="J80" s="429"/>
      <c r="K80" s="429"/>
      <c r="L80" s="429"/>
      <c r="M80" s="428"/>
      <c r="N80" s="429"/>
      <c r="O80" s="429"/>
      <c r="P80" s="429"/>
      <c r="Q80" s="429"/>
      <c r="R80" s="428"/>
      <c r="S80" s="429"/>
      <c r="T80" s="428"/>
      <c r="U80" s="428"/>
      <c r="V80" s="428"/>
      <c r="W80" s="428"/>
      <c r="X80" s="428"/>
      <c r="Y80" s="428"/>
      <c r="Z80" s="429"/>
      <c r="AA80" s="428"/>
      <c r="AB80" s="429"/>
      <c r="AC80" s="429"/>
      <c r="AD80" s="430"/>
      <c r="AE80" s="96"/>
    </row>
    <row r="81" spans="1:31" s="45" customFormat="1" ht="15" x14ac:dyDescent="0.2">
      <c r="A81" s="44" t="s">
        <v>59</v>
      </c>
      <c r="B81" s="132" t="s">
        <v>83</v>
      </c>
      <c r="C81" s="431"/>
      <c r="D81" s="431"/>
      <c r="E81" s="431"/>
      <c r="F81" s="429"/>
      <c r="G81" s="429"/>
      <c r="H81" s="429"/>
      <c r="I81" s="429"/>
      <c r="J81" s="429"/>
      <c r="K81" s="429"/>
      <c r="L81" s="429"/>
      <c r="M81" s="431"/>
      <c r="N81" s="429"/>
      <c r="O81" s="429"/>
      <c r="P81" s="429"/>
      <c r="Q81" s="429"/>
      <c r="R81" s="431"/>
      <c r="S81" s="429"/>
      <c r="T81" s="431"/>
      <c r="U81" s="431"/>
      <c r="V81" s="431"/>
      <c r="W81" s="429"/>
      <c r="X81" s="431"/>
      <c r="Y81" s="431"/>
      <c r="Z81" s="431"/>
      <c r="AA81" s="431"/>
      <c r="AB81" s="429"/>
      <c r="AC81" s="429"/>
      <c r="AD81" s="430"/>
      <c r="AE81" s="96"/>
    </row>
    <row r="82" spans="1:31" s="45" customFormat="1" x14ac:dyDescent="0.2">
      <c r="A82" s="95" t="s">
        <v>28</v>
      </c>
      <c r="B82" s="465" t="s">
        <v>84</v>
      </c>
      <c r="C82" s="449"/>
      <c r="D82" s="421"/>
      <c r="E82" s="419"/>
      <c r="F82" s="424"/>
      <c r="G82" s="424"/>
      <c r="H82" s="424"/>
      <c r="I82" s="424"/>
      <c r="J82" s="424"/>
      <c r="K82" s="424"/>
      <c r="L82" s="424"/>
      <c r="M82" s="433"/>
      <c r="N82" s="424"/>
      <c r="O82" s="424"/>
      <c r="P82" s="424"/>
      <c r="Q82" s="424"/>
      <c r="R82" s="424">
        <f>855729.28/1000</f>
        <v>855.72928000000002</v>
      </c>
      <c r="S82" s="424">
        <f>113407.47/1000</f>
        <v>113.40747</v>
      </c>
      <c r="T82" s="424"/>
      <c r="U82" s="424"/>
      <c r="V82" s="419"/>
      <c r="W82" s="424"/>
      <c r="X82" s="462"/>
      <c r="Y82" s="421"/>
      <c r="Z82" s="421"/>
      <c r="AA82" s="419"/>
      <c r="AB82" s="424"/>
      <c r="AC82" s="422"/>
      <c r="AD82" s="423">
        <f t="shared" ref="AD82:AD92" si="14">SUM(C82:AC82)</f>
        <v>969.13675000000001</v>
      </c>
      <c r="AE82" s="96"/>
    </row>
    <row r="83" spans="1:31" s="45" customFormat="1" x14ac:dyDescent="0.2">
      <c r="A83" s="95" t="s">
        <v>329</v>
      </c>
      <c r="B83" s="465" t="s">
        <v>86</v>
      </c>
      <c r="C83" s="449"/>
      <c r="D83" s="421"/>
      <c r="E83" s="419"/>
      <c r="F83" s="424"/>
      <c r="G83" s="424"/>
      <c r="H83" s="424"/>
      <c r="I83" s="424"/>
      <c r="J83" s="424"/>
      <c r="K83" s="424"/>
      <c r="L83" s="424"/>
      <c r="M83" s="433"/>
      <c r="N83" s="424"/>
      <c r="O83" s="424"/>
      <c r="P83" s="424"/>
      <c r="Q83" s="424"/>
      <c r="R83" s="424">
        <f>12091.47/1000</f>
        <v>12.091469999999999</v>
      </c>
      <c r="S83" s="424">
        <f>22819962.31/1000</f>
        <v>22819.962309999999</v>
      </c>
      <c r="T83" s="432"/>
      <c r="U83" s="421"/>
      <c r="V83" s="424"/>
      <c r="W83" s="424"/>
      <c r="X83" s="432"/>
      <c r="Y83" s="421"/>
      <c r="Z83" s="421"/>
      <c r="AA83" s="419"/>
      <c r="AB83" s="424"/>
      <c r="AC83" s="422"/>
      <c r="AD83" s="423">
        <f t="shared" si="14"/>
        <v>22832.053779999998</v>
      </c>
      <c r="AE83" s="96"/>
    </row>
    <row r="84" spans="1:31" s="45" customFormat="1" x14ac:dyDescent="0.2">
      <c r="A84" s="95" t="s">
        <v>330</v>
      </c>
      <c r="B84" s="465" t="s">
        <v>331</v>
      </c>
      <c r="C84" s="449"/>
      <c r="D84" s="421"/>
      <c r="E84" s="419"/>
      <c r="F84" s="424"/>
      <c r="G84" s="424"/>
      <c r="H84" s="424"/>
      <c r="I84" s="424"/>
      <c r="J84" s="424"/>
      <c r="K84" s="424"/>
      <c r="L84" s="424"/>
      <c r="M84" s="433"/>
      <c r="N84" s="424"/>
      <c r="O84" s="424"/>
      <c r="P84" s="424"/>
      <c r="Q84" s="424"/>
      <c r="R84" s="424"/>
      <c r="S84" s="424"/>
      <c r="T84" s="432"/>
      <c r="U84" s="421"/>
      <c r="V84" s="421"/>
      <c r="W84" s="431"/>
      <c r="X84" s="421"/>
      <c r="Y84" s="421"/>
      <c r="Z84" s="421"/>
      <c r="AA84" s="419"/>
      <c r="AB84" s="424"/>
      <c r="AC84" s="422"/>
      <c r="AD84" s="423">
        <f t="shared" si="14"/>
        <v>0</v>
      </c>
      <c r="AE84" s="96"/>
    </row>
    <row r="85" spans="1:31" s="45" customFormat="1" x14ac:dyDescent="0.2">
      <c r="A85" s="95" t="s">
        <v>332</v>
      </c>
      <c r="B85" s="133" t="s">
        <v>333</v>
      </c>
      <c r="C85" s="449"/>
      <c r="D85" s="421"/>
      <c r="E85" s="419"/>
      <c r="F85" s="424"/>
      <c r="G85" s="424"/>
      <c r="H85" s="424"/>
      <c r="I85" s="424"/>
      <c r="J85" s="424"/>
      <c r="K85" s="424"/>
      <c r="L85" s="424"/>
      <c r="M85" s="433"/>
      <c r="N85" s="424"/>
      <c r="O85" s="424"/>
      <c r="P85" s="424"/>
      <c r="Q85" s="424"/>
      <c r="R85" s="424"/>
      <c r="S85" s="424"/>
      <c r="T85" s="432"/>
      <c r="U85" s="421"/>
      <c r="V85" s="421"/>
      <c r="W85" s="421"/>
      <c r="X85" s="421"/>
      <c r="Y85" s="421"/>
      <c r="Z85" s="428"/>
      <c r="AA85" s="419"/>
      <c r="AB85" s="424"/>
      <c r="AC85" s="422"/>
      <c r="AD85" s="423">
        <f t="shared" si="14"/>
        <v>0</v>
      </c>
      <c r="AE85" s="96"/>
    </row>
    <row r="86" spans="1:31" s="45" customFormat="1" x14ac:dyDescent="0.2">
      <c r="A86" s="102" t="s">
        <v>334</v>
      </c>
      <c r="B86" s="133" t="s">
        <v>85</v>
      </c>
      <c r="C86" s="449"/>
      <c r="D86" s="421"/>
      <c r="E86" s="419"/>
      <c r="F86" s="425"/>
      <c r="G86" s="425"/>
      <c r="H86" s="425"/>
      <c r="I86" s="425"/>
      <c r="J86" s="425"/>
      <c r="K86" s="425"/>
      <c r="L86" s="425"/>
      <c r="M86" s="433"/>
      <c r="N86" s="425"/>
      <c r="O86" s="425"/>
      <c r="P86" s="425"/>
      <c r="Q86" s="425"/>
      <c r="R86" s="425">
        <f>1250/1000</f>
        <v>1.25</v>
      </c>
      <c r="S86" s="425">
        <f>33373.72/1000</f>
        <v>33.373719999999999</v>
      </c>
      <c r="T86" s="432"/>
      <c r="U86" s="421"/>
      <c r="V86" s="421"/>
      <c r="W86" s="421"/>
      <c r="X86" s="421"/>
      <c r="Y86" s="419"/>
      <c r="Z86" s="425"/>
      <c r="AA86" s="433"/>
      <c r="AB86" s="425"/>
      <c r="AC86" s="426"/>
      <c r="AD86" s="423">
        <f t="shared" si="14"/>
        <v>34.623719999999999</v>
      </c>
      <c r="AE86" s="96"/>
    </row>
    <row r="87" spans="1:31" s="45" customFormat="1" x14ac:dyDescent="0.2">
      <c r="A87" s="102" t="s">
        <v>335</v>
      </c>
      <c r="B87" s="133" t="s">
        <v>336</v>
      </c>
      <c r="C87" s="449"/>
      <c r="D87" s="421"/>
      <c r="E87" s="419"/>
      <c r="F87" s="425"/>
      <c r="G87" s="425"/>
      <c r="H87" s="425"/>
      <c r="I87" s="425"/>
      <c r="J87" s="425"/>
      <c r="K87" s="425"/>
      <c r="L87" s="425"/>
      <c r="M87" s="433"/>
      <c r="N87" s="425"/>
      <c r="O87" s="425"/>
      <c r="P87" s="425"/>
      <c r="Q87" s="425"/>
      <c r="R87" s="425"/>
      <c r="S87" s="425"/>
      <c r="T87" s="432"/>
      <c r="U87" s="421"/>
      <c r="V87" s="421"/>
      <c r="W87" s="421"/>
      <c r="X87" s="421"/>
      <c r="Y87" s="421"/>
      <c r="Z87" s="431"/>
      <c r="AA87" s="419"/>
      <c r="AB87" s="425"/>
      <c r="AC87" s="426"/>
      <c r="AD87" s="423">
        <f t="shared" si="14"/>
        <v>0</v>
      </c>
      <c r="AE87" s="96"/>
    </row>
    <row r="88" spans="1:31" s="45" customFormat="1" x14ac:dyDescent="0.2">
      <c r="A88" s="102" t="s">
        <v>337</v>
      </c>
      <c r="B88" s="133" t="s">
        <v>87</v>
      </c>
      <c r="C88" s="449"/>
      <c r="D88" s="421"/>
      <c r="E88" s="421"/>
      <c r="F88" s="431"/>
      <c r="G88" s="431"/>
      <c r="H88" s="431"/>
      <c r="I88" s="431"/>
      <c r="J88" s="431"/>
      <c r="K88" s="431"/>
      <c r="L88" s="431"/>
      <c r="M88" s="421"/>
      <c r="N88" s="431"/>
      <c r="O88" s="431"/>
      <c r="P88" s="431"/>
      <c r="Q88" s="431"/>
      <c r="R88" s="431"/>
      <c r="S88" s="425"/>
      <c r="T88" s="432"/>
      <c r="U88" s="421"/>
      <c r="V88" s="421"/>
      <c r="W88" s="421"/>
      <c r="X88" s="421"/>
      <c r="Y88" s="421"/>
      <c r="Z88" s="421"/>
      <c r="AA88" s="419"/>
      <c r="AB88" s="425"/>
      <c r="AC88" s="426"/>
      <c r="AD88" s="423">
        <f t="shared" si="14"/>
        <v>0</v>
      </c>
      <c r="AE88" s="96"/>
    </row>
    <row r="89" spans="1:31" s="45" customFormat="1" x14ac:dyDescent="0.2">
      <c r="A89" s="102" t="s">
        <v>338</v>
      </c>
      <c r="B89" s="133" t="s">
        <v>498</v>
      </c>
      <c r="C89" s="449"/>
      <c r="D89" s="421"/>
      <c r="E89" s="421"/>
      <c r="F89" s="421"/>
      <c r="G89" s="421"/>
      <c r="H89" s="421"/>
      <c r="I89" s="421"/>
      <c r="J89" s="421"/>
      <c r="K89" s="421"/>
      <c r="L89" s="421"/>
      <c r="M89" s="421"/>
      <c r="N89" s="421"/>
      <c r="O89" s="421"/>
      <c r="P89" s="421"/>
      <c r="Q89" s="421"/>
      <c r="R89" s="421"/>
      <c r="S89" s="425"/>
      <c r="T89" s="432"/>
      <c r="U89" s="421"/>
      <c r="V89" s="421"/>
      <c r="W89" s="421"/>
      <c r="X89" s="421"/>
      <c r="Y89" s="421"/>
      <c r="Z89" s="421"/>
      <c r="AA89" s="419"/>
      <c r="AB89" s="425"/>
      <c r="AC89" s="426"/>
      <c r="AD89" s="423">
        <f t="shared" si="14"/>
        <v>0</v>
      </c>
      <c r="AE89" s="96"/>
    </row>
    <row r="90" spans="1:31" s="45" customFormat="1" x14ac:dyDescent="0.2">
      <c r="A90" s="102" t="s">
        <v>339</v>
      </c>
      <c r="B90" s="134" t="s">
        <v>340</v>
      </c>
      <c r="C90" s="449"/>
      <c r="D90" s="421"/>
      <c r="E90" s="421"/>
      <c r="F90" s="421"/>
      <c r="G90" s="421"/>
      <c r="H90" s="421"/>
      <c r="I90" s="421"/>
      <c r="J90" s="421"/>
      <c r="K90" s="421"/>
      <c r="L90" s="421"/>
      <c r="M90" s="421"/>
      <c r="N90" s="421"/>
      <c r="O90" s="421"/>
      <c r="P90" s="421"/>
      <c r="Q90" s="421"/>
      <c r="R90" s="421"/>
      <c r="S90" s="425">
        <f>100093050.79/1000</f>
        <v>100093.05079000001</v>
      </c>
      <c r="T90" s="432"/>
      <c r="U90" s="421"/>
      <c r="V90" s="421"/>
      <c r="W90" s="421"/>
      <c r="X90" s="421"/>
      <c r="Y90" s="421"/>
      <c r="Z90" s="421"/>
      <c r="AA90" s="419"/>
      <c r="AB90" s="425"/>
      <c r="AC90" s="426"/>
      <c r="AD90" s="423">
        <f t="shared" si="14"/>
        <v>100093.05079000001</v>
      </c>
      <c r="AE90" s="96"/>
    </row>
    <row r="91" spans="1:31" s="45" customFormat="1" x14ac:dyDescent="0.2">
      <c r="A91" s="103" t="s">
        <v>341</v>
      </c>
      <c r="B91" s="135" t="s">
        <v>499</v>
      </c>
      <c r="C91" s="449"/>
      <c r="D91" s="421"/>
      <c r="E91" s="421"/>
      <c r="F91" s="421"/>
      <c r="G91" s="421"/>
      <c r="H91" s="421"/>
      <c r="I91" s="421"/>
      <c r="J91" s="421"/>
      <c r="K91" s="421"/>
      <c r="L91" s="421"/>
      <c r="M91" s="421"/>
      <c r="N91" s="421"/>
      <c r="O91" s="421"/>
      <c r="P91" s="421"/>
      <c r="Q91" s="421"/>
      <c r="R91" s="421"/>
      <c r="S91" s="425"/>
      <c r="T91" s="432"/>
      <c r="U91" s="421"/>
      <c r="V91" s="421"/>
      <c r="W91" s="421"/>
      <c r="X91" s="421"/>
      <c r="Y91" s="421"/>
      <c r="Z91" s="421"/>
      <c r="AA91" s="419"/>
      <c r="AB91" s="425"/>
      <c r="AC91" s="426"/>
      <c r="AD91" s="427">
        <f t="shared" si="14"/>
        <v>0</v>
      </c>
      <c r="AE91" s="96"/>
    </row>
    <row r="92" spans="1:31" s="45" customFormat="1" ht="15" collapsed="1" x14ac:dyDescent="0.2">
      <c r="A92" s="508" t="s">
        <v>61</v>
      </c>
      <c r="B92" s="509"/>
      <c r="C92" s="449">
        <f>SUM(C82:C91)-C89</f>
        <v>0</v>
      </c>
      <c r="D92" s="421">
        <f t="shared" ref="D92:AC92" si="15">SUM(D82:D91)-D89</f>
        <v>0</v>
      </c>
      <c r="E92" s="419">
        <f t="shared" si="15"/>
        <v>0</v>
      </c>
      <c r="F92" s="424">
        <f t="shared" si="15"/>
        <v>0</v>
      </c>
      <c r="G92" s="424">
        <f t="shared" si="15"/>
        <v>0</v>
      </c>
      <c r="H92" s="424">
        <f t="shared" si="15"/>
        <v>0</v>
      </c>
      <c r="I92" s="424">
        <f t="shared" si="15"/>
        <v>0</v>
      </c>
      <c r="J92" s="424">
        <f t="shared" si="15"/>
        <v>0</v>
      </c>
      <c r="K92" s="424">
        <f t="shared" si="15"/>
        <v>0</v>
      </c>
      <c r="L92" s="424">
        <f t="shared" si="15"/>
        <v>0</v>
      </c>
      <c r="M92" s="433">
        <f t="shared" si="15"/>
        <v>0</v>
      </c>
      <c r="N92" s="424">
        <f t="shared" si="15"/>
        <v>0</v>
      </c>
      <c r="O92" s="424">
        <f t="shared" si="15"/>
        <v>0</v>
      </c>
      <c r="P92" s="424">
        <f t="shared" si="15"/>
        <v>0</v>
      </c>
      <c r="Q92" s="424">
        <f t="shared" si="15"/>
        <v>0</v>
      </c>
      <c r="R92" s="424">
        <f t="shared" si="15"/>
        <v>869.07074999999998</v>
      </c>
      <c r="S92" s="424">
        <f t="shared" si="15"/>
        <v>123059.79429000001</v>
      </c>
      <c r="T92" s="424">
        <f>SUM(T82:T91)-T89</f>
        <v>0</v>
      </c>
      <c r="U92" s="424">
        <f>SUM(U82:U91)-U89</f>
        <v>0</v>
      </c>
      <c r="V92" s="424">
        <f>SUM(V82:V91)-V89</f>
        <v>0</v>
      </c>
      <c r="W92" s="424">
        <f t="shared" si="15"/>
        <v>0</v>
      </c>
      <c r="X92" s="432">
        <f t="shared" si="15"/>
        <v>0</v>
      </c>
      <c r="Y92" s="419">
        <f t="shared" si="15"/>
        <v>0</v>
      </c>
      <c r="Z92" s="424">
        <f t="shared" si="15"/>
        <v>0</v>
      </c>
      <c r="AA92" s="433">
        <f t="shared" si="15"/>
        <v>0</v>
      </c>
      <c r="AB92" s="424">
        <f t="shared" si="15"/>
        <v>0</v>
      </c>
      <c r="AC92" s="422">
        <f t="shared" si="15"/>
        <v>0</v>
      </c>
      <c r="AD92" s="423">
        <f t="shared" si="14"/>
        <v>123928.86504</v>
      </c>
      <c r="AE92" s="96"/>
    </row>
    <row r="93" spans="1:31" s="45" customFormat="1" ht="15" thickBot="1" x14ac:dyDescent="0.25">
      <c r="A93" s="104"/>
      <c r="B93" s="136"/>
      <c r="C93" s="421"/>
      <c r="D93" s="421"/>
      <c r="E93" s="421"/>
      <c r="F93" s="431"/>
      <c r="G93" s="431"/>
      <c r="H93" s="431"/>
      <c r="I93" s="431"/>
      <c r="J93" s="431"/>
      <c r="K93" s="431"/>
      <c r="L93" s="431"/>
      <c r="M93" s="421"/>
      <c r="N93" s="431"/>
      <c r="O93" s="431"/>
      <c r="P93" s="431"/>
      <c r="Q93" s="431"/>
      <c r="R93" s="431"/>
      <c r="S93" s="431"/>
      <c r="T93" s="421"/>
      <c r="U93" s="421"/>
      <c r="V93" s="421"/>
      <c r="W93" s="431"/>
      <c r="X93" s="421"/>
      <c r="Y93" s="421"/>
      <c r="Z93" s="431"/>
      <c r="AA93" s="421"/>
      <c r="AB93" s="431"/>
      <c r="AC93" s="431"/>
      <c r="AD93" s="434"/>
      <c r="AE93" s="96"/>
    </row>
    <row r="94" spans="1:31" s="45" customFormat="1" ht="15.75" thickBot="1" x14ac:dyDescent="0.25">
      <c r="A94" s="512" t="s">
        <v>342</v>
      </c>
      <c r="B94" s="513"/>
      <c r="C94" s="455">
        <f>SUM(C14,C20,C28,C37,C47,C53,C60,C72,C79,C92)</f>
        <v>0</v>
      </c>
      <c r="D94" s="456">
        <f t="shared" ref="D94:AC94" si="16">SUM(D14,D20,D28,D37,D47,D53,D60,D72,D79,D92)</f>
        <v>105.36525</v>
      </c>
      <c r="E94" s="435">
        <f t="shared" si="16"/>
        <v>0</v>
      </c>
      <c r="F94" s="435">
        <f t="shared" si="16"/>
        <v>0</v>
      </c>
      <c r="G94" s="435">
        <f t="shared" si="16"/>
        <v>40</v>
      </c>
      <c r="H94" s="435">
        <f t="shared" si="16"/>
        <v>-1893.6826100000001</v>
      </c>
      <c r="I94" s="435">
        <f t="shared" si="16"/>
        <v>60.411910000000006</v>
      </c>
      <c r="J94" s="435">
        <f t="shared" si="16"/>
        <v>41898.70523</v>
      </c>
      <c r="K94" s="435">
        <f t="shared" si="16"/>
        <v>38.092959999999998</v>
      </c>
      <c r="L94" s="435">
        <f t="shared" si="16"/>
        <v>389.44201000000004</v>
      </c>
      <c r="M94" s="435">
        <f t="shared" si="16"/>
        <v>21941.899710000002</v>
      </c>
      <c r="N94" s="435">
        <f t="shared" si="16"/>
        <v>134829.26090999998</v>
      </c>
      <c r="O94" s="435">
        <f t="shared" si="16"/>
        <v>73712.021272000013</v>
      </c>
      <c r="P94" s="435">
        <f t="shared" si="16"/>
        <v>70446.118289999984</v>
      </c>
      <c r="Q94" s="435">
        <f t="shared" si="16"/>
        <v>12828.59354</v>
      </c>
      <c r="R94" s="435">
        <f>SUM(R14,R20,R28,R37,R47,R53,R60,R72,R79,R92)</f>
        <v>875.94010000000003</v>
      </c>
      <c r="S94" s="435">
        <f t="shared" si="16"/>
        <v>172805.86087</v>
      </c>
      <c r="T94" s="435">
        <f t="shared" si="16"/>
        <v>0</v>
      </c>
      <c r="U94" s="435">
        <f t="shared" si="16"/>
        <v>0</v>
      </c>
      <c r="V94" s="435">
        <f t="shared" si="16"/>
        <v>0</v>
      </c>
      <c r="W94" s="435">
        <f t="shared" si="16"/>
        <v>0</v>
      </c>
      <c r="X94" s="437">
        <f t="shared" si="16"/>
        <v>0</v>
      </c>
      <c r="Y94" s="438">
        <f t="shared" si="16"/>
        <v>0</v>
      </c>
      <c r="Z94" s="435">
        <f t="shared" si="16"/>
        <v>0</v>
      </c>
      <c r="AA94" s="435">
        <f>SUM(AA14,AA20,AA28,AA37,AA47,AA53,AA60,AA72,AA79)</f>
        <v>0</v>
      </c>
      <c r="AB94" s="435">
        <f t="shared" si="16"/>
        <v>0</v>
      </c>
      <c r="AC94" s="440">
        <f t="shared" si="16"/>
        <v>71945.517619999999</v>
      </c>
      <c r="AD94" s="441">
        <f>SUM(C94:AC94)</f>
        <v>600023.54706200003</v>
      </c>
      <c r="AE94" s="96"/>
    </row>
    <row r="95" spans="1:31" s="45" customFormat="1" x14ac:dyDescent="0.2">
      <c r="A95" s="105"/>
      <c r="B95" s="137"/>
      <c r="C95" s="428"/>
      <c r="D95" s="428"/>
      <c r="E95" s="428"/>
      <c r="F95" s="428"/>
      <c r="G95" s="428"/>
      <c r="H95" s="428"/>
      <c r="I95" s="428"/>
      <c r="J95" s="428"/>
      <c r="K95" s="428"/>
      <c r="L95" s="428"/>
      <c r="M95" s="428"/>
      <c r="N95" s="428"/>
      <c r="O95" s="428"/>
      <c r="P95" s="428"/>
      <c r="Q95" s="428"/>
      <c r="R95" s="428"/>
      <c r="S95" s="428"/>
      <c r="T95" s="428"/>
      <c r="U95" s="428"/>
      <c r="V95" s="428"/>
      <c r="W95" s="428"/>
      <c r="X95" s="428"/>
      <c r="Y95" s="428"/>
      <c r="Z95" s="428"/>
      <c r="AA95" s="428"/>
      <c r="AB95" s="428"/>
      <c r="AC95" s="428"/>
      <c r="AD95" s="442"/>
      <c r="AE95" s="96"/>
    </row>
    <row r="96" spans="1:31" s="107" customFormat="1" ht="18" x14ac:dyDescent="0.2">
      <c r="A96" s="510" t="s">
        <v>89</v>
      </c>
      <c r="B96" s="511"/>
      <c r="C96" s="443"/>
      <c r="D96" s="443"/>
      <c r="E96" s="443"/>
      <c r="F96" s="443"/>
      <c r="G96" s="443"/>
      <c r="H96" s="443"/>
      <c r="I96" s="443"/>
      <c r="J96" s="443"/>
      <c r="K96" s="443"/>
      <c r="L96" s="443"/>
      <c r="M96" s="443"/>
      <c r="N96" s="443"/>
      <c r="O96" s="443"/>
      <c r="P96" s="443"/>
      <c r="Q96" s="443"/>
      <c r="R96" s="443"/>
      <c r="S96" s="443"/>
      <c r="T96" s="443"/>
      <c r="U96" s="443"/>
      <c r="V96" s="443"/>
      <c r="W96" s="443"/>
      <c r="X96" s="443"/>
      <c r="Y96" s="443"/>
      <c r="Z96" s="443"/>
      <c r="AA96" s="443"/>
      <c r="AB96" s="443"/>
      <c r="AC96" s="443"/>
      <c r="AD96" s="444"/>
      <c r="AE96" s="106"/>
    </row>
    <row r="97" spans="1:31" s="45" customFormat="1" x14ac:dyDescent="0.2">
      <c r="A97" s="98"/>
      <c r="B97" s="47"/>
      <c r="C97" s="421"/>
      <c r="D97" s="421"/>
      <c r="E97" s="421"/>
      <c r="F97" s="428"/>
      <c r="G97" s="428"/>
      <c r="H97" s="428"/>
      <c r="I97" s="428"/>
      <c r="J97" s="428"/>
      <c r="K97" s="428"/>
      <c r="L97" s="428"/>
      <c r="M97" s="421"/>
      <c r="N97" s="428"/>
      <c r="O97" s="428"/>
      <c r="P97" s="428"/>
      <c r="Q97" s="428"/>
      <c r="R97" s="428"/>
      <c r="S97" s="428"/>
      <c r="T97" s="421"/>
      <c r="U97" s="421"/>
      <c r="V97" s="421"/>
      <c r="W97" s="421"/>
      <c r="X97" s="421"/>
      <c r="Y97" s="421"/>
      <c r="Z97" s="428"/>
      <c r="AA97" s="421"/>
      <c r="AB97" s="428"/>
      <c r="AC97" s="428"/>
      <c r="AD97" s="442"/>
      <c r="AE97" s="96"/>
    </row>
    <row r="98" spans="1:31" s="45" customFormat="1" x14ac:dyDescent="0.2">
      <c r="A98" s="108" t="s">
        <v>481</v>
      </c>
      <c r="B98" s="465" t="s">
        <v>90</v>
      </c>
      <c r="C98" s="449"/>
      <c r="D98" s="428"/>
      <c r="E98" s="457"/>
      <c r="F98" s="420"/>
      <c r="G98" s="420"/>
      <c r="H98" s="420"/>
      <c r="I98" s="424"/>
      <c r="J98" s="420"/>
      <c r="K98" s="420"/>
      <c r="L98" s="420"/>
      <c r="M98" s="433"/>
      <c r="N98" s="420"/>
      <c r="O98" s="420"/>
      <c r="P98" s="420"/>
      <c r="Q98" s="420"/>
      <c r="R98" s="420"/>
      <c r="S98" s="424"/>
      <c r="T98" s="432"/>
      <c r="U98" s="421"/>
      <c r="V98" s="421"/>
      <c r="W98" s="421"/>
      <c r="X98" s="421"/>
      <c r="Y98" s="419"/>
      <c r="Z98" s="424"/>
      <c r="AA98" s="433"/>
      <c r="AB98" s="424"/>
      <c r="AC98" s="422"/>
      <c r="AD98" s="423">
        <f>SUM(C98:AC98)</f>
        <v>0</v>
      </c>
      <c r="AE98" s="96"/>
    </row>
    <row r="99" spans="1:31" s="45" customFormat="1" x14ac:dyDescent="0.2">
      <c r="A99" s="108" t="s">
        <v>482</v>
      </c>
      <c r="B99" s="465" t="s">
        <v>91</v>
      </c>
      <c r="C99" s="449"/>
      <c r="D99" s="424">
        <f>(52426439.74-727063.91)/1000</f>
        <v>51699.375830000004</v>
      </c>
      <c r="E99" s="424">
        <f>(20392.91+727063.91)/1000</f>
        <v>747.45682000000011</v>
      </c>
      <c r="F99" s="424"/>
      <c r="G99" s="424">
        <f>-7411/1000</f>
        <v>-7.4109999999999996</v>
      </c>
      <c r="H99" s="424">
        <f>348/1000</f>
        <v>0.34799999999999998</v>
      </c>
      <c r="I99" s="424">
        <f>1482046.66/1000</f>
        <v>1482.04666</v>
      </c>
      <c r="J99" s="424">
        <f>15817331.57/1000</f>
        <v>15817.33157</v>
      </c>
      <c r="K99" s="424">
        <f>5.1/1000</f>
        <v>5.0999999999999995E-3</v>
      </c>
      <c r="L99" s="424">
        <f>303287.04/1000</f>
        <v>303.28703999999999</v>
      </c>
      <c r="M99" s="433"/>
      <c r="N99" s="424"/>
      <c r="O99" s="424">
        <f>87.5/1000</f>
        <v>8.7499999999999994E-2</v>
      </c>
      <c r="P99" s="424"/>
      <c r="Q99" s="424"/>
      <c r="R99" s="454"/>
      <c r="S99" s="424">
        <f>(2199355.27+2330540.41+111319.88+924717.22)/1000</f>
        <v>5565.9327799999992</v>
      </c>
      <c r="T99" s="432"/>
      <c r="U99" s="421"/>
      <c r="V99" s="421"/>
      <c r="W99" s="421"/>
      <c r="X99" s="421"/>
      <c r="Y99" s="419"/>
      <c r="Z99" s="424"/>
      <c r="AA99" s="433"/>
      <c r="AB99" s="424"/>
      <c r="AC99" s="422">
        <f>26364905.84/1000</f>
        <v>26364.905839999999</v>
      </c>
      <c r="AD99" s="423">
        <f>SUM(C99:AC99)</f>
        <v>101973.36614</v>
      </c>
      <c r="AE99" s="96"/>
    </row>
    <row r="100" spans="1:31" s="45" customFormat="1" ht="15" x14ac:dyDescent="0.2">
      <c r="A100" s="464" t="s">
        <v>92</v>
      </c>
      <c r="B100" s="465"/>
      <c r="C100" s="451">
        <f>SUM(C98:C99)</f>
        <v>0</v>
      </c>
      <c r="D100" s="424">
        <f t="shared" ref="D100:AC100" si="17">SUM(D98:D99)</f>
        <v>51699.375830000004</v>
      </c>
      <c r="E100" s="424">
        <f t="shared" si="17"/>
        <v>747.45682000000011</v>
      </c>
      <c r="F100" s="424">
        <f t="shared" si="17"/>
        <v>0</v>
      </c>
      <c r="G100" s="424">
        <f t="shared" si="17"/>
        <v>-7.4109999999999996</v>
      </c>
      <c r="H100" s="424">
        <f t="shared" si="17"/>
        <v>0.34799999999999998</v>
      </c>
      <c r="I100" s="424">
        <f t="shared" si="17"/>
        <v>1482.04666</v>
      </c>
      <c r="J100" s="424">
        <f t="shared" si="17"/>
        <v>15817.33157</v>
      </c>
      <c r="K100" s="424">
        <f t="shared" si="17"/>
        <v>5.0999999999999995E-3</v>
      </c>
      <c r="L100" s="424">
        <f t="shared" si="17"/>
        <v>303.28703999999999</v>
      </c>
      <c r="M100" s="433">
        <f t="shared" si="17"/>
        <v>0</v>
      </c>
      <c r="N100" s="424">
        <f t="shared" si="17"/>
        <v>0</v>
      </c>
      <c r="O100" s="424">
        <f t="shared" si="17"/>
        <v>8.7499999999999994E-2</v>
      </c>
      <c r="P100" s="424">
        <f t="shared" si="17"/>
        <v>0</v>
      </c>
      <c r="Q100" s="424">
        <f t="shared" si="17"/>
        <v>0</v>
      </c>
      <c r="R100" s="424">
        <f t="shared" si="17"/>
        <v>0</v>
      </c>
      <c r="S100" s="424">
        <f t="shared" si="17"/>
        <v>5565.9327799999992</v>
      </c>
      <c r="T100" s="432">
        <f t="shared" si="17"/>
        <v>0</v>
      </c>
      <c r="U100" s="421">
        <f t="shared" si="17"/>
        <v>0</v>
      </c>
      <c r="V100" s="421">
        <f t="shared" si="17"/>
        <v>0</v>
      </c>
      <c r="W100" s="421">
        <f t="shared" si="17"/>
        <v>0</v>
      </c>
      <c r="X100" s="421">
        <f t="shared" si="17"/>
        <v>0</v>
      </c>
      <c r="Y100" s="419">
        <f t="shared" si="17"/>
        <v>0</v>
      </c>
      <c r="Z100" s="425">
        <f t="shared" si="17"/>
        <v>0</v>
      </c>
      <c r="AA100" s="433">
        <f t="shared" si="17"/>
        <v>0</v>
      </c>
      <c r="AB100" s="424">
        <f t="shared" si="17"/>
        <v>0</v>
      </c>
      <c r="AC100" s="422">
        <f t="shared" si="17"/>
        <v>26364.905839999999</v>
      </c>
      <c r="AD100" s="423">
        <f>SUM(C100:AC100)</f>
        <v>101973.36614</v>
      </c>
      <c r="AE100" s="96"/>
    </row>
    <row r="101" spans="1:31" s="45" customFormat="1" x14ac:dyDescent="0.2">
      <c r="A101" s="98"/>
      <c r="B101" s="47"/>
      <c r="C101" s="428"/>
      <c r="D101" s="429"/>
      <c r="E101" s="429"/>
      <c r="F101" s="429"/>
      <c r="G101" s="429"/>
      <c r="H101" s="429"/>
      <c r="I101" s="429"/>
      <c r="J101" s="429"/>
      <c r="K101" s="429"/>
      <c r="L101" s="429"/>
      <c r="M101" s="428"/>
      <c r="N101" s="429"/>
      <c r="O101" s="429"/>
      <c r="P101" s="429"/>
      <c r="Q101" s="429"/>
      <c r="R101" s="429"/>
      <c r="S101" s="429"/>
      <c r="T101" s="428"/>
      <c r="U101" s="428"/>
      <c r="V101" s="428"/>
      <c r="W101" s="428"/>
      <c r="X101" s="428"/>
      <c r="Y101" s="428"/>
      <c r="Z101" s="429"/>
      <c r="AA101" s="428"/>
      <c r="AB101" s="429"/>
      <c r="AC101" s="429"/>
      <c r="AD101" s="430"/>
      <c r="AE101" s="96"/>
    </row>
    <row r="102" spans="1:31" s="107" customFormat="1" ht="18" x14ac:dyDescent="0.2">
      <c r="A102" s="506" t="s">
        <v>93</v>
      </c>
      <c r="B102" s="507"/>
      <c r="C102" s="443"/>
      <c r="D102" s="443"/>
      <c r="E102" s="443"/>
      <c r="F102" s="443"/>
      <c r="G102" s="443"/>
      <c r="H102" s="443"/>
      <c r="I102" s="443"/>
      <c r="J102" s="443"/>
      <c r="K102" s="443"/>
      <c r="L102" s="443"/>
      <c r="M102" s="443"/>
      <c r="N102" s="443"/>
      <c r="O102" s="443"/>
      <c r="P102" s="443"/>
      <c r="Q102" s="443"/>
      <c r="R102" s="443"/>
      <c r="S102" s="443"/>
      <c r="T102" s="443"/>
      <c r="U102" s="443"/>
      <c r="V102" s="443"/>
      <c r="W102" s="443"/>
      <c r="X102" s="443"/>
      <c r="Y102" s="443"/>
      <c r="Z102" s="443"/>
      <c r="AA102" s="443"/>
      <c r="AB102" s="443"/>
      <c r="AC102" s="443"/>
      <c r="AD102" s="444"/>
      <c r="AE102" s="106"/>
    </row>
    <row r="103" spans="1:31" s="45" customFormat="1" x14ac:dyDescent="0.2">
      <c r="A103" s="98"/>
      <c r="B103" s="47"/>
      <c r="C103" s="428"/>
      <c r="D103" s="428"/>
      <c r="E103" s="428"/>
      <c r="F103" s="428"/>
      <c r="G103" s="428"/>
      <c r="H103" s="428"/>
      <c r="I103" s="428"/>
      <c r="J103" s="428"/>
      <c r="K103" s="428"/>
      <c r="L103" s="428"/>
      <c r="M103" s="428"/>
      <c r="N103" s="428"/>
      <c r="O103" s="428"/>
      <c r="P103" s="428"/>
      <c r="Q103" s="428"/>
      <c r="R103" s="428"/>
      <c r="S103" s="428"/>
      <c r="T103" s="428"/>
      <c r="U103" s="428"/>
      <c r="V103" s="428"/>
      <c r="W103" s="428"/>
      <c r="X103" s="428"/>
      <c r="Y103" s="428"/>
      <c r="Z103" s="428"/>
      <c r="AA103" s="428"/>
      <c r="AB103" s="428"/>
      <c r="AC103" s="428"/>
      <c r="AD103" s="442"/>
      <c r="AE103" s="96"/>
    </row>
    <row r="104" spans="1:31" s="54" customFormat="1" ht="15" x14ac:dyDescent="0.2">
      <c r="A104" s="464" t="s">
        <v>94</v>
      </c>
      <c r="B104" s="465"/>
      <c r="C104" s="431"/>
      <c r="D104" s="421"/>
      <c r="E104" s="421"/>
      <c r="F104" s="428"/>
      <c r="G104" s="428"/>
      <c r="H104" s="428"/>
      <c r="I104" s="428"/>
      <c r="J104" s="428"/>
      <c r="K104" s="428"/>
      <c r="L104" s="428"/>
      <c r="M104" s="421"/>
      <c r="N104" s="428"/>
      <c r="O104" s="428"/>
      <c r="P104" s="428"/>
      <c r="Q104" s="428"/>
      <c r="R104" s="421"/>
      <c r="S104" s="428"/>
      <c r="T104" s="421"/>
      <c r="U104" s="421"/>
      <c r="V104" s="421"/>
      <c r="W104" s="421"/>
      <c r="X104" s="421"/>
      <c r="Y104" s="421"/>
      <c r="Z104" s="421"/>
      <c r="AA104" s="421"/>
      <c r="AB104" s="428"/>
      <c r="AC104" s="428"/>
      <c r="AD104" s="442"/>
      <c r="AE104" s="109"/>
    </row>
    <row r="105" spans="1:31" s="54" customFormat="1" ht="15" x14ac:dyDescent="0.2">
      <c r="A105" s="110" t="s">
        <v>95</v>
      </c>
      <c r="B105" s="133" t="s">
        <v>96</v>
      </c>
      <c r="C105" s="449"/>
      <c r="D105" s="421"/>
      <c r="E105" s="419"/>
      <c r="F105" s="420"/>
      <c r="G105" s="420"/>
      <c r="H105" s="420"/>
      <c r="I105" s="420"/>
      <c r="J105" s="420"/>
      <c r="K105" s="420"/>
      <c r="L105" s="420"/>
      <c r="M105" s="433"/>
      <c r="N105" s="420"/>
      <c r="O105" s="420"/>
      <c r="P105" s="420"/>
      <c r="Q105" s="420"/>
      <c r="R105" s="433"/>
      <c r="S105" s="420"/>
      <c r="T105" s="432"/>
      <c r="U105" s="421"/>
      <c r="V105" s="421"/>
      <c r="W105" s="421"/>
      <c r="X105" s="421"/>
      <c r="Y105" s="421"/>
      <c r="Z105" s="421"/>
      <c r="AA105" s="419"/>
      <c r="AB105" s="420"/>
      <c r="AC105" s="445"/>
      <c r="AD105" s="423">
        <f t="shared" ref="AD105:AD126" si="18">SUM(C105:AC105)</f>
        <v>0</v>
      </c>
      <c r="AE105" s="109"/>
    </row>
    <row r="106" spans="1:31" s="54" customFormat="1" ht="15.95" customHeight="1" x14ac:dyDescent="0.2">
      <c r="A106" s="110" t="s">
        <v>97</v>
      </c>
      <c r="B106" s="133" t="s">
        <v>98</v>
      </c>
      <c r="C106" s="449"/>
      <c r="D106" s="421"/>
      <c r="E106" s="419"/>
      <c r="F106" s="424"/>
      <c r="G106" s="424"/>
      <c r="H106" s="424"/>
      <c r="I106" s="424"/>
      <c r="J106" s="424"/>
      <c r="K106" s="424"/>
      <c r="L106" s="424"/>
      <c r="M106" s="433"/>
      <c r="N106" s="424"/>
      <c r="O106" s="424"/>
      <c r="P106" s="424"/>
      <c r="Q106" s="424"/>
      <c r="R106" s="433"/>
      <c r="S106" s="424"/>
      <c r="T106" s="432"/>
      <c r="U106" s="421"/>
      <c r="V106" s="421"/>
      <c r="W106" s="421"/>
      <c r="X106" s="421"/>
      <c r="Y106" s="421"/>
      <c r="Z106" s="421"/>
      <c r="AA106" s="419"/>
      <c r="AB106" s="424"/>
      <c r="AC106" s="422"/>
      <c r="AD106" s="423">
        <f t="shared" si="18"/>
        <v>0</v>
      </c>
      <c r="AE106" s="109"/>
    </row>
    <row r="107" spans="1:31" s="54" customFormat="1" ht="15.95" customHeight="1" x14ac:dyDescent="0.2">
      <c r="A107" s="110" t="s">
        <v>99</v>
      </c>
      <c r="B107" s="133" t="s">
        <v>100</v>
      </c>
      <c r="C107" s="449"/>
      <c r="D107" s="421"/>
      <c r="E107" s="419"/>
      <c r="F107" s="424"/>
      <c r="G107" s="424"/>
      <c r="H107" s="424"/>
      <c r="I107" s="424"/>
      <c r="J107" s="424"/>
      <c r="K107" s="424"/>
      <c r="L107" s="424"/>
      <c r="M107" s="433"/>
      <c r="N107" s="424"/>
      <c r="O107" s="424"/>
      <c r="P107" s="424"/>
      <c r="Q107" s="424"/>
      <c r="R107" s="433"/>
      <c r="S107" s="424"/>
      <c r="T107" s="432"/>
      <c r="U107" s="421"/>
      <c r="V107" s="421"/>
      <c r="W107" s="421"/>
      <c r="X107" s="421"/>
      <c r="Y107" s="421"/>
      <c r="Z107" s="421"/>
      <c r="AA107" s="419"/>
      <c r="AB107" s="424"/>
      <c r="AC107" s="422"/>
      <c r="AD107" s="423">
        <f t="shared" si="18"/>
        <v>0</v>
      </c>
      <c r="AE107" s="109"/>
    </row>
    <row r="108" spans="1:31" s="54" customFormat="1" ht="15.95" customHeight="1" x14ac:dyDescent="0.2">
      <c r="A108" s="110" t="s">
        <v>101</v>
      </c>
      <c r="B108" s="133" t="s">
        <v>102</v>
      </c>
      <c r="C108" s="449"/>
      <c r="D108" s="421"/>
      <c r="E108" s="419"/>
      <c r="F108" s="424"/>
      <c r="G108" s="424"/>
      <c r="H108" s="424"/>
      <c r="I108" s="424"/>
      <c r="J108" s="424"/>
      <c r="K108" s="424"/>
      <c r="L108" s="424"/>
      <c r="M108" s="433"/>
      <c r="N108" s="424"/>
      <c r="O108" s="424"/>
      <c r="P108" s="424"/>
      <c r="Q108" s="424"/>
      <c r="R108" s="433"/>
      <c r="S108" s="424"/>
      <c r="T108" s="432"/>
      <c r="U108" s="421"/>
      <c r="V108" s="421"/>
      <c r="W108" s="421"/>
      <c r="X108" s="421"/>
      <c r="Y108" s="421"/>
      <c r="Z108" s="421"/>
      <c r="AA108" s="419"/>
      <c r="AB108" s="424"/>
      <c r="AC108" s="422"/>
      <c r="AD108" s="423">
        <f t="shared" si="18"/>
        <v>0</v>
      </c>
      <c r="AE108" s="109"/>
    </row>
    <row r="109" spans="1:31" s="54" customFormat="1" ht="16.5" customHeight="1" x14ac:dyDescent="0.2">
      <c r="A109" s="110" t="s">
        <v>103</v>
      </c>
      <c r="B109" s="133" t="s">
        <v>104</v>
      </c>
      <c r="C109" s="449"/>
      <c r="D109" s="421"/>
      <c r="E109" s="419"/>
      <c r="F109" s="424"/>
      <c r="G109" s="424"/>
      <c r="H109" s="424">
        <f>46787.4/1000</f>
        <v>46.787399999999998</v>
      </c>
      <c r="I109" s="424"/>
      <c r="J109" s="424">
        <f>29939.95/1000</f>
        <v>29.93995</v>
      </c>
      <c r="K109" s="424"/>
      <c r="L109" s="424"/>
      <c r="M109" s="433"/>
      <c r="N109" s="424"/>
      <c r="O109" s="424"/>
      <c r="P109" s="424"/>
      <c r="Q109" s="424"/>
      <c r="R109" s="433"/>
      <c r="S109" s="424">
        <f>140083.8/1000</f>
        <v>140.0838</v>
      </c>
      <c r="T109" s="432"/>
      <c r="U109" s="421"/>
      <c r="V109" s="421"/>
      <c r="W109" s="421"/>
      <c r="X109" s="421"/>
      <c r="Y109" s="421"/>
      <c r="Z109" s="421"/>
      <c r="AA109" s="419"/>
      <c r="AB109" s="424"/>
      <c r="AC109" s="422"/>
      <c r="AD109" s="423">
        <f t="shared" si="18"/>
        <v>216.81115</v>
      </c>
      <c r="AE109" s="109"/>
    </row>
    <row r="110" spans="1:31" s="54" customFormat="1" ht="15.95" customHeight="1" x14ac:dyDescent="0.2">
      <c r="A110" s="110" t="s">
        <v>105</v>
      </c>
      <c r="B110" s="133" t="s">
        <v>106</v>
      </c>
      <c r="C110" s="449"/>
      <c r="D110" s="421"/>
      <c r="E110" s="419"/>
      <c r="F110" s="424">
        <f>822886.23/1000</f>
        <v>822.88622999999995</v>
      </c>
      <c r="G110" s="424">
        <f>3936.98/1000</f>
        <v>3.9369800000000001</v>
      </c>
      <c r="H110" s="424">
        <f>41540614.63/1000</f>
        <v>41540.614630000004</v>
      </c>
      <c r="I110" s="424">
        <f>809618.85/1000</f>
        <v>809.61884999999995</v>
      </c>
      <c r="J110" s="424">
        <f>1890587.79/1000</f>
        <v>1890.58779</v>
      </c>
      <c r="K110" s="424">
        <f>126/1000</f>
        <v>0.126</v>
      </c>
      <c r="L110" s="424">
        <f>10202.99/1000</f>
        <v>10.20299</v>
      </c>
      <c r="M110" s="433"/>
      <c r="N110" s="424"/>
      <c r="O110" s="424"/>
      <c r="P110" s="424">
        <f>22400/1000</f>
        <v>22.4</v>
      </c>
      <c r="Q110" s="424"/>
      <c r="R110" s="433"/>
      <c r="S110" s="424">
        <f>(6425390.47+4511202.2)/1000</f>
        <v>10936.59267</v>
      </c>
      <c r="T110" s="432"/>
      <c r="U110" s="421"/>
      <c r="V110" s="421"/>
      <c r="W110" s="421"/>
      <c r="X110" s="421"/>
      <c r="Y110" s="421"/>
      <c r="Z110" s="421"/>
      <c r="AA110" s="419"/>
      <c r="AB110" s="424">
        <f>2397082.33/1000</f>
        <v>2397.0823300000002</v>
      </c>
      <c r="AC110" s="422"/>
      <c r="AD110" s="423">
        <f t="shared" si="18"/>
        <v>58434.048469999994</v>
      </c>
      <c r="AE110" s="109"/>
    </row>
    <row r="111" spans="1:31" s="54" customFormat="1" ht="15.95" customHeight="1" x14ac:dyDescent="0.2">
      <c r="A111" s="110" t="s">
        <v>107</v>
      </c>
      <c r="B111" s="133" t="s">
        <v>108</v>
      </c>
      <c r="C111" s="449"/>
      <c r="D111" s="421"/>
      <c r="E111" s="419"/>
      <c r="F111" s="424"/>
      <c r="G111" s="424"/>
      <c r="H111" s="424"/>
      <c r="I111" s="424"/>
      <c r="J111" s="424"/>
      <c r="K111" s="424"/>
      <c r="L111" s="424"/>
      <c r="M111" s="433"/>
      <c r="N111" s="424"/>
      <c r="O111" s="424"/>
      <c r="P111" s="424"/>
      <c r="Q111" s="424"/>
      <c r="R111" s="433"/>
      <c r="S111" s="424"/>
      <c r="T111" s="432"/>
      <c r="U111" s="421"/>
      <c r="V111" s="421"/>
      <c r="W111" s="421"/>
      <c r="X111" s="421"/>
      <c r="Y111" s="421"/>
      <c r="Z111" s="421"/>
      <c r="AA111" s="419"/>
      <c r="AB111" s="424"/>
      <c r="AC111" s="422"/>
      <c r="AD111" s="423">
        <f t="shared" si="18"/>
        <v>0</v>
      </c>
      <c r="AE111" s="109"/>
    </row>
    <row r="112" spans="1:31" s="54" customFormat="1" ht="15.95" customHeight="1" x14ac:dyDescent="0.2">
      <c r="A112" s="110" t="s">
        <v>109</v>
      </c>
      <c r="B112" s="133" t="s">
        <v>110</v>
      </c>
      <c r="C112" s="449"/>
      <c r="D112" s="421"/>
      <c r="E112" s="419"/>
      <c r="F112" s="424"/>
      <c r="G112" s="424"/>
      <c r="H112" s="424"/>
      <c r="I112" s="424"/>
      <c r="J112" s="424"/>
      <c r="K112" s="424"/>
      <c r="L112" s="424"/>
      <c r="M112" s="433"/>
      <c r="N112" s="424"/>
      <c r="O112" s="424"/>
      <c r="P112" s="424"/>
      <c r="Q112" s="424"/>
      <c r="R112" s="433"/>
      <c r="S112" s="424"/>
      <c r="T112" s="432"/>
      <c r="U112" s="421"/>
      <c r="V112" s="421"/>
      <c r="W112" s="421"/>
      <c r="X112" s="421"/>
      <c r="Y112" s="421"/>
      <c r="Z112" s="421"/>
      <c r="AA112" s="419"/>
      <c r="AB112" s="424"/>
      <c r="AC112" s="422"/>
      <c r="AD112" s="423">
        <f t="shared" si="18"/>
        <v>0</v>
      </c>
      <c r="AE112" s="109"/>
    </row>
    <row r="113" spans="1:31" s="54" customFormat="1" ht="15.95" customHeight="1" x14ac:dyDescent="0.2">
      <c r="A113" s="110" t="s">
        <v>111</v>
      </c>
      <c r="B113" s="133" t="s">
        <v>112</v>
      </c>
      <c r="C113" s="449"/>
      <c r="D113" s="421"/>
      <c r="E113" s="419"/>
      <c r="F113" s="424"/>
      <c r="G113" s="424"/>
      <c r="H113" s="424"/>
      <c r="I113" s="424"/>
      <c r="J113" s="424"/>
      <c r="K113" s="424"/>
      <c r="L113" s="424"/>
      <c r="M113" s="433"/>
      <c r="N113" s="424"/>
      <c r="O113" s="424"/>
      <c r="P113" s="424"/>
      <c r="Q113" s="424"/>
      <c r="R113" s="433"/>
      <c r="S113" s="424"/>
      <c r="T113" s="432"/>
      <c r="U113" s="421"/>
      <c r="V113" s="421"/>
      <c r="W113" s="421"/>
      <c r="X113" s="421"/>
      <c r="Y113" s="421"/>
      <c r="Z113" s="428"/>
      <c r="AA113" s="419"/>
      <c r="AB113" s="424"/>
      <c r="AC113" s="422"/>
      <c r="AD113" s="423">
        <f t="shared" si="18"/>
        <v>0</v>
      </c>
      <c r="AE113" s="109"/>
    </row>
    <row r="114" spans="1:31" s="54" customFormat="1" ht="15.95" customHeight="1" x14ac:dyDescent="0.2">
      <c r="A114" s="110" t="s">
        <v>113</v>
      </c>
      <c r="B114" s="133" t="s">
        <v>114</v>
      </c>
      <c r="C114" s="449"/>
      <c r="D114" s="421"/>
      <c r="E114" s="421"/>
      <c r="F114" s="431"/>
      <c r="G114" s="431"/>
      <c r="H114" s="431"/>
      <c r="I114" s="431"/>
      <c r="J114" s="431"/>
      <c r="K114" s="431"/>
      <c r="L114" s="431"/>
      <c r="M114" s="421"/>
      <c r="N114" s="431"/>
      <c r="O114" s="431"/>
      <c r="P114" s="431"/>
      <c r="Q114" s="431"/>
      <c r="R114" s="421"/>
      <c r="S114" s="431"/>
      <c r="T114" s="421"/>
      <c r="U114" s="421"/>
      <c r="V114" s="421"/>
      <c r="W114" s="424"/>
      <c r="X114" s="421"/>
      <c r="Y114" s="457"/>
      <c r="Z114" s="424">
        <f>5635000/1000</f>
        <v>5635</v>
      </c>
      <c r="AA114" s="432"/>
      <c r="AB114" s="431"/>
      <c r="AC114" s="431"/>
      <c r="AD114" s="423">
        <f t="shared" si="18"/>
        <v>5635</v>
      </c>
      <c r="AE114" s="109"/>
    </row>
    <row r="115" spans="1:31" s="54" customFormat="1" ht="15.95" customHeight="1" x14ac:dyDescent="0.2">
      <c r="A115" s="110" t="s">
        <v>115</v>
      </c>
      <c r="B115" s="133" t="s">
        <v>116</v>
      </c>
      <c r="C115" s="449"/>
      <c r="D115" s="421"/>
      <c r="E115" s="421"/>
      <c r="F115" s="421"/>
      <c r="G115" s="421"/>
      <c r="H115" s="421"/>
      <c r="I115" s="421"/>
      <c r="J115" s="421"/>
      <c r="K115" s="421"/>
      <c r="L115" s="421"/>
      <c r="M115" s="421"/>
      <c r="N115" s="421"/>
      <c r="O115" s="421"/>
      <c r="P115" s="421"/>
      <c r="Q115" s="421"/>
      <c r="R115" s="421"/>
      <c r="S115" s="421"/>
      <c r="T115" s="421"/>
      <c r="U115" s="421"/>
      <c r="V115" s="419"/>
      <c r="W115" s="424"/>
      <c r="X115" s="433"/>
      <c r="Y115" s="424"/>
      <c r="Z115" s="458"/>
      <c r="AA115" s="421"/>
      <c r="AB115" s="421"/>
      <c r="AC115" s="421"/>
      <c r="AD115" s="423">
        <f t="shared" si="18"/>
        <v>0</v>
      </c>
      <c r="AE115" s="109"/>
    </row>
    <row r="116" spans="1:31" s="54" customFormat="1" ht="15.95" customHeight="1" x14ac:dyDescent="0.2">
      <c r="A116" s="110" t="s">
        <v>117</v>
      </c>
      <c r="B116" s="133" t="s">
        <v>118</v>
      </c>
      <c r="C116" s="449"/>
      <c r="D116" s="421"/>
      <c r="E116" s="421"/>
      <c r="F116" s="421"/>
      <c r="G116" s="421"/>
      <c r="H116" s="421"/>
      <c r="I116" s="421"/>
      <c r="J116" s="421"/>
      <c r="K116" s="421"/>
      <c r="L116" s="421"/>
      <c r="M116" s="421"/>
      <c r="N116" s="421"/>
      <c r="O116" s="421"/>
      <c r="P116" s="421"/>
      <c r="Q116" s="421"/>
      <c r="R116" s="421"/>
      <c r="S116" s="421"/>
      <c r="T116" s="421"/>
      <c r="U116" s="421"/>
      <c r="V116" s="419"/>
      <c r="W116" s="424"/>
      <c r="X116" s="433"/>
      <c r="Y116" s="424"/>
      <c r="Z116" s="424"/>
      <c r="AA116" s="432"/>
      <c r="AB116" s="421"/>
      <c r="AC116" s="421"/>
      <c r="AD116" s="423">
        <f t="shared" si="18"/>
        <v>0</v>
      </c>
      <c r="AE116" s="109"/>
    </row>
    <row r="117" spans="1:31" s="54" customFormat="1" ht="15.95" customHeight="1" x14ac:dyDescent="0.2">
      <c r="A117" s="110" t="s">
        <v>119</v>
      </c>
      <c r="B117" s="133" t="s">
        <v>120</v>
      </c>
      <c r="C117" s="449"/>
      <c r="D117" s="421"/>
      <c r="E117" s="421"/>
      <c r="F117" s="421"/>
      <c r="G117" s="421"/>
      <c r="H117" s="421"/>
      <c r="I117" s="421"/>
      <c r="J117" s="421"/>
      <c r="K117" s="421"/>
      <c r="L117" s="421"/>
      <c r="M117" s="421"/>
      <c r="N117" s="421"/>
      <c r="O117" s="421"/>
      <c r="P117" s="421"/>
      <c r="Q117" s="421"/>
      <c r="R117" s="421"/>
      <c r="S117" s="421"/>
      <c r="T117" s="421"/>
      <c r="U117" s="421"/>
      <c r="V117" s="421"/>
      <c r="W117" s="429"/>
      <c r="X117" s="428"/>
      <c r="Y117" s="429"/>
      <c r="Z117" s="429"/>
      <c r="AA117" s="421"/>
      <c r="AB117" s="421"/>
      <c r="AC117" s="421"/>
      <c r="AD117" s="423">
        <f t="shared" si="18"/>
        <v>0</v>
      </c>
      <c r="AE117" s="109"/>
    </row>
    <row r="118" spans="1:31" s="54" customFormat="1" ht="15.95" customHeight="1" x14ac:dyDescent="0.2">
      <c r="A118" s="110" t="s">
        <v>121</v>
      </c>
      <c r="B118" s="133" t="s">
        <v>122</v>
      </c>
      <c r="C118" s="449"/>
      <c r="D118" s="421"/>
      <c r="E118" s="421"/>
      <c r="F118" s="421"/>
      <c r="G118" s="421"/>
      <c r="H118" s="421"/>
      <c r="I118" s="421"/>
      <c r="J118" s="421"/>
      <c r="K118" s="421"/>
      <c r="L118" s="421"/>
      <c r="M118" s="421"/>
      <c r="N118" s="421"/>
      <c r="O118" s="421"/>
      <c r="P118" s="421"/>
      <c r="Q118" s="421"/>
      <c r="R118" s="421"/>
      <c r="S118" s="421"/>
      <c r="T118" s="421"/>
      <c r="U118" s="421"/>
      <c r="V118" s="419"/>
      <c r="W118" s="424"/>
      <c r="X118" s="424"/>
      <c r="Y118" s="424">
        <f>50000000/1000</f>
        <v>50000</v>
      </c>
      <c r="Z118" s="424"/>
      <c r="AA118" s="432"/>
      <c r="AB118" s="421"/>
      <c r="AC118" s="421"/>
      <c r="AD118" s="423">
        <f t="shared" si="18"/>
        <v>50000</v>
      </c>
      <c r="AE118" s="109"/>
    </row>
    <row r="119" spans="1:31" s="54" customFormat="1" ht="15.95" customHeight="1" x14ac:dyDescent="0.2">
      <c r="A119" s="110" t="s">
        <v>123</v>
      </c>
      <c r="B119" s="133" t="s">
        <v>124</v>
      </c>
      <c r="C119" s="449"/>
      <c r="D119" s="421"/>
      <c r="E119" s="421"/>
      <c r="F119" s="421"/>
      <c r="G119" s="421"/>
      <c r="H119" s="421"/>
      <c r="I119" s="421"/>
      <c r="J119" s="421"/>
      <c r="K119" s="421"/>
      <c r="L119" s="421"/>
      <c r="M119" s="421"/>
      <c r="N119" s="421"/>
      <c r="O119" s="421"/>
      <c r="P119" s="421"/>
      <c r="Q119" s="421"/>
      <c r="R119" s="421"/>
      <c r="S119" s="421"/>
      <c r="T119" s="421"/>
      <c r="U119" s="421"/>
      <c r="V119" s="419"/>
      <c r="W119" s="424"/>
      <c r="X119" s="424"/>
      <c r="Y119" s="424"/>
      <c r="Z119" s="459"/>
      <c r="AA119" s="421"/>
      <c r="AB119" s="421"/>
      <c r="AC119" s="421"/>
      <c r="AD119" s="423">
        <f t="shared" si="18"/>
        <v>0</v>
      </c>
      <c r="AE119" s="109"/>
    </row>
    <row r="120" spans="1:31" s="54" customFormat="1" ht="15.95" customHeight="1" x14ac:dyDescent="0.2">
      <c r="A120" s="399" t="s">
        <v>502</v>
      </c>
      <c r="B120" s="134" t="s">
        <v>526</v>
      </c>
      <c r="C120" s="449"/>
      <c r="D120" s="421"/>
      <c r="E120" s="421"/>
      <c r="F120" s="421"/>
      <c r="G120" s="421"/>
      <c r="H120" s="421"/>
      <c r="I120" s="421"/>
      <c r="J120" s="421"/>
      <c r="K120" s="421"/>
      <c r="L120" s="421"/>
      <c r="M120" s="421"/>
      <c r="N120" s="421"/>
      <c r="O120" s="421"/>
      <c r="P120" s="421"/>
      <c r="Q120" s="421"/>
      <c r="R120" s="421"/>
      <c r="S120" s="421"/>
      <c r="T120" s="421"/>
      <c r="U120" s="421"/>
      <c r="V120" s="424"/>
      <c r="W120" s="424"/>
      <c r="X120" s="432"/>
      <c r="Y120" s="424">
        <f>35000000/1000</f>
        <v>35000</v>
      </c>
      <c r="Z120" s="421"/>
      <c r="AA120" s="421"/>
      <c r="AB120" s="421"/>
      <c r="AC120" s="421"/>
      <c r="AD120" s="423">
        <f t="shared" si="18"/>
        <v>35000</v>
      </c>
      <c r="AE120" s="109"/>
    </row>
    <row r="121" spans="1:31" s="54" customFormat="1" ht="15.95" customHeight="1" x14ac:dyDescent="0.2">
      <c r="A121" s="399" t="s">
        <v>527</v>
      </c>
      <c r="B121" s="134" t="s">
        <v>125</v>
      </c>
      <c r="C121" s="449"/>
      <c r="D121" s="421"/>
      <c r="E121" s="421"/>
      <c r="F121" s="421"/>
      <c r="G121" s="421"/>
      <c r="H121" s="421"/>
      <c r="I121" s="421"/>
      <c r="J121" s="421"/>
      <c r="K121" s="421"/>
      <c r="L121" s="421"/>
      <c r="M121" s="421"/>
      <c r="N121" s="421"/>
      <c r="O121" s="421"/>
      <c r="P121" s="421"/>
      <c r="Q121" s="421"/>
      <c r="R121" s="421"/>
      <c r="S121" s="421"/>
      <c r="T121" s="421"/>
      <c r="U121" s="419"/>
      <c r="V121" s="424"/>
      <c r="W121" s="424"/>
      <c r="X121" s="432"/>
      <c r="Y121" s="424">
        <f>60764802/1000</f>
        <v>60764.802000000003</v>
      </c>
      <c r="Z121" s="421"/>
      <c r="AA121" s="421"/>
      <c r="AB121" s="421"/>
      <c r="AC121" s="421"/>
      <c r="AD121" s="423">
        <f t="shared" si="18"/>
        <v>60764.802000000003</v>
      </c>
      <c r="AE121" s="109"/>
    </row>
    <row r="122" spans="1:31" s="54" customFormat="1" ht="15.95" customHeight="1" x14ac:dyDescent="0.2">
      <c r="A122" s="399" t="s">
        <v>503</v>
      </c>
      <c r="B122" s="134" t="s">
        <v>528</v>
      </c>
      <c r="C122" s="449"/>
      <c r="D122" s="421"/>
      <c r="E122" s="421"/>
      <c r="F122" s="421"/>
      <c r="G122" s="421"/>
      <c r="H122" s="421"/>
      <c r="I122" s="421"/>
      <c r="J122" s="421"/>
      <c r="K122" s="421"/>
      <c r="L122" s="421"/>
      <c r="M122" s="421"/>
      <c r="N122" s="421"/>
      <c r="O122" s="421"/>
      <c r="P122" s="421"/>
      <c r="Q122" s="421"/>
      <c r="R122" s="421"/>
      <c r="S122" s="421"/>
      <c r="T122" s="421"/>
      <c r="U122" s="419"/>
      <c r="V122" s="424"/>
      <c r="W122" s="424"/>
      <c r="X122" s="432"/>
      <c r="Y122" s="424"/>
      <c r="Z122" s="421"/>
      <c r="AA122" s="421"/>
      <c r="AB122" s="421"/>
      <c r="AC122" s="421"/>
      <c r="AD122" s="423">
        <f t="shared" si="18"/>
        <v>0</v>
      </c>
      <c r="AE122" s="109"/>
    </row>
    <row r="123" spans="1:31" s="54" customFormat="1" ht="15.95" customHeight="1" x14ac:dyDescent="0.2">
      <c r="A123" s="399" t="s">
        <v>504</v>
      </c>
      <c r="B123" s="134" t="s">
        <v>529</v>
      </c>
      <c r="C123" s="449"/>
      <c r="D123" s="421"/>
      <c r="E123" s="421"/>
      <c r="F123" s="421"/>
      <c r="G123" s="421"/>
      <c r="H123" s="421"/>
      <c r="I123" s="421"/>
      <c r="J123" s="421"/>
      <c r="K123" s="421"/>
      <c r="L123" s="421"/>
      <c r="M123" s="421"/>
      <c r="N123" s="421"/>
      <c r="O123" s="421"/>
      <c r="P123" s="421"/>
      <c r="Q123" s="421"/>
      <c r="R123" s="421"/>
      <c r="S123" s="421"/>
      <c r="T123" s="421"/>
      <c r="U123" s="419"/>
      <c r="V123" s="424"/>
      <c r="W123" s="424"/>
      <c r="X123" s="432"/>
      <c r="Y123" s="424"/>
      <c r="Z123" s="421"/>
      <c r="AA123" s="421"/>
      <c r="AB123" s="421"/>
      <c r="AC123" s="421"/>
      <c r="AD123" s="423">
        <f t="shared" si="18"/>
        <v>0</v>
      </c>
      <c r="AE123" s="109"/>
    </row>
    <row r="124" spans="1:31" s="54" customFormat="1" ht="15.95" customHeight="1" x14ac:dyDescent="0.2">
      <c r="A124" s="399" t="s">
        <v>530</v>
      </c>
      <c r="B124" s="134" t="s">
        <v>531</v>
      </c>
      <c r="C124" s="449"/>
      <c r="D124" s="421"/>
      <c r="E124" s="421"/>
      <c r="F124" s="428"/>
      <c r="G124" s="428"/>
      <c r="H124" s="428"/>
      <c r="I124" s="428"/>
      <c r="J124" s="428"/>
      <c r="K124" s="428"/>
      <c r="L124" s="428"/>
      <c r="M124" s="421"/>
      <c r="N124" s="428"/>
      <c r="O124" s="428"/>
      <c r="P124" s="428"/>
      <c r="Q124" s="428"/>
      <c r="R124" s="421"/>
      <c r="S124" s="428"/>
      <c r="T124" s="421"/>
      <c r="U124" s="419"/>
      <c r="V124" s="424">
        <f>493648.34/1000</f>
        <v>493.64834000000002</v>
      </c>
      <c r="W124" s="424"/>
      <c r="X124" s="432"/>
      <c r="Y124" s="424"/>
      <c r="Z124" s="421"/>
      <c r="AA124" s="421"/>
      <c r="AB124" s="428"/>
      <c r="AC124" s="428"/>
      <c r="AD124" s="423">
        <f t="shared" si="18"/>
        <v>493.64834000000002</v>
      </c>
      <c r="AE124" s="109"/>
    </row>
    <row r="125" spans="1:31" s="54" customFormat="1" ht="15.95" customHeight="1" x14ac:dyDescent="0.2">
      <c r="A125" s="110" t="s">
        <v>126</v>
      </c>
      <c r="B125" s="133" t="s">
        <v>127</v>
      </c>
      <c r="C125" s="449"/>
      <c r="D125" s="421"/>
      <c r="E125" s="419"/>
      <c r="F125" s="424"/>
      <c r="G125" s="424"/>
      <c r="H125" s="424"/>
      <c r="I125" s="424"/>
      <c r="J125" s="424"/>
      <c r="K125" s="424"/>
      <c r="L125" s="424"/>
      <c r="M125" s="433"/>
      <c r="N125" s="424"/>
      <c r="O125" s="424"/>
      <c r="P125" s="424"/>
      <c r="Q125" s="424"/>
      <c r="R125" s="433"/>
      <c r="S125" s="424"/>
      <c r="T125" s="432"/>
      <c r="U125" s="421"/>
      <c r="V125" s="428"/>
      <c r="W125" s="428"/>
      <c r="X125" s="428"/>
      <c r="Y125" s="428"/>
      <c r="Z125" s="428"/>
      <c r="AA125" s="419"/>
      <c r="AB125" s="424"/>
      <c r="AC125" s="422"/>
      <c r="AD125" s="423">
        <f t="shared" si="18"/>
        <v>0</v>
      </c>
      <c r="AE125" s="109"/>
    </row>
    <row r="126" spans="1:31" s="45" customFormat="1" ht="15.95" customHeight="1" x14ac:dyDescent="0.2">
      <c r="A126" s="500" t="s">
        <v>128</v>
      </c>
      <c r="B126" s="501"/>
      <c r="C126" s="449">
        <f>SUM(C105:C125)</f>
        <v>0</v>
      </c>
      <c r="D126" s="421">
        <f t="shared" ref="D126:AC126" si="19">SUM(D105:D125)</f>
        <v>0</v>
      </c>
      <c r="E126" s="419">
        <f t="shared" si="19"/>
        <v>0</v>
      </c>
      <c r="F126" s="424">
        <f>SUM(F105:F125)</f>
        <v>822.88622999999995</v>
      </c>
      <c r="G126" s="424">
        <f t="shared" si="19"/>
        <v>3.9369800000000001</v>
      </c>
      <c r="H126" s="424">
        <f t="shared" si="19"/>
        <v>41587.402030000005</v>
      </c>
      <c r="I126" s="424">
        <f t="shared" si="19"/>
        <v>809.61884999999995</v>
      </c>
      <c r="J126" s="424">
        <f t="shared" si="19"/>
        <v>1920.52774</v>
      </c>
      <c r="K126" s="424">
        <f t="shared" si="19"/>
        <v>0.126</v>
      </c>
      <c r="L126" s="424">
        <f t="shared" si="19"/>
        <v>10.20299</v>
      </c>
      <c r="M126" s="433">
        <f t="shared" si="19"/>
        <v>0</v>
      </c>
      <c r="N126" s="424">
        <f t="shared" si="19"/>
        <v>0</v>
      </c>
      <c r="O126" s="424">
        <f t="shared" si="19"/>
        <v>0</v>
      </c>
      <c r="P126" s="424">
        <f t="shared" si="19"/>
        <v>22.4</v>
      </c>
      <c r="Q126" s="424">
        <f t="shared" si="19"/>
        <v>0</v>
      </c>
      <c r="R126" s="433">
        <f t="shared" si="19"/>
        <v>0</v>
      </c>
      <c r="S126" s="424">
        <f t="shared" si="19"/>
        <v>11076.67647</v>
      </c>
      <c r="T126" s="432">
        <f t="shared" si="19"/>
        <v>0</v>
      </c>
      <c r="U126" s="419">
        <f t="shared" si="19"/>
        <v>0</v>
      </c>
      <c r="V126" s="424">
        <f t="shared" si="19"/>
        <v>493.64834000000002</v>
      </c>
      <c r="W126" s="424">
        <f t="shared" si="19"/>
        <v>0</v>
      </c>
      <c r="X126" s="424">
        <f t="shared" si="19"/>
        <v>0</v>
      </c>
      <c r="Y126" s="424">
        <f t="shared" si="19"/>
        <v>145764.802</v>
      </c>
      <c r="Z126" s="424">
        <f t="shared" si="19"/>
        <v>5635</v>
      </c>
      <c r="AA126" s="433">
        <f t="shared" si="19"/>
        <v>0</v>
      </c>
      <c r="AB126" s="424">
        <f t="shared" si="19"/>
        <v>2397.0823300000002</v>
      </c>
      <c r="AC126" s="422">
        <f t="shared" si="19"/>
        <v>0</v>
      </c>
      <c r="AD126" s="423">
        <f t="shared" si="18"/>
        <v>210544.30995999998</v>
      </c>
      <c r="AE126" s="96"/>
    </row>
    <row r="127" spans="1:31" s="45" customFormat="1" ht="8.4499999999999993" customHeight="1" x14ac:dyDescent="0.2">
      <c r="A127" s="98"/>
      <c r="B127" s="47"/>
      <c r="C127" s="428"/>
      <c r="D127" s="428"/>
      <c r="E127" s="428"/>
      <c r="F127" s="429"/>
      <c r="G127" s="429"/>
      <c r="H127" s="429"/>
      <c r="I127" s="429"/>
      <c r="J127" s="429"/>
      <c r="K127" s="429"/>
      <c r="L127" s="429"/>
      <c r="M127" s="428"/>
      <c r="N127" s="429"/>
      <c r="O127" s="429"/>
      <c r="P127" s="429"/>
      <c r="Q127" s="429"/>
      <c r="R127" s="428"/>
      <c r="S127" s="429"/>
      <c r="T127" s="428"/>
      <c r="U127" s="428"/>
      <c r="V127" s="428"/>
      <c r="W127" s="428"/>
      <c r="X127" s="428"/>
      <c r="Y127" s="428"/>
      <c r="Z127" s="429"/>
      <c r="AA127" s="428"/>
      <c r="AB127" s="429"/>
      <c r="AC127" s="429"/>
      <c r="AD127" s="430"/>
      <c r="AE127" s="96"/>
    </row>
    <row r="128" spans="1:31" s="45" customFormat="1" ht="15.95" customHeight="1" x14ac:dyDescent="0.2">
      <c r="A128" s="464" t="s">
        <v>129</v>
      </c>
      <c r="B128" s="465"/>
      <c r="C128" s="431"/>
      <c r="D128" s="431"/>
      <c r="E128" s="431"/>
      <c r="F128" s="431"/>
      <c r="G128" s="431"/>
      <c r="H128" s="431"/>
      <c r="I128" s="431"/>
      <c r="J128" s="431"/>
      <c r="K128" s="431"/>
      <c r="L128" s="431"/>
      <c r="M128" s="431"/>
      <c r="N128" s="431"/>
      <c r="O128" s="431"/>
      <c r="P128" s="431"/>
      <c r="Q128" s="431"/>
      <c r="R128" s="431"/>
      <c r="S128" s="431"/>
      <c r="T128" s="431"/>
      <c r="U128" s="431"/>
      <c r="V128" s="431"/>
      <c r="W128" s="431"/>
      <c r="X128" s="431"/>
      <c r="Y128" s="431"/>
      <c r="Z128" s="431"/>
      <c r="AA128" s="431"/>
      <c r="AB128" s="431"/>
      <c r="AC128" s="431"/>
      <c r="AD128" s="430"/>
      <c r="AE128" s="96"/>
    </row>
    <row r="129" spans="1:31" s="54" customFormat="1" ht="15.95" customHeight="1" x14ac:dyDescent="0.2">
      <c r="A129" s="110" t="s">
        <v>130</v>
      </c>
      <c r="B129" s="133" t="s">
        <v>131</v>
      </c>
      <c r="C129" s="449"/>
      <c r="D129" s="421"/>
      <c r="E129" s="421"/>
      <c r="F129" s="428"/>
      <c r="G129" s="428"/>
      <c r="H129" s="428"/>
      <c r="I129" s="428"/>
      <c r="J129" s="428"/>
      <c r="K129" s="428"/>
      <c r="L129" s="428"/>
      <c r="M129" s="421"/>
      <c r="N129" s="428"/>
      <c r="O129" s="428"/>
      <c r="P129" s="428"/>
      <c r="Q129" s="428"/>
      <c r="R129" s="421"/>
      <c r="S129" s="428"/>
      <c r="T129" s="421"/>
      <c r="U129" s="421"/>
      <c r="V129" s="421"/>
      <c r="W129" s="421"/>
      <c r="X129" s="421"/>
      <c r="Y129" s="421"/>
      <c r="Z129" s="421"/>
      <c r="AA129" s="421"/>
      <c r="AB129" s="428"/>
      <c r="AC129" s="428"/>
      <c r="AD129" s="423">
        <f t="shared" ref="AD129:AD147" si="20">SUM(C129:AC129)</f>
        <v>0</v>
      </c>
      <c r="AE129" s="109"/>
    </row>
    <row r="130" spans="1:31" s="54" customFormat="1" ht="15.95" customHeight="1" x14ac:dyDescent="0.2">
      <c r="A130" s="110" t="s">
        <v>132</v>
      </c>
      <c r="B130" s="133" t="s">
        <v>133</v>
      </c>
      <c r="C130" s="449"/>
      <c r="D130" s="421"/>
      <c r="E130" s="419"/>
      <c r="F130" s="424"/>
      <c r="G130" s="424"/>
      <c r="H130" s="424"/>
      <c r="I130" s="424"/>
      <c r="J130" s="424"/>
      <c r="K130" s="424"/>
      <c r="L130" s="424"/>
      <c r="M130" s="433"/>
      <c r="N130" s="424"/>
      <c r="O130" s="424"/>
      <c r="P130" s="424"/>
      <c r="Q130" s="424"/>
      <c r="R130" s="433"/>
      <c r="S130" s="424"/>
      <c r="T130" s="432"/>
      <c r="U130" s="421"/>
      <c r="V130" s="421"/>
      <c r="W130" s="421"/>
      <c r="X130" s="421"/>
      <c r="Y130" s="421"/>
      <c r="Z130" s="421"/>
      <c r="AA130" s="419"/>
      <c r="AB130" s="424"/>
      <c r="AC130" s="422"/>
      <c r="AD130" s="423">
        <f t="shared" si="20"/>
        <v>0</v>
      </c>
      <c r="AE130" s="109"/>
    </row>
    <row r="131" spans="1:31" s="54" customFormat="1" ht="15.95" customHeight="1" x14ac:dyDescent="0.2">
      <c r="A131" s="110" t="s">
        <v>134</v>
      </c>
      <c r="B131" s="133" t="s">
        <v>135</v>
      </c>
      <c r="C131" s="449"/>
      <c r="D131" s="421"/>
      <c r="E131" s="419"/>
      <c r="F131" s="424"/>
      <c r="G131" s="424"/>
      <c r="H131" s="424"/>
      <c r="I131" s="424"/>
      <c r="J131" s="424"/>
      <c r="K131" s="424"/>
      <c r="L131" s="424"/>
      <c r="M131" s="433"/>
      <c r="N131" s="424"/>
      <c r="O131" s="424"/>
      <c r="P131" s="424"/>
      <c r="Q131" s="424"/>
      <c r="R131" s="433"/>
      <c r="S131" s="424">
        <f>4062628.04/1000</f>
        <v>4062.6280400000001</v>
      </c>
      <c r="T131" s="432"/>
      <c r="U131" s="421"/>
      <c r="V131" s="421"/>
      <c r="W131" s="421"/>
      <c r="X131" s="421"/>
      <c r="Y131" s="421"/>
      <c r="Z131" s="421"/>
      <c r="AA131" s="419"/>
      <c r="AB131" s="424"/>
      <c r="AC131" s="422"/>
      <c r="AD131" s="423">
        <f t="shared" si="20"/>
        <v>4062.6280400000001</v>
      </c>
      <c r="AE131" s="109"/>
    </row>
    <row r="132" spans="1:31" s="54" customFormat="1" ht="15.95" customHeight="1" x14ac:dyDescent="0.2">
      <c r="A132" s="110" t="s">
        <v>136</v>
      </c>
      <c r="B132" s="133" t="s">
        <v>137</v>
      </c>
      <c r="C132" s="449"/>
      <c r="D132" s="421"/>
      <c r="E132" s="419"/>
      <c r="F132" s="424"/>
      <c r="G132" s="424"/>
      <c r="H132" s="424"/>
      <c r="I132" s="424"/>
      <c r="J132" s="424"/>
      <c r="K132" s="424"/>
      <c r="L132" s="424"/>
      <c r="M132" s="433"/>
      <c r="N132" s="424"/>
      <c r="O132" s="424"/>
      <c r="P132" s="424"/>
      <c r="Q132" s="424"/>
      <c r="R132" s="433"/>
      <c r="S132" s="424"/>
      <c r="T132" s="432"/>
      <c r="U132" s="421"/>
      <c r="V132" s="421"/>
      <c r="W132" s="421"/>
      <c r="X132" s="421"/>
      <c r="Y132" s="421"/>
      <c r="Z132" s="421"/>
      <c r="AA132" s="419"/>
      <c r="AB132" s="424"/>
      <c r="AC132" s="422"/>
      <c r="AD132" s="423">
        <f t="shared" si="20"/>
        <v>0</v>
      </c>
      <c r="AE132" s="109"/>
    </row>
    <row r="133" spans="1:31" s="54" customFormat="1" ht="15.95" customHeight="1" x14ac:dyDescent="0.2">
      <c r="A133" s="110" t="s">
        <v>138</v>
      </c>
      <c r="B133" s="133" t="s">
        <v>139</v>
      </c>
      <c r="C133" s="449"/>
      <c r="D133" s="421"/>
      <c r="E133" s="419"/>
      <c r="F133" s="424"/>
      <c r="G133" s="424"/>
      <c r="H133" s="424"/>
      <c r="I133" s="424"/>
      <c r="J133" s="424"/>
      <c r="K133" s="424"/>
      <c r="L133" s="424"/>
      <c r="M133" s="433"/>
      <c r="N133" s="424"/>
      <c r="O133" s="424"/>
      <c r="P133" s="424"/>
      <c r="Q133" s="424"/>
      <c r="R133" s="433"/>
      <c r="S133" s="424"/>
      <c r="T133" s="432"/>
      <c r="U133" s="421"/>
      <c r="V133" s="421"/>
      <c r="W133" s="428"/>
      <c r="X133" s="421"/>
      <c r="Y133" s="421"/>
      <c r="Z133" s="421"/>
      <c r="AA133" s="457"/>
      <c r="AB133" s="424"/>
      <c r="AC133" s="422"/>
      <c r="AD133" s="423">
        <f t="shared" si="20"/>
        <v>0</v>
      </c>
      <c r="AE133" s="109"/>
    </row>
    <row r="134" spans="1:31" s="54" customFormat="1" ht="15.95" customHeight="1" x14ac:dyDescent="0.2">
      <c r="A134" s="110" t="s">
        <v>140</v>
      </c>
      <c r="B134" s="133" t="s">
        <v>141</v>
      </c>
      <c r="C134" s="449"/>
      <c r="D134" s="421"/>
      <c r="E134" s="421"/>
      <c r="F134" s="431"/>
      <c r="G134" s="431"/>
      <c r="H134" s="431"/>
      <c r="I134" s="431"/>
      <c r="J134" s="431"/>
      <c r="K134" s="431"/>
      <c r="L134" s="431"/>
      <c r="M134" s="421"/>
      <c r="N134" s="431"/>
      <c r="O134" s="431"/>
      <c r="P134" s="431"/>
      <c r="Q134" s="431"/>
      <c r="R134" s="421"/>
      <c r="S134" s="431"/>
      <c r="T134" s="428"/>
      <c r="U134" s="421"/>
      <c r="V134" s="419"/>
      <c r="W134" s="424"/>
      <c r="X134" s="460"/>
      <c r="Y134" s="421"/>
      <c r="Z134" s="419"/>
      <c r="AA134" s="424">
        <f>52482520.61/1000</f>
        <v>52482.52061</v>
      </c>
      <c r="AB134" s="459"/>
      <c r="AC134" s="431"/>
      <c r="AD134" s="423">
        <f t="shared" si="20"/>
        <v>52482.52061</v>
      </c>
      <c r="AE134" s="109"/>
    </row>
    <row r="135" spans="1:31" s="45" customFormat="1" ht="15.95" customHeight="1" x14ac:dyDescent="0.2">
      <c r="A135" s="399" t="s">
        <v>505</v>
      </c>
      <c r="B135" s="134" t="s">
        <v>532</v>
      </c>
      <c r="C135" s="449"/>
      <c r="D135" s="421"/>
      <c r="E135" s="421"/>
      <c r="F135" s="421"/>
      <c r="G135" s="421"/>
      <c r="H135" s="421"/>
      <c r="I135" s="421"/>
      <c r="J135" s="421"/>
      <c r="K135" s="421"/>
      <c r="L135" s="421"/>
      <c r="M135" s="421"/>
      <c r="N135" s="421"/>
      <c r="O135" s="421"/>
      <c r="P135" s="421"/>
      <c r="Q135" s="421"/>
      <c r="R135" s="421"/>
      <c r="S135" s="421"/>
      <c r="T135" s="424">
        <f>20000000/1000</f>
        <v>20000</v>
      </c>
      <c r="U135" s="432"/>
      <c r="V135" s="419"/>
      <c r="W135" s="424"/>
      <c r="X135" s="424"/>
      <c r="Y135" s="432"/>
      <c r="Z135" s="421"/>
      <c r="AA135" s="431"/>
      <c r="AB135" s="421"/>
      <c r="AC135" s="421"/>
      <c r="AD135" s="423">
        <f t="shared" si="20"/>
        <v>20000</v>
      </c>
      <c r="AE135" s="96"/>
    </row>
    <row r="136" spans="1:31" s="45" customFormat="1" ht="15.95" customHeight="1" x14ac:dyDescent="0.2">
      <c r="A136" s="399" t="s">
        <v>533</v>
      </c>
      <c r="B136" s="134" t="s">
        <v>534</v>
      </c>
      <c r="C136" s="449"/>
      <c r="D136" s="421"/>
      <c r="E136" s="421"/>
      <c r="F136" s="421"/>
      <c r="G136" s="421"/>
      <c r="H136" s="421"/>
      <c r="I136" s="421"/>
      <c r="J136" s="421"/>
      <c r="K136" s="421"/>
      <c r="L136" s="421"/>
      <c r="M136" s="421"/>
      <c r="N136" s="421"/>
      <c r="O136" s="421"/>
      <c r="P136" s="421"/>
      <c r="Q136" s="421"/>
      <c r="R136" s="421"/>
      <c r="S136" s="419"/>
      <c r="T136" s="424">
        <f>64000000/1000</f>
        <v>64000</v>
      </c>
      <c r="U136" s="432"/>
      <c r="V136" s="419"/>
      <c r="W136" s="424"/>
      <c r="X136" s="424"/>
      <c r="Y136" s="432"/>
      <c r="Z136" s="421"/>
      <c r="AA136" s="421"/>
      <c r="AB136" s="421"/>
      <c r="AC136" s="421"/>
      <c r="AD136" s="423">
        <f t="shared" si="20"/>
        <v>64000</v>
      </c>
      <c r="AE136" s="96"/>
    </row>
    <row r="137" spans="1:31" s="45" customFormat="1" ht="15.95" customHeight="1" x14ac:dyDescent="0.2">
      <c r="A137" s="399" t="s">
        <v>507</v>
      </c>
      <c r="B137" s="134" t="s">
        <v>535</v>
      </c>
      <c r="C137" s="449"/>
      <c r="D137" s="421"/>
      <c r="E137" s="421"/>
      <c r="F137" s="421"/>
      <c r="G137" s="421"/>
      <c r="H137" s="421"/>
      <c r="I137" s="421"/>
      <c r="J137" s="421"/>
      <c r="K137" s="421"/>
      <c r="L137" s="421"/>
      <c r="M137" s="421"/>
      <c r="N137" s="421"/>
      <c r="O137" s="421"/>
      <c r="P137" s="421"/>
      <c r="Q137" s="421"/>
      <c r="R137" s="421"/>
      <c r="S137" s="421"/>
      <c r="T137" s="431"/>
      <c r="U137" s="421"/>
      <c r="V137" s="419"/>
      <c r="W137" s="424"/>
      <c r="X137" s="424"/>
      <c r="Y137" s="432"/>
      <c r="Z137" s="421"/>
      <c r="AA137" s="421"/>
      <c r="AB137" s="421"/>
      <c r="AC137" s="421"/>
      <c r="AD137" s="423">
        <f t="shared" si="20"/>
        <v>0</v>
      </c>
      <c r="AE137" s="96"/>
    </row>
    <row r="138" spans="1:31" s="45" customFormat="1" ht="15.95" customHeight="1" x14ac:dyDescent="0.2">
      <c r="A138" s="399" t="s">
        <v>536</v>
      </c>
      <c r="B138" s="134" t="s">
        <v>537</v>
      </c>
      <c r="C138" s="449"/>
      <c r="D138" s="421"/>
      <c r="E138" s="421"/>
      <c r="F138" s="421"/>
      <c r="G138" s="421"/>
      <c r="H138" s="421"/>
      <c r="I138" s="421"/>
      <c r="J138" s="421"/>
      <c r="K138" s="421"/>
      <c r="L138" s="421"/>
      <c r="M138" s="421"/>
      <c r="N138" s="421"/>
      <c r="O138" s="421"/>
      <c r="P138" s="421"/>
      <c r="Q138" s="421"/>
      <c r="R138" s="421"/>
      <c r="S138" s="421"/>
      <c r="T138" s="421"/>
      <c r="U138" s="421"/>
      <c r="V138" s="419"/>
      <c r="W138" s="424"/>
      <c r="X138" s="424"/>
      <c r="Y138" s="432"/>
      <c r="Z138" s="421"/>
      <c r="AA138" s="428"/>
      <c r="AB138" s="421"/>
      <c r="AC138" s="421"/>
      <c r="AD138" s="423">
        <f t="shared" si="20"/>
        <v>0</v>
      </c>
      <c r="AE138" s="96"/>
    </row>
    <row r="139" spans="1:31" s="45" customFormat="1" ht="15.95" customHeight="1" x14ac:dyDescent="0.2">
      <c r="A139" s="110" t="s">
        <v>142</v>
      </c>
      <c r="B139" s="133" t="s">
        <v>143</v>
      </c>
      <c r="C139" s="449"/>
      <c r="D139" s="421"/>
      <c r="E139" s="421"/>
      <c r="F139" s="421"/>
      <c r="G139" s="421"/>
      <c r="H139" s="421"/>
      <c r="I139" s="421"/>
      <c r="J139" s="421"/>
      <c r="K139" s="421"/>
      <c r="L139" s="421"/>
      <c r="M139" s="421"/>
      <c r="N139" s="421"/>
      <c r="O139" s="421"/>
      <c r="P139" s="421"/>
      <c r="Q139" s="421"/>
      <c r="R139" s="421"/>
      <c r="S139" s="421"/>
      <c r="T139" s="421"/>
      <c r="U139" s="428"/>
      <c r="V139" s="419"/>
      <c r="W139" s="424"/>
      <c r="X139" s="459"/>
      <c r="Y139" s="421"/>
      <c r="Z139" s="419"/>
      <c r="AA139" s="424">
        <f>1901551.42/1000</f>
        <v>1901.55142</v>
      </c>
      <c r="AB139" s="432"/>
      <c r="AC139" s="421"/>
      <c r="AD139" s="423">
        <f t="shared" si="20"/>
        <v>1901.55142</v>
      </c>
      <c r="AE139" s="96"/>
    </row>
    <row r="140" spans="1:31" s="45" customFormat="1" ht="15.95" customHeight="1" x14ac:dyDescent="0.2">
      <c r="A140" s="399" t="s">
        <v>508</v>
      </c>
      <c r="B140" s="134" t="s">
        <v>538</v>
      </c>
      <c r="C140" s="449"/>
      <c r="D140" s="421"/>
      <c r="E140" s="421"/>
      <c r="F140" s="421"/>
      <c r="G140" s="421"/>
      <c r="H140" s="421"/>
      <c r="I140" s="421"/>
      <c r="J140" s="421"/>
      <c r="K140" s="421"/>
      <c r="L140" s="421"/>
      <c r="M140" s="421"/>
      <c r="N140" s="421"/>
      <c r="O140" s="421"/>
      <c r="P140" s="421"/>
      <c r="Q140" s="421"/>
      <c r="R140" s="421"/>
      <c r="S140" s="421"/>
      <c r="T140" s="419"/>
      <c r="U140" s="420"/>
      <c r="V140" s="433"/>
      <c r="W140" s="424"/>
      <c r="X140" s="432"/>
      <c r="Y140" s="421"/>
      <c r="Z140" s="421"/>
      <c r="AA140" s="431"/>
      <c r="AB140" s="421"/>
      <c r="AC140" s="421"/>
      <c r="AD140" s="423">
        <f t="shared" si="20"/>
        <v>0</v>
      </c>
      <c r="AE140" s="96"/>
    </row>
    <row r="141" spans="1:31" s="45" customFormat="1" ht="15.95" customHeight="1" x14ac:dyDescent="0.2">
      <c r="A141" s="399" t="s">
        <v>509</v>
      </c>
      <c r="B141" s="134" t="s">
        <v>539</v>
      </c>
      <c r="C141" s="449"/>
      <c r="D141" s="421"/>
      <c r="E141" s="421"/>
      <c r="F141" s="421"/>
      <c r="G141" s="421"/>
      <c r="H141" s="421"/>
      <c r="I141" s="421"/>
      <c r="J141" s="421"/>
      <c r="K141" s="421"/>
      <c r="L141" s="421"/>
      <c r="M141" s="421"/>
      <c r="N141" s="421"/>
      <c r="O141" s="421"/>
      <c r="P141" s="421"/>
      <c r="Q141" s="421"/>
      <c r="R141" s="421"/>
      <c r="S141" s="421"/>
      <c r="T141" s="419"/>
      <c r="U141" s="420"/>
      <c r="V141" s="433"/>
      <c r="W141" s="424"/>
      <c r="X141" s="432"/>
      <c r="Y141" s="421"/>
      <c r="Z141" s="421"/>
      <c r="AA141" s="421"/>
      <c r="AB141" s="421"/>
      <c r="AC141" s="421"/>
      <c r="AD141" s="423">
        <f t="shared" si="20"/>
        <v>0</v>
      </c>
      <c r="AE141" s="96"/>
    </row>
    <row r="142" spans="1:31" s="45" customFormat="1" ht="15.95" customHeight="1" x14ac:dyDescent="0.2">
      <c r="A142" s="399" t="s">
        <v>540</v>
      </c>
      <c r="B142" s="134" t="s">
        <v>541</v>
      </c>
      <c r="C142" s="449"/>
      <c r="D142" s="421"/>
      <c r="E142" s="421"/>
      <c r="F142" s="421"/>
      <c r="G142" s="421"/>
      <c r="H142" s="421"/>
      <c r="I142" s="421"/>
      <c r="J142" s="421"/>
      <c r="K142" s="421"/>
      <c r="L142" s="421"/>
      <c r="M142" s="421"/>
      <c r="N142" s="421"/>
      <c r="O142" s="421"/>
      <c r="P142" s="421"/>
      <c r="Q142" s="421"/>
      <c r="R142" s="421"/>
      <c r="S142" s="421"/>
      <c r="T142" s="457"/>
      <c r="U142" s="420"/>
      <c r="V142" s="433"/>
      <c r="W142" s="424"/>
      <c r="X142" s="432"/>
      <c r="Y142" s="421"/>
      <c r="Z142" s="421"/>
      <c r="AA142" s="421"/>
      <c r="AB142" s="421"/>
      <c r="AC142" s="421"/>
      <c r="AD142" s="423">
        <f t="shared" si="20"/>
        <v>0</v>
      </c>
      <c r="AE142" s="96"/>
    </row>
    <row r="143" spans="1:31" s="45" customFormat="1" ht="15.95" customHeight="1" x14ac:dyDescent="0.2">
      <c r="A143" s="110" t="s">
        <v>144</v>
      </c>
      <c r="B143" s="138" t="s">
        <v>542</v>
      </c>
      <c r="C143" s="449"/>
      <c r="D143" s="421"/>
      <c r="E143" s="421"/>
      <c r="F143" s="421"/>
      <c r="G143" s="421"/>
      <c r="H143" s="421"/>
      <c r="I143" s="421"/>
      <c r="J143" s="421"/>
      <c r="K143" s="421"/>
      <c r="L143" s="421"/>
      <c r="M143" s="421"/>
      <c r="N143" s="421"/>
      <c r="O143" s="421"/>
      <c r="P143" s="421"/>
      <c r="Q143" s="421"/>
      <c r="R143" s="421"/>
      <c r="S143" s="419"/>
      <c r="T143" s="420">
        <f>70876.39/1000</f>
        <v>70.876390000000001</v>
      </c>
      <c r="U143" s="459"/>
      <c r="V143" s="419"/>
      <c r="W143" s="424"/>
      <c r="X143" s="432"/>
      <c r="Y143" s="421"/>
      <c r="Z143" s="421"/>
      <c r="AA143" s="428"/>
      <c r="AB143" s="421"/>
      <c r="AC143" s="421"/>
      <c r="AD143" s="423">
        <f t="shared" si="20"/>
        <v>70.876390000000001</v>
      </c>
      <c r="AE143" s="96"/>
    </row>
    <row r="144" spans="1:31" s="45" customFormat="1" ht="15.95" customHeight="1" x14ac:dyDescent="0.2">
      <c r="A144" s="400" t="s">
        <v>543</v>
      </c>
      <c r="B144" s="401" t="s">
        <v>544</v>
      </c>
      <c r="C144" s="449"/>
      <c r="D144" s="421"/>
      <c r="E144" s="421"/>
      <c r="F144" s="421"/>
      <c r="G144" s="421"/>
      <c r="H144" s="421"/>
      <c r="I144" s="421"/>
      <c r="J144" s="421"/>
      <c r="K144" s="421"/>
      <c r="L144" s="421"/>
      <c r="M144" s="421"/>
      <c r="N144" s="421"/>
      <c r="O144" s="421"/>
      <c r="P144" s="421"/>
      <c r="Q144" s="421"/>
      <c r="R144" s="421"/>
      <c r="S144" s="421"/>
      <c r="T144" s="431"/>
      <c r="U144" s="421"/>
      <c r="V144" s="419"/>
      <c r="W144" s="424"/>
      <c r="X144" s="432"/>
      <c r="Y144" s="421"/>
      <c r="Z144" s="419"/>
      <c r="AA144" s="425"/>
      <c r="AB144" s="421"/>
      <c r="AC144" s="421"/>
      <c r="AD144" s="423">
        <f t="shared" si="20"/>
        <v>0</v>
      </c>
      <c r="AE144" s="96"/>
    </row>
    <row r="145" spans="1:31" s="45" customFormat="1" ht="15.95" customHeight="1" x14ac:dyDescent="0.2">
      <c r="A145" s="400" t="s">
        <v>545</v>
      </c>
      <c r="B145" s="401" t="s">
        <v>546</v>
      </c>
      <c r="C145" s="449"/>
      <c r="D145" s="421"/>
      <c r="E145" s="421"/>
      <c r="F145" s="421"/>
      <c r="G145" s="421"/>
      <c r="H145" s="421"/>
      <c r="I145" s="421"/>
      <c r="J145" s="421"/>
      <c r="K145" s="421"/>
      <c r="L145" s="421"/>
      <c r="M145" s="421"/>
      <c r="N145" s="421"/>
      <c r="O145" s="421"/>
      <c r="P145" s="421"/>
      <c r="Q145" s="421"/>
      <c r="R145" s="421"/>
      <c r="S145" s="421"/>
      <c r="T145" s="421"/>
      <c r="U145" s="421"/>
      <c r="V145" s="419"/>
      <c r="W145" s="424"/>
      <c r="X145" s="432"/>
      <c r="Y145" s="421"/>
      <c r="Z145" s="419"/>
      <c r="AA145" s="425"/>
      <c r="AB145" s="421"/>
      <c r="AC145" s="421"/>
      <c r="AD145" s="423">
        <f t="shared" si="20"/>
        <v>0</v>
      </c>
      <c r="AE145" s="96"/>
    </row>
    <row r="146" spans="1:31" s="45" customFormat="1" ht="15.95" customHeight="1" x14ac:dyDescent="0.2">
      <c r="A146" s="400" t="s">
        <v>547</v>
      </c>
      <c r="B146" s="401" t="s">
        <v>548</v>
      </c>
      <c r="C146" s="449"/>
      <c r="D146" s="421"/>
      <c r="E146" s="421"/>
      <c r="F146" s="421"/>
      <c r="G146" s="421"/>
      <c r="H146" s="421"/>
      <c r="I146" s="421"/>
      <c r="J146" s="421"/>
      <c r="K146" s="421"/>
      <c r="L146" s="421"/>
      <c r="M146" s="421"/>
      <c r="N146" s="421"/>
      <c r="O146" s="421"/>
      <c r="P146" s="421"/>
      <c r="Q146" s="421"/>
      <c r="R146" s="421"/>
      <c r="S146" s="421"/>
      <c r="T146" s="421"/>
      <c r="U146" s="421"/>
      <c r="V146" s="419"/>
      <c r="W146" s="424"/>
      <c r="X146" s="432"/>
      <c r="Y146" s="421"/>
      <c r="Z146" s="419"/>
      <c r="AA146" s="425"/>
      <c r="AB146" s="421"/>
      <c r="AC146" s="421"/>
      <c r="AD146" s="423">
        <f t="shared" si="20"/>
        <v>0</v>
      </c>
      <c r="AE146" s="96"/>
    </row>
    <row r="147" spans="1:31" s="45" customFormat="1" ht="15.95" customHeight="1" x14ac:dyDescent="0.2">
      <c r="A147" s="400" t="s">
        <v>549</v>
      </c>
      <c r="B147" s="138" t="s">
        <v>550</v>
      </c>
      <c r="C147" s="449"/>
      <c r="D147" s="421"/>
      <c r="E147" s="421"/>
      <c r="F147" s="428"/>
      <c r="G147" s="428"/>
      <c r="H147" s="428"/>
      <c r="I147" s="428"/>
      <c r="J147" s="428"/>
      <c r="K147" s="428"/>
      <c r="L147" s="428"/>
      <c r="M147" s="421"/>
      <c r="N147" s="428"/>
      <c r="O147" s="428"/>
      <c r="P147" s="428"/>
      <c r="Q147" s="428"/>
      <c r="R147" s="421"/>
      <c r="S147" s="428"/>
      <c r="T147" s="428"/>
      <c r="U147" s="428"/>
      <c r="V147" s="419"/>
      <c r="W147" s="424"/>
      <c r="X147" s="460"/>
      <c r="Y147" s="421"/>
      <c r="Z147" s="419"/>
      <c r="AA147" s="425"/>
      <c r="AB147" s="432"/>
      <c r="AC147" s="421"/>
      <c r="AD147" s="423">
        <f t="shared" si="20"/>
        <v>0</v>
      </c>
      <c r="AE147" s="96"/>
    </row>
    <row r="148" spans="1:31" s="45" customFormat="1" ht="15.95" customHeight="1" x14ac:dyDescent="0.2">
      <c r="A148" s="500" t="s">
        <v>146</v>
      </c>
      <c r="B148" s="501"/>
      <c r="C148" s="449">
        <f>SUM(C128:C147)</f>
        <v>0</v>
      </c>
      <c r="D148" s="421">
        <f t="shared" ref="D148:AA148" si="21">SUM(D129:D147)</f>
        <v>0</v>
      </c>
      <c r="E148" s="419">
        <f t="shared" si="21"/>
        <v>0</v>
      </c>
      <c r="F148" s="424">
        <f t="shared" si="21"/>
        <v>0</v>
      </c>
      <c r="G148" s="424">
        <f t="shared" si="21"/>
        <v>0</v>
      </c>
      <c r="H148" s="424">
        <f t="shared" si="21"/>
        <v>0</v>
      </c>
      <c r="I148" s="424">
        <f t="shared" si="21"/>
        <v>0</v>
      </c>
      <c r="J148" s="424">
        <f t="shared" si="21"/>
        <v>0</v>
      </c>
      <c r="K148" s="424">
        <f t="shared" si="21"/>
        <v>0</v>
      </c>
      <c r="L148" s="424">
        <f t="shared" si="21"/>
        <v>0</v>
      </c>
      <c r="M148" s="433">
        <f t="shared" si="21"/>
        <v>0</v>
      </c>
      <c r="N148" s="424">
        <f>SUM(N129:N147)</f>
        <v>0</v>
      </c>
      <c r="O148" s="424">
        <f t="shared" si="21"/>
        <v>0</v>
      </c>
      <c r="P148" s="424">
        <f t="shared" si="21"/>
        <v>0</v>
      </c>
      <c r="Q148" s="424">
        <f t="shared" si="21"/>
        <v>0</v>
      </c>
      <c r="R148" s="433">
        <f t="shared" si="21"/>
        <v>0</v>
      </c>
      <c r="S148" s="424">
        <f t="shared" si="21"/>
        <v>4062.6280400000001</v>
      </c>
      <c r="T148" s="424">
        <f t="shared" si="21"/>
        <v>84070.876390000005</v>
      </c>
      <c r="U148" s="424">
        <f t="shared" si="21"/>
        <v>0</v>
      </c>
      <c r="V148" s="433">
        <f t="shared" si="21"/>
        <v>0</v>
      </c>
      <c r="W148" s="424">
        <f t="shared" si="21"/>
        <v>0</v>
      </c>
      <c r="X148" s="424">
        <f t="shared" si="21"/>
        <v>0</v>
      </c>
      <c r="Y148" s="432">
        <f t="shared" si="21"/>
        <v>0</v>
      </c>
      <c r="Z148" s="419">
        <f t="shared" si="21"/>
        <v>0</v>
      </c>
      <c r="AA148" s="424">
        <f t="shared" si="21"/>
        <v>54384.072030000003</v>
      </c>
      <c r="AB148" s="424">
        <f>SUM(AB129:AB147)</f>
        <v>0</v>
      </c>
      <c r="AC148" s="424">
        <f>SUM(AC129:AC147)</f>
        <v>0</v>
      </c>
      <c r="AD148" s="423">
        <f>SUM(C148:AC148)</f>
        <v>142517.57646000001</v>
      </c>
      <c r="AE148" s="96"/>
    </row>
    <row r="149" spans="1:31" s="45" customFormat="1" ht="8.25" customHeight="1" x14ac:dyDescent="0.2">
      <c r="A149" s="504"/>
      <c r="B149" s="505"/>
      <c r="C149" s="428"/>
      <c r="D149" s="428"/>
      <c r="E149" s="428"/>
      <c r="F149" s="429"/>
      <c r="G149" s="429"/>
      <c r="H149" s="429"/>
      <c r="I149" s="429"/>
      <c r="J149" s="429"/>
      <c r="K149" s="429"/>
      <c r="L149" s="429"/>
      <c r="M149" s="428"/>
      <c r="N149" s="429"/>
      <c r="O149" s="429"/>
      <c r="P149" s="429"/>
      <c r="Q149" s="429"/>
      <c r="R149" s="428"/>
      <c r="S149" s="429"/>
      <c r="T149" s="429"/>
      <c r="U149" s="429"/>
      <c r="V149" s="428"/>
      <c r="W149" s="429"/>
      <c r="X149" s="429"/>
      <c r="Y149" s="428"/>
      <c r="Z149" s="428"/>
      <c r="AA149" s="429"/>
      <c r="AB149" s="428"/>
      <c r="AC149" s="428"/>
      <c r="AD149" s="430"/>
      <c r="AE149" s="96"/>
    </row>
    <row r="150" spans="1:31" s="45" customFormat="1" ht="15.95" customHeight="1" x14ac:dyDescent="0.2">
      <c r="A150" s="464" t="s">
        <v>147</v>
      </c>
      <c r="B150" s="465"/>
      <c r="C150" s="431"/>
      <c r="D150" s="429"/>
      <c r="E150" s="429"/>
      <c r="F150" s="429"/>
      <c r="G150" s="429"/>
      <c r="H150" s="429"/>
      <c r="I150" s="429"/>
      <c r="J150" s="429"/>
      <c r="K150" s="429"/>
      <c r="L150" s="429"/>
      <c r="M150" s="429"/>
      <c r="N150" s="429"/>
      <c r="O150" s="429"/>
      <c r="P150" s="429"/>
      <c r="Q150" s="429"/>
      <c r="R150" s="431"/>
      <c r="S150" s="429"/>
      <c r="T150" s="431"/>
      <c r="U150" s="431"/>
      <c r="V150" s="431"/>
      <c r="W150" s="431"/>
      <c r="X150" s="431"/>
      <c r="Y150" s="431"/>
      <c r="Z150" s="431"/>
      <c r="AA150" s="431"/>
      <c r="AB150" s="429"/>
      <c r="AC150" s="429"/>
      <c r="AD150" s="442"/>
      <c r="AE150" s="96"/>
    </row>
    <row r="151" spans="1:31" s="45" customFormat="1" ht="15.95" customHeight="1" x14ac:dyDescent="0.2">
      <c r="A151" s="110" t="s">
        <v>148</v>
      </c>
      <c r="B151" s="133" t="s">
        <v>149</v>
      </c>
      <c r="C151" s="451"/>
      <c r="D151" s="420"/>
      <c r="E151" s="420"/>
      <c r="F151" s="420"/>
      <c r="G151" s="420"/>
      <c r="H151" s="420"/>
      <c r="I151" s="420"/>
      <c r="J151" s="420"/>
      <c r="K151" s="420"/>
      <c r="L151" s="420"/>
      <c r="M151" s="420"/>
      <c r="N151" s="420"/>
      <c r="O151" s="420"/>
      <c r="P151" s="420"/>
      <c r="Q151" s="420"/>
      <c r="R151" s="433"/>
      <c r="S151" s="420">
        <f>39852149.42/1000</f>
        <v>39852.149420000002</v>
      </c>
      <c r="T151" s="432"/>
      <c r="U151" s="421"/>
      <c r="V151" s="421"/>
      <c r="W151" s="421"/>
      <c r="X151" s="421"/>
      <c r="Y151" s="421"/>
      <c r="Z151" s="421"/>
      <c r="AA151" s="419"/>
      <c r="AB151" s="420"/>
      <c r="AC151" s="445"/>
      <c r="AD151" s="423">
        <f t="shared" ref="AD151:AD164" si="22">SUM(C151:AC151)</f>
        <v>39852.149420000002</v>
      </c>
      <c r="AE151" s="96"/>
    </row>
    <row r="152" spans="1:31" s="45" customFormat="1" ht="15.95" customHeight="1" x14ac:dyDescent="0.2">
      <c r="A152" s="110" t="s">
        <v>150</v>
      </c>
      <c r="B152" s="133" t="s">
        <v>551</v>
      </c>
      <c r="C152" s="449"/>
      <c r="D152" s="424"/>
      <c r="E152" s="424"/>
      <c r="F152" s="424"/>
      <c r="G152" s="424"/>
      <c r="H152" s="424"/>
      <c r="I152" s="424"/>
      <c r="J152" s="424"/>
      <c r="K152" s="424"/>
      <c r="L152" s="424"/>
      <c r="M152" s="424"/>
      <c r="N152" s="424"/>
      <c r="O152" s="424"/>
      <c r="P152" s="424"/>
      <c r="Q152" s="424"/>
      <c r="R152" s="433"/>
      <c r="S152" s="424">
        <f>158063099.86/1000</f>
        <v>158063.09986000002</v>
      </c>
      <c r="T152" s="432"/>
      <c r="U152" s="421"/>
      <c r="V152" s="421"/>
      <c r="W152" s="421"/>
      <c r="X152" s="421"/>
      <c r="Y152" s="421"/>
      <c r="Z152" s="421"/>
      <c r="AA152" s="419"/>
      <c r="AB152" s="424"/>
      <c r="AC152" s="422"/>
      <c r="AD152" s="423">
        <f t="shared" si="22"/>
        <v>158063.09986000002</v>
      </c>
      <c r="AE152" s="96"/>
    </row>
    <row r="153" spans="1:31" s="45" customFormat="1" ht="15.95" customHeight="1" x14ac:dyDescent="0.2">
      <c r="A153" s="110" t="s">
        <v>151</v>
      </c>
      <c r="B153" s="133" t="s">
        <v>152</v>
      </c>
      <c r="C153" s="449"/>
      <c r="D153" s="424"/>
      <c r="E153" s="424"/>
      <c r="F153" s="424"/>
      <c r="G153" s="424"/>
      <c r="H153" s="424"/>
      <c r="I153" s="424"/>
      <c r="J153" s="424"/>
      <c r="K153" s="424"/>
      <c r="L153" s="424"/>
      <c r="M153" s="424"/>
      <c r="N153" s="424"/>
      <c r="O153" s="424"/>
      <c r="P153" s="424"/>
      <c r="Q153" s="424"/>
      <c r="R153" s="433"/>
      <c r="S153" s="424"/>
      <c r="T153" s="432"/>
      <c r="U153" s="421"/>
      <c r="V153" s="421"/>
      <c r="W153" s="421"/>
      <c r="X153" s="421"/>
      <c r="Y153" s="421"/>
      <c r="Z153" s="421"/>
      <c r="AA153" s="419"/>
      <c r="AB153" s="424"/>
      <c r="AC153" s="422"/>
      <c r="AD153" s="423">
        <f t="shared" si="22"/>
        <v>0</v>
      </c>
      <c r="AE153" s="96"/>
    </row>
    <row r="154" spans="1:31" s="45" customFormat="1" ht="15.95" customHeight="1" x14ac:dyDescent="0.2">
      <c r="A154" s="110" t="s">
        <v>153</v>
      </c>
      <c r="B154" s="138" t="s">
        <v>154</v>
      </c>
      <c r="C154" s="449"/>
      <c r="D154" s="424"/>
      <c r="E154" s="424"/>
      <c r="F154" s="424"/>
      <c r="G154" s="424"/>
      <c r="H154" s="424"/>
      <c r="I154" s="424"/>
      <c r="J154" s="424">
        <f>163392.92/1000</f>
        <v>163.39292</v>
      </c>
      <c r="K154" s="424"/>
      <c r="L154" s="424"/>
      <c r="M154" s="424"/>
      <c r="N154" s="424"/>
      <c r="O154" s="424"/>
      <c r="P154" s="424"/>
      <c r="Q154" s="424"/>
      <c r="R154" s="433"/>
      <c r="S154" s="424">
        <f>(441860.48+363)/1000</f>
        <v>442.22348</v>
      </c>
      <c r="T154" s="432"/>
      <c r="U154" s="421"/>
      <c r="V154" s="421"/>
      <c r="W154" s="421"/>
      <c r="X154" s="421"/>
      <c r="Y154" s="421"/>
      <c r="Z154" s="421"/>
      <c r="AA154" s="419"/>
      <c r="AB154" s="424"/>
      <c r="AC154" s="422"/>
      <c r="AD154" s="423">
        <f t="shared" si="22"/>
        <v>605.6164</v>
      </c>
      <c r="AE154" s="96"/>
    </row>
    <row r="155" spans="1:31" s="45" customFormat="1" ht="15.95" customHeight="1" x14ac:dyDescent="0.2">
      <c r="A155" s="110" t="s">
        <v>155</v>
      </c>
      <c r="B155" s="133" t="s">
        <v>156</v>
      </c>
      <c r="C155" s="449"/>
      <c r="D155" s="431"/>
      <c r="E155" s="431"/>
      <c r="F155" s="431"/>
      <c r="G155" s="431"/>
      <c r="H155" s="431"/>
      <c r="I155" s="431"/>
      <c r="J155" s="431"/>
      <c r="K155" s="431"/>
      <c r="L155" s="431"/>
      <c r="M155" s="431"/>
      <c r="N155" s="431"/>
      <c r="O155" s="431"/>
      <c r="P155" s="431"/>
      <c r="Q155" s="431"/>
      <c r="R155" s="421"/>
      <c r="S155" s="431"/>
      <c r="T155" s="421"/>
      <c r="U155" s="419"/>
      <c r="V155" s="424"/>
      <c r="W155" s="422"/>
      <c r="X155" s="432"/>
      <c r="Y155" s="428"/>
      <c r="Z155" s="421"/>
      <c r="AA155" s="421"/>
      <c r="AB155" s="431"/>
      <c r="AC155" s="431"/>
      <c r="AD155" s="423">
        <f t="shared" si="22"/>
        <v>0</v>
      </c>
      <c r="AE155" s="96"/>
    </row>
    <row r="156" spans="1:31" s="45" customFormat="1" ht="15.95" customHeight="1" x14ac:dyDescent="0.2">
      <c r="A156" s="110" t="s">
        <v>157</v>
      </c>
      <c r="B156" s="133" t="s">
        <v>158</v>
      </c>
      <c r="C156" s="449"/>
      <c r="D156" s="421"/>
      <c r="E156" s="421"/>
      <c r="F156" s="421"/>
      <c r="G156" s="421"/>
      <c r="H156" s="421"/>
      <c r="I156" s="421"/>
      <c r="J156" s="421"/>
      <c r="K156" s="421"/>
      <c r="L156" s="421"/>
      <c r="M156" s="421"/>
      <c r="N156" s="421"/>
      <c r="O156" s="421"/>
      <c r="P156" s="421"/>
      <c r="Q156" s="421"/>
      <c r="R156" s="421"/>
      <c r="S156" s="421"/>
      <c r="T156" s="421"/>
      <c r="U156" s="421"/>
      <c r="V156" s="450"/>
      <c r="W156" s="424"/>
      <c r="X156" s="433"/>
      <c r="Y156" s="424"/>
      <c r="Z156" s="432"/>
      <c r="AA156" s="421"/>
      <c r="AB156" s="421"/>
      <c r="AC156" s="421"/>
      <c r="AD156" s="423">
        <f t="shared" si="22"/>
        <v>0</v>
      </c>
      <c r="AE156" s="96"/>
    </row>
    <row r="157" spans="1:31" s="45" customFormat="1" ht="15.95" customHeight="1" x14ac:dyDescent="0.2">
      <c r="A157" s="110" t="s">
        <v>159</v>
      </c>
      <c r="B157" s="133" t="s">
        <v>160</v>
      </c>
      <c r="C157" s="449"/>
      <c r="D157" s="421"/>
      <c r="E157" s="421"/>
      <c r="F157" s="421"/>
      <c r="G157" s="421"/>
      <c r="H157" s="421"/>
      <c r="I157" s="421"/>
      <c r="J157" s="421"/>
      <c r="K157" s="421"/>
      <c r="L157" s="421"/>
      <c r="M157" s="421"/>
      <c r="N157" s="421"/>
      <c r="O157" s="421"/>
      <c r="P157" s="421"/>
      <c r="Q157" s="421"/>
      <c r="R157" s="421"/>
      <c r="S157" s="421"/>
      <c r="T157" s="421"/>
      <c r="U157" s="421"/>
      <c r="V157" s="419"/>
      <c r="W157" s="424"/>
      <c r="X157" s="433"/>
      <c r="Y157" s="424"/>
      <c r="Z157" s="432"/>
      <c r="AA157" s="421"/>
      <c r="AB157" s="421"/>
      <c r="AC157" s="421"/>
      <c r="AD157" s="423">
        <f t="shared" si="22"/>
        <v>0</v>
      </c>
      <c r="AE157" s="96"/>
    </row>
    <row r="158" spans="1:31" s="45" customFormat="1" ht="15.95" customHeight="1" x14ac:dyDescent="0.2">
      <c r="A158" s="110" t="s">
        <v>161</v>
      </c>
      <c r="B158" s="133" t="s">
        <v>162</v>
      </c>
      <c r="C158" s="449"/>
      <c r="D158" s="421"/>
      <c r="E158" s="421"/>
      <c r="F158" s="421"/>
      <c r="G158" s="421"/>
      <c r="H158" s="421"/>
      <c r="I158" s="421"/>
      <c r="J158" s="421"/>
      <c r="K158" s="421"/>
      <c r="L158" s="421"/>
      <c r="M158" s="421"/>
      <c r="N158" s="421"/>
      <c r="O158" s="421"/>
      <c r="P158" s="421"/>
      <c r="Q158" s="421"/>
      <c r="R158" s="421"/>
      <c r="S158" s="421"/>
      <c r="T158" s="421"/>
      <c r="U158" s="421"/>
      <c r="V158" s="419"/>
      <c r="W158" s="424"/>
      <c r="X158" s="433"/>
      <c r="Y158" s="424"/>
      <c r="Z158" s="432"/>
      <c r="AA158" s="421"/>
      <c r="AB158" s="421"/>
      <c r="AC158" s="421"/>
      <c r="AD158" s="423">
        <f t="shared" si="22"/>
        <v>0</v>
      </c>
      <c r="AE158" s="96"/>
    </row>
    <row r="159" spans="1:31" s="45" customFormat="1" ht="15.95" customHeight="1" x14ac:dyDescent="0.2">
      <c r="A159" s="399" t="s">
        <v>510</v>
      </c>
      <c r="B159" s="134" t="s">
        <v>552</v>
      </c>
      <c r="C159" s="449"/>
      <c r="D159" s="421"/>
      <c r="E159" s="421"/>
      <c r="F159" s="421"/>
      <c r="G159" s="421"/>
      <c r="H159" s="421"/>
      <c r="I159" s="421"/>
      <c r="J159" s="421"/>
      <c r="K159" s="421"/>
      <c r="L159" s="421"/>
      <c r="M159" s="421"/>
      <c r="N159" s="421"/>
      <c r="O159" s="421"/>
      <c r="P159" s="421"/>
      <c r="Q159" s="421"/>
      <c r="R159" s="421"/>
      <c r="S159" s="421"/>
      <c r="T159" s="421"/>
      <c r="U159" s="421"/>
      <c r="V159" s="419"/>
      <c r="W159" s="424"/>
      <c r="X159" s="433"/>
      <c r="Y159" s="424"/>
      <c r="Z159" s="432"/>
      <c r="AA159" s="421"/>
      <c r="AB159" s="421"/>
      <c r="AC159" s="421"/>
      <c r="AD159" s="423">
        <f t="shared" si="22"/>
        <v>0</v>
      </c>
      <c r="AE159" s="96"/>
    </row>
    <row r="160" spans="1:31" s="45" customFormat="1" ht="15.95" customHeight="1" x14ac:dyDescent="0.2">
      <c r="A160" s="399" t="s">
        <v>553</v>
      </c>
      <c r="B160" s="134" t="s">
        <v>163</v>
      </c>
      <c r="C160" s="449"/>
      <c r="D160" s="421"/>
      <c r="E160" s="421"/>
      <c r="F160" s="421"/>
      <c r="G160" s="421"/>
      <c r="H160" s="421"/>
      <c r="I160" s="421"/>
      <c r="J160" s="421"/>
      <c r="K160" s="421"/>
      <c r="L160" s="421"/>
      <c r="M160" s="421"/>
      <c r="N160" s="421"/>
      <c r="O160" s="421"/>
      <c r="P160" s="421"/>
      <c r="Q160" s="421"/>
      <c r="R160" s="421"/>
      <c r="S160" s="421"/>
      <c r="T160" s="421"/>
      <c r="U160" s="421"/>
      <c r="V160" s="419"/>
      <c r="W160" s="424"/>
      <c r="X160" s="433"/>
      <c r="Y160" s="424"/>
      <c r="Z160" s="432"/>
      <c r="AA160" s="421"/>
      <c r="AB160" s="421"/>
      <c r="AC160" s="421"/>
      <c r="AD160" s="423">
        <f t="shared" si="22"/>
        <v>0</v>
      </c>
      <c r="AE160" s="96"/>
    </row>
    <row r="161" spans="1:31" s="45" customFormat="1" ht="15.95" customHeight="1" x14ac:dyDescent="0.2">
      <c r="A161" s="110" t="s">
        <v>164</v>
      </c>
      <c r="B161" s="133" t="s">
        <v>554</v>
      </c>
      <c r="C161" s="449"/>
      <c r="D161" s="421"/>
      <c r="E161" s="421"/>
      <c r="F161" s="421"/>
      <c r="G161" s="421"/>
      <c r="H161" s="421"/>
      <c r="I161" s="421"/>
      <c r="J161" s="421"/>
      <c r="K161" s="421"/>
      <c r="L161" s="421"/>
      <c r="M161" s="421"/>
      <c r="N161" s="421"/>
      <c r="O161" s="421"/>
      <c r="P161" s="421"/>
      <c r="Q161" s="421"/>
      <c r="R161" s="421"/>
      <c r="S161" s="421"/>
      <c r="T161" s="421"/>
      <c r="U161" s="421"/>
      <c r="V161" s="419"/>
      <c r="W161" s="424"/>
      <c r="X161" s="433"/>
      <c r="Y161" s="424"/>
      <c r="Z161" s="432"/>
      <c r="AA161" s="421"/>
      <c r="AB161" s="421"/>
      <c r="AC161" s="421"/>
      <c r="AD161" s="423">
        <f t="shared" si="22"/>
        <v>0</v>
      </c>
      <c r="AE161" s="96"/>
    </row>
    <row r="162" spans="1:31" s="45" customFormat="1" ht="15.95" customHeight="1" x14ac:dyDescent="0.2">
      <c r="A162" s="110" t="s">
        <v>165</v>
      </c>
      <c r="B162" s="133" t="s">
        <v>166</v>
      </c>
      <c r="C162" s="449"/>
      <c r="D162" s="421"/>
      <c r="E162" s="421"/>
      <c r="F162" s="421"/>
      <c r="G162" s="421"/>
      <c r="H162" s="421"/>
      <c r="I162" s="421"/>
      <c r="J162" s="421"/>
      <c r="K162" s="421"/>
      <c r="L162" s="421"/>
      <c r="M162" s="421"/>
      <c r="N162" s="421"/>
      <c r="O162" s="421"/>
      <c r="P162" s="421"/>
      <c r="Q162" s="421"/>
      <c r="R162" s="421"/>
      <c r="S162" s="421"/>
      <c r="T162" s="421"/>
      <c r="U162" s="421"/>
      <c r="V162" s="419"/>
      <c r="W162" s="424"/>
      <c r="X162" s="433"/>
      <c r="Y162" s="424"/>
      <c r="Z162" s="432"/>
      <c r="AA162" s="421"/>
      <c r="AB162" s="421"/>
      <c r="AC162" s="421"/>
      <c r="AD162" s="423">
        <f t="shared" si="22"/>
        <v>0</v>
      </c>
      <c r="AE162" s="96"/>
    </row>
    <row r="163" spans="1:31" s="45" customFormat="1" ht="15.95" customHeight="1" x14ac:dyDescent="0.2">
      <c r="A163" s="110" t="s">
        <v>167</v>
      </c>
      <c r="B163" s="133" t="s">
        <v>555</v>
      </c>
      <c r="C163" s="449"/>
      <c r="D163" s="428"/>
      <c r="E163" s="428"/>
      <c r="F163" s="428"/>
      <c r="G163" s="428"/>
      <c r="H163" s="428"/>
      <c r="I163" s="428"/>
      <c r="J163" s="428"/>
      <c r="K163" s="428"/>
      <c r="L163" s="428"/>
      <c r="M163" s="428"/>
      <c r="N163" s="428"/>
      <c r="O163" s="428"/>
      <c r="P163" s="428"/>
      <c r="Q163" s="428"/>
      <c r="R163" s="421"/>
      <c r="S163" s="428"/>
      <c r="T163" s="421"/>
      <c r="U163" s="421"/>
      <c r="V163" s="457"/>
      <c r="W163" s="424"/>
      <c r="X163" s="433"/>
      <c r="Y163" s="424">
        <f>500/1000</f>
        <v>0.5</v>
      </c>
      <c r="Z163" s="432"/>
      <c r="AA163" s="421"/>
      <c r="AB163" s="428"/>
      <c r="AC163" s="428"/>
      <c r="AD163" s="423">
        <f t="shared" si="22"/>
        <v>0.5</v>
      </c>
      <c r="AE163" s="96"/>
    </row>
    <row r="164" spans="1:31" s="45" customFormat="1" ht="15.95" customHeight="1" x14ac:dyDescent="0.2">
      <c r="A164" s="500" t="s">
        <v>169</v>
      </c>
      <c r="B164" s="501"/>
      <c r="C164" s="451">
        <f t="shared" ref="C164:AC164" si="23">SUM(C151:C163)</f>
        <v>0</v>
      </c>
      <c r="D164" s="424">
        <f t="shared" si="23"/>
        <v>0</v>
      </c>
      <c r="E164" s="424">
        <f t="shared" si="23"/>
        <v>0</v>
      </c>
      <c r="F164" s="424">
        <f t="shared" si="23"/>
        <v>0</v>
      </c>
      <c r="G164" s="424">
        <f t="shared" si="23"/>
        <v>0</v>
      </c>
      <c r="H164" s="424">
        <f t="shared" si="23"/>
        <v>0</v>
      </c>
      <c r="I164" s="424">
        <f t="shared" si="23"/>
        <v>0</v>
      </c>
      <c r="J164" s="424">
        <f t="shared" si="23"/>
        <v>163.39292</v>
      </c>
      <c r="K164" s="424">
        <f t="shared" si="23"/>
        <v>0</v>
      </c>
      <c r="L164" s="424">
        <f t="shared" si="23"/>
        <v>0</v>
      </c>
      <c r="M164" s="424">
        <f t="shared" si="23"/>
        <v>0</v>
      </c>
      <c r="N164" s="424">
        <f>SUM(N151:N163)</f>
        <v>0</v>
      </c>
      <c r="O164" s="424">
        <f t="shared" si="23"/>
        <v>0</v>
      </c>
      <c r="P164" s="424">
        <f t="shared" si="23"/>
        <v>0</v>
      </c>
      <c r="Q164" s="424">
        <f t="shared" si="23"/>
        <v>0</v>
      </c>
      <c r="R164" s="433">
        <f t="shared" si="23"/>
        <v>0</v>
      </c>
      <c r="S164" s="424">
        <f t="shared" si="23"/>
        <v>198357.47276</v>
      </c>
      <c r="T164" s="432">
        <f t="shared" si="23"/>
        <v>0</v>
      </c>
      <c r="U164" s="419">
        <f t="shared" si="23"/>
        <v>0</v>
      </c>
      <c r="V164" s="424">
        <f t="shared" si="23"/>
        <v>0</v>
      </c>
      <c r="W164" s="424">
        <f t="shared" si="23"/>
        <v>0</v>
      </c>
      <c r="X164" s="433">
        <f t="shared" si="23"/>
        <v>0</v>
      </c>
      <c r="Y164" s="424">
        <f t="shared" si="23"/>
        <v>0.5</v>
      </c>
      <c r="Z164" s="432">
        <f t="shared" si="23"/>
        <v>0</v>
      </c>
      <c r="AA164" s="419">
        <f t="shared" si="23"/>
        <v>0</v>
      </c>
      <c r="AB164" s="424">
        <f t="shared" si="23"/>
        <v>0</v>
      </c>
      <c r="AC164" s="422">
        <f t="shared" si="23"/>
        <v>0</v>
      </c>
      <c r="AD164" s="423">
        <f t="shared" si="22"/>
        <v>198521.36568000002</v>
      </c>
      <c r="AE164" s="96"/>
    </row>
    <row r="165" spans="1:31" s="45" customFormat="1" ht="8.25" customHeight="1" x14ac:dyDescent="0.2">
      <c r="A165" s="504"/>
      <c r="B165" s="505"/>
      <c r="C165" s="428"/>
      <c r="D165" s="428"/>
      <c r="E165" s="428"/>
      <c r="F165" s="429"/>
      <c r="G165" s="429"/>
      <c r="H165" s="429"/>
      <c r="I165" s="429"/>
      <c r="J165" s="429"/>
      <c r="K165" s="429"/>
      <c r="L165" s="429"/>
      <c r="M165" s="428"/>
      <c r="N165" s="429"/>
      <c r="O165" s="429"/>
      <c r="P165" s="429"/>
      <c r="Q165" s="429"/>
      <c r="R165" s="428"/>
      <c r="S165" s="429"/>
      <c r="T165" s="428"/>
      <c r="U165" s="428"/>
      <c r="V165" s="428"/>
      <c r="W165" s="429"/>
      <c r="X165" s="428"/>
      <c r="Y165" s="428"/>
      <c r="Z165" s="428"/>
      <c r="AA165" s="428"/>
      <c r="AB165" s="428"/>
      <c r="AC165" s="428"/>
      <c r="AD165" s="430"/>
      <c r="AE165" s="96"/>
    </row>
    <row r="166" spans="1:31" s="45" customFormat="1" ht="15.95" customHeight="1" x14ac:dyDescent="0.2">
      <c r="A166" s="464" t="s">
        <v>170</v>
      </c>
      <c r="B166" s="465"/>
      <c r="C166" s="431"/>
      <c r="D166" s="431"/>
      <c r="E166" s="431"/>
      <c r="F166" s="431"/>
      <c r="G166" s="431"/>
      <c r="H166" s="431"/>
      <c r="I166" s="431"/>
      <c r="J166" s="431"/>
      <c r="K166" s="431"/>
      <c r="L166" s="431"/>
      <c r="M166" s="431"/>
      <c r="N166" s="431"/>
      <c r="O166" s="431"/>
      <c r="P166" s="431"/>
      <c r="Q166" s="431"/>
      <c r="R166" s="431"/>
      <c r="S166" s="431"/>
      <c r="T166" s="431"/>
      <c r="U166" s="431"/>
      <c r="V166" s="431"/>
      <c r="W166" s="431"/>
      <c r="X166" s="429"/>
      <c r="Y166" s="431"/>
      <c r="Z166" s="431"/>
      <c r="AA166" s="431"/>
      <c r="AB166" s="431"/>
      <c r="AC166" s="431"/>
      <c r="AD166" s="430"/>
      <c r="AE166" s="96"/>
    </row>
    <row r="167" spans="1:31" s="45" customFormat="1" ht="15.95" customHeight="1" x14ac:dyDescent="0.2">
      <c r="A167" s="399" t="s">
        <v>511</v>
      </c>
      <c r="B167" s="134" t="s">
        <v>556</v>
      </c>
      <c r="C167" s="449"/>
      <c r="D167" s="421"/>
      <c r="E167" s="421"/>
      <c r="F167" s="421"/>
      <c r="G167" s="421"/>
      <c r="H167" s="421"/>
      <c r="I167" s="421"/>
      <c r="J167" s="421"/>
      <c r="K167" s="421"/>
      <c r="L167" s="421"/>
      <c r="M167" s="421"/>
      <c r="N167" s="421"/>
      <c r="O167" s="421"/>
      <c r="P167" s="421"/>
      <c r="Q167" s="421"/>
      <c r="R167" s="421"/>
      <c r="S167" s="421"/>
      <c r="T167" s="421"/>
      <c r="U167" s="421"/>
      <c r="V167" s="421"/>
      <c r="W167" s="421"/>
      <c r="X167" s="420"/>
      <c r="Y167" s="432"/>
      <c r="Z167" s="421"/>
      <c r="AA167" s="421"/>
      <c r="AB167" s="421"/>
      <c r="AC167" s="421"/>
      <c r="AD167" s="423">
        <f t="shared" ref="AD167:AD175" si="24">SUM(C167:AC167)</f>
        <v>0</v>
      </c>
      <c r="AE167" s="96"/>
    </row>
    <row r="168" spans="1:31" s="45" customFormat="1" ht="15.95" customHeight="1" x14ac:dyDescent="0.2">
      <c r="A168" s="399" t="s">
        <v>557</v>
      </c>
      <c r="B168" s="134" t="s">
        <v>558</v>
      </c>
      <c r="C168" s="449"/>
      <c r="D168" s="421"/>
      <c r="E168" s="421"/>
      <c r="F168" s="421"/>
      <c r="G168" s="421"/>
      <c r="H168" s="421"/>
      <c r="I168" s="421"/>
      <c r="J168" s="421"/>
      <c r="K168" s="421"/>
      <c r="L168" s="421"/>
      <c r="M168" s="421"/>
      <c r="N168" s="421"/>
      <c r="O168" s="421"/>
      <c r="P168" s="421"/>
      <c r="Q168" s="421"/>
      <c r="R168" s="421"/>
      <c r="S168" s="421"/>
      <c r="T168" s="421"/>
      <c r="U168" s="421"/>
      <c r="V168" s="421"/>
      <c r="W168" s="421"/>
      <c r="X168" s="420"/>
      <c r="Y168" s="432"/>
      <c r="Z168" s="421"/>
      <c r="AA168" s="421"/>
      <c r="AB168" s="421"/>
      <c r="AC168" s="421"/>
      <c r="AD168" s="423">
        <f t="shared" si="24"/>
        <v>0</v>
      </c>
      <c r="AE168" s="96"/>
    </row>
    <row r="169" spans="1:31" s="45" customFormat="1" ht="15.95" customHeight="1" x14ac:dyDescent="0.2">
      <c r="A169" s="110" t="s">
        <v>171</v>
      </c>
      <c r="B169" s="133" t="s">
        <v>513</v>
      </c>
      <c r="C169" s="449"/>
      <c r="D169" s="421"/>
      <c r="E169" s="421"/>
      <c r="F169" s="421"/>
      <c r="G169" s="421"/>
      <c r="H169" s="421"/>
      <c r="I169" s="421"/>
      <c r="J169" s="421"/>
      <c r="K169" s="421"/>
      <c r="L169" s="421"/>
      <c r="M169" s="421"/>
      <c r="N169" s="421"/>
      <c r="O169" s="421"/>
      <c r="P169" s="421"/>
      <c r="Q169" s="421"/>
      <c r="R169" s="421"/>
      <c r="S169" s="421"/>
      <c r="T169" s="421"/>
      <c r="U169" s="421"/>
      <c r="V169" s="421"/>
      <c r="W169" s="421"/>
      <c r="X169" s="424"/>
      <c r="Y169" s="432"/>
      <c r="Z169" s="421"/>
      <c r="AA169" s="421"/>
      <c r="AB169" s="421"/>
      <c r="AC169" s="421"/>
      <c r="AD169" s="423">
        <f t="shared" si="24"/>
        <v>0</v>
      </c>
      <c r="AE169" s="96"/>
    </row>
    <row r="170" spans="1:31" s="45" customFormat="1" ht="15.95" customHeight="1" x14ac:dyDescent="0.2">
      <c r="A170" s="110" t="s">
        <v>172</v>
      </c>
      <c r="B170" s="133" t="s">
        <v>173</v>
      </c>
      <c r="C170" s="449"/>
      <c r="D170" s="421"/>
      <c r="E170" s="421"/>
      <c r="F170" s="421"/>
      <c r="G170" s="421"/>
      <c r="H170" s="421"/>
      <c r="I170" s="421"/>
      <c r="J170" s="421"/>
      <c r="K170" s="421"/>
      <c r="L170" s="421"/>
      <c r="M170" s="421"/>
      <c r="N170" s="421"/>
      <c r="O170" s="421"/>
      <c r="P170" s="421"/>
      <c r="Q170" s="421"/>
      <c r="R170" s="421"/>
      <c r="S170" s="421"/>
      <c r="T170" s="421"/>
      <c r="U170" s="421"/>
      <c r="V170" s="419"/>
      <c r="W170" s="424"/>
      <c r="X170" s="424">
        <f>171122955.85/1000</f>
        <v>171122.95585</v>
      </c>
      <c r="Y170" s="432"/>
      <c r="Z170" s="419"/>
      <c r="AA170" s="425">
        <f>73919492.94/1000</f>
        <v>73919.492939999996</v>
      </c>
      <c r="AB170" s="432"/>
      <c r="AC170" s="421"/>
      <c r="AD170" s="423">
        <f t="shared" si="24"/>
        <v>245042.44878999999</v>
      </c>
      <c r="AE170" s="96"/>
    </row>
    <row r="171" spans="1:31" s="45" customFormat="1" ht="15.95" customHeight="1" x14ac:dyDescent="0.2">
      <c r="A171" s="400" t="s">
        <v>559</v>
      </c>
      <c r="B171" s="401" t="s">
        <v>560</v>
      </c>
      <c r="C171" s="449"/>
      <c r="D171" s="421"/>
      <c r="E171" s="421"/>
      <c r="F171" s="421"/>
      <c r="G171" s="421"/>
      <c r="H171" s="421"/>
      <c r="I171" s="421"/>
      <c r="J171" s="421"/>
      <c r="K171" s="421"/>
      <c r="L171" s="421"/>
      <c r="M171" s="421"/>
      <c r="N171" s="421"/>
      <c r="O171" s="421"/>
      <c r="P171" s="421"/>
      <c r="Q171" s="421"/>
      <c r="R171" s="421"/>
      <c r="S171" s="421"/>
      <c r="T171" s="421"/>
      <c r="U171" s="421"/>
      <c r="V171" s="421"/>
      <c r="W171" s="431"/>
      <c r="X171" s="431"/>
      <c r="Y171" s="421"/>
      <c r="Z171" s="419"/>
      <c r="AA171" s="425">
        <f>-206931.27/1000</f>
        <v>-206.93126999999998</v>
      </c>
      <c r="AB171" s="432"/>
      <c r="AC171" s="421"/>
      <c r="AD171" s="423">
        <f t="shared" si="24"/>
        <v>-206.93126999999998</v>
      </c>
      <c r="AE171" s="96"/>
    </row>
    <row r="172" spans="1:31" s="45" customFormat="1" ht="15.95" customHeight="1" x14ac:dyDescent="0.2">
      <c r="A172" s="400" t="s">
        <v>561</v>
      </c>
      <c r="B172" s="401" t="s">
        <v>562</v>
      </c>
      <c r="C172" s="449"/>
      <c r="D172" s="421"/>
      <c r="E172" s="421"/>
      <c r="F172" s="421"/>
      <c r="G172" s="421"/>
      <c r="H172" s="421"/>
      <c r="I172" s="421"/>
      <c r="J172" s="421"/>
      <c r="K172" s="421"/>
      <c r="L172" s="421"/>
      <c r="M172" s="421"/>
      <c r="N172" s="421"/>
      <c r="O172" s="421"/>
      <c r="P172" s="421"/>
      <c r="Q172" s="421"/>
      <c r="R172" s="421"/>
      <c r="S172" s="421"/>
      <c r="T172" s="421"/>
      <c r="U172" s="421"/>
      <c r="V172" s="421"/>
      <c r="W172" s="421"/>
      <c r="X172" s="421"/>
      <c r="Y172" s="421"/>
      <c r="Z172" s="419"/>
      <c r="AA172" s="425">
        <f>15284964.71/1000</f>
        <v>15284.96471</v>
      </c>
      <c r="AB172" s="432"/>
      <c r="AC172" s="421"/>
      <c r="AD172" s="423">
        <f t="shared" si="24"/>
        <v>15284.96471</v>
      </c>
      <c r="AE172" s="96"/>
    </row>
    <row r="173" spans="1:31" s="45" customFormat="1" ht="15.95" customHeight="1" x14ac:dyDescent="0.2">
      <c r="A173" s="400" t="s">
        <v>563</v>
      </c>
      <c r="B173" s="401" t="s">
        <v>564</v>
      </c>
      <c r="C173" s="449"/>
      <c r="D173" s="421"/>
      <c r="E173" s="421"/>
      <c r="F173" s="421"/>
      <c r="G173" s="421"/>
      <c r="H173" s="421"/>
      <c r="I173" s="421"/>
      <c r="J173" s="421"/>
      <c r="K173" s="421"/>
      <c r="L173" s="421"/>
      <c r="M173" s="421"/>
      <c r="N173" s="421"/>
      <c r="O173" s="421"/>
      <c r="P173" s="421"/>
      <c r="Q173" s="421"/>
      <c r="R173" s="421"/>
      <c r="S173" s="421"/>
      <c r="T173" s="421"/>
      <c r="U173" s="421"/>
      <c r="V173" s="421"/>
      <c r="W173" s="421"/>
      <c r="X173" s="421"/>
      <c r="Y173" s="421"/>
      <c r="Z173" s="419"/>
      <c r="AA173" s="425">
        <f>232911.13/1000</f>
        <v>232.91113000000001</v>
      </c>
      <c r="AB173" s="432"/>
      <c r="AC173" s="421"/>
      <c r="AD173" s="423">
        <f t="shared" si="24"/>
        <v>232.91113000000001</v>
      </c>
      <c r="AE173" s="96"/>
    </row>
    <row r="174" spans="1:31" s="45" customFormat="1" ht="15.95" customHeight="1" x14ac:dyDescent="0.2">
      <c r="A174" s="400" t="s">
        <v>565</v>
      </c>
      <c r="B174" s="401" t="s">
        <v>566</v>
      </c>
      <c r="C174" s="449"/>
      <c r="D174" s="421"/>
      <c r="E174" s="421"/>
      <c r="F174" s="421"/>
      <c r="G174" s="421"/>
      <c r="H174" s="421"/>
      <c r="I174" s="421"/>
      <c r="J174" s="421"/>
      <c r="K174" s="421"/>
      <c r="L174" s="421"/>
      <c r="M174" s="421"/>
      <c r="N174" s="421"/>
      <c r="O174" s="421"/>
      <c r="P174" s="421"/>
      <c r="Q174" s="421"/>
      <c r="R174" s="421"/>
      <c r="S174" s="421"/>
      <c r="T174" s="421"/>
      <c r="U174" s="421"/>
      <c r="V174" s="421"/>
      <c r="W174" s="421"/>
      <c r="X174" s="421"/>
      <c r="Y174" s="421"/>
      <c r="Z174" s="419"/>
      <c r="AA174" s="425">
        <f>16243.87/1000</f>
        <v>16.243870000000001</v>
      </c>
      <c r="AB174" s="432"/>
      <c r="AC174" s="421"/>
      <c r="AD174" s="423">
        <f t="shared" si="24"/>
        <v>16.243870000000001</v>
      </c>
      <c r="AE174" s="96"/>
    </row>
    <row r="175" spans="1:31" s="45" customFormat="1" ht="15.95" customHeight="1" x14ac:dyDescent="0.2">
      <c r="A175" s="500" t="s">
        <v>175</v>
      </c>
      <c r="B175" s="501"/>
      <c r="C175" s="449">
        <f>SUM(C167:C174)</f>
        <v>0</v>
      </c>
      <c r="D175" s="421">
        <f t="shared" ref="D175:AC175" si="25">SUM(D167:D174)</f>
        <v>0</v>
      </c>
      <c r="E175" s="421">
        <f t="shared" si="25"/>
        <v>0</v>
      </c>
      <c r="F175" s="421">
        <f t="shared" si="25"/>
        <v>0</v>
      </c>
      <c r="G175" s="421">
        <f t="shared" si="25"/>
        <v>0</v>
      </c>
      <c r="H175" s="421">
        <f t="shared" si="25"/>
        <v>0</v>
      </c>
      <c r="I175" s="421">
        <f t="shared" si="25"/>
        <v>0</v>
      </c>
      <c r="J175" s="421">
        <f t="shared" si="25"/>
        <v>0</v>
      </c>
      <c r="K175" s="421">
        <f t="shared" si="25"/>
        <v>0</v>
      </c>
      <c r="L175" s="421">
        <f t="shared" si="25"/>
        <v>0</v>
      </c>
      <c r="M175" s="421">
        <f t="shared" si="25"/>
        <v>0</v>
      </c>
      <c r="N175" s="421">
        <f t="shared" si="25"/>
        <v>0</v>
      </c>
      <c r="O175" s="421">
        <f t="shared" si="25"/>
        <v>0</v>
      </c>
      <c r="P175" s="421">
        <f t="shared" si="25"/>
        <v>0</v>
      </c>
      <c r="Q175" s="421">
        <f t="shared" si="25"/>
        <v>0</v>
      </c>
      <c r="R175" s="421">
        <f t="shared" si="25"/>
        <v>0</v>
      </c>
      <c r="S175" s="421">
        <f t="shared" si="25"/>
        <v>0</v>
      </c>
      <c r="T175" s="421">
        <f t="shared" si="25"/>
        <v>0</v>
      </c>
      <c r="U175" s="421">
        <f t="shared" si="25"/>
        <v>0</v>
      </c>
      <c r="V175" s="419">
        <f t="shared" si="25"/>
        <v>0</v>
      </c>
      <c r="W175" s="424">
        <f t="shared" si="25"/>
        <v>0</v>
      </c>
      <c r="X175" s="424">
        <f t="shared" si="25"/>
        <v>171122.95585</v>
      </c>
      <c r="Y175" s="432">
        <f t="shared" si="25"/>
        <v>0</v>
      </c>
      <c r="Z175" s="419">
        <f t="shared" si="25"/>
        <v>0</v>
      </c>
      <c r="AA175" s="424">
        <f t="shared" si="25"/>
        <v>89246.681379999995</v>
      </c>
      <c r="AB175" s="432">
        <f t="shared" si="25"/>
        <v>0</v>
      </c>
      <c r="AC175" s="446">
        <f t="shared" si="25"/>
        <v>0</v>
      </c>
      <c r="AD175" s="423">
        <f t="shared" si="24"/>
        <v>260369.63722999999</v>
      </c>
      <c r="AE175" s="96"/>
    </row>
    <row r="176" spans="1:31" s="45" customFormat="1" ht="8.25" customHeight="1" thickBot="1" x14ac:dyDescent="0.25">
      <c r="A176" s="502"/>
      <c r="B176" s="503"/>
      <c r="C176" s="421"/>
      <c r="D176" s="421"/>
      <c r="E176" s="421"/>
      <c r="F176" s="421"/>
      <c r="G176" s="421"/>
      <c r="H176" s="421"/>
      <c r="I176" s="421"/>
      <c r="J176" s="421"/>
      <c r="K176" s="421"/>
      <c r="L176" s="421"/>
      <c r="M176" s="421"/>
      <c r="N176" s="421"/>
      <c r="O176" s="421"/>
      <c r="P176" s="421"/>
      <c r="Q176" s="421"/>
      <c r="R176" s="421"/>
      <c r="S176" s="421"/>
      <c r="T176" s="421"/>
      <c r="U176" s="421"/>
      <c r="V176" s="421"/>
      <c r="W176" s="431"/>
      <c r="X176" s="421"/>
      <c r="Y176" s="421"/>
      <c r="Z176" s="421"/>
      <c r="AA176" s="421"/>
      <c r="AB176" s="421"/>
      <c r="AC176" s="421"/>
      <c r="AD176" s="434"/>
      <c r="AE176" s="96"/>
    </row>
    <row r="177" spans="1:31" s="45" customFormat="1" ht="15.95" customHeight="1" thickBot="1" x14ac:dyDescent="0.25">
      <c r="A177" s="111" t="s">
        <v>176</v>
      </c>
      <c r="B177" s="139"/>
      <c r="C177" s="461">
        <f t="shared" ref="C177:AC177" si="26">SUM(C126,C148,C164,C175)</f>
        <v>0</v>
      </c>
      <c r="D177" s="435">
        <f t="shared" si="26"/>
        <v>0</v>
      </c>
      <c r="E177" s="435">
        <f t="shared" si="26"/>
        <v>0</v>
      </c>
      <c r="F177" s="435">
        <f t="shared" si="26"/>
        <v>822.88622999999995</v>
      </c>
      <c r="G177" s="435">
        <f t="shared" si="26"/>
        <v>3.9369800000000001</v>
      </c>
      <c r="H177" s="435">
        <f t="shared" si="26"/>
        <v>41587.402030000005</v>
      </c>
      <c r="I177" s="435">
        <f t="shared" si="26"/>
        <v>809.61884999999995</v>
      </c>
      <c r="J177" s="435">
        <f t="shared" si="26"/>
        <v>2083.9206599999998</v>
      </c>
      <c r="K177" s="435">
        <f t="shared" si="26"/>
        <v>0.126</v>
      </c>
      <c r="L177" s="435">
        <f t="shared" si="26"/>
        <v>10.20299</v>
      </c>
      <c r="M177" s="435">
        <f t="shared" si="26"/>
        <v>0</v>
      </c>
      <c r="N177" s="435">
        <f t="shared" si="26"/>
        <v>0</v>
      </c>
      <c r="O177" s="435">
        <f t="shared" si="26"/>
        <v>0</v>
      </c>
      <c r="P177" s="435">
        <f t="shared" si="26"/>
        <v>22.4</v>
      </c>
      <c r="Q177" s="435">
        <f t="shared" si="26"/>
        <v>0</v>
      </c>
      <c r="R177" s="439">
        <f t="shared" si="26"/>
        <v>0</v>
      </c>
      <c r="S177" s="435">
        <f t="shared" si="26"/>
        <v>213496.77726999999</v>
      </c>
      <c r="T177" s="435">
        <f t="shared" si="26"/>
        <v>84070.876390000005</v>
      </c>
      <c r="U177" s="435">
        <f t="shared" si="26"/>
        <v>0</v>
      </c>
      <c r="V177" s="435">
        <f t="shared" si="26"/>
        <v>493.64834000000002</v>
      </c>
      <c r="W177" s="435">
        <f t="shared" si="26"/>
        <v>0</v>
      </c>
      <c r="X177" s="435">
        <f t="shared" si="26"/>
        <v>171122.95585</v>
      </c>
      <c r="Y177" s="435">
        <f t="shared" si="26"/>
        <v>145765.302</v>
      </c>
      <c r="Z177" s="435">
        <f t="shared" si="26"/>
        <v>5635</v>
      </c>
      <c r="AA177" s="435">
        <f t="shared" si="26"/>
        <v>143630.75341</v>
      </c>
      <c r="AB177" s="435">
        <f t="shared" si="26"/>
        <v>2397.0823300000002</v>
      </c>
      <c r="AC177" s="440">
        <f t="shared" si="26"/>
        <v>0</v>
      </c>
      <c r="AD177" s="441">
        <f>SUM(C177:AC177)</f>
        <v>811952.88933000003</v>
      </c>
      <c r="AE177" s="96"/>
    </row>
    <row r="178" spans="1:31" s="45" customFormat="1" ht="8.25" customHeight="1" thickBot="1" x14ac:dyDescent="0.25">
      <c r="A178" s="498"/>
      <c r="B178" s="499"/>
      <c r="C178" s="428"/>
      <c r="D178" s="428"/>
      <c r="E178" s="428"/>
      <c r="F178" s="428"/>
      <c r="G178" s="428"/>
      <c r="H178" s="428"/>
      <c r="I178" s="428"/>
      <c r="J178" s="428"/>
      <c r="K178" s="428"/>
      <c r="L178" s="428"/>
      <c r="M178" s="428"/>
      <c r="N178" s="428"/>
      <c r="O178" s="428"/>
      <c r="P178" s="428"/>
      <c r="Q178" s="428"/>
      <c r="R178" s="428"/>
      <c r="S178" s="428"/>
      <c r="T178" s="428"/>
      <c r="U178" s="428"/>
      <c r="V178" s="428"/>
      <c r="W178" s="428"/>
      <c r="X178" s="428"/>
      <c r="Y178" s="428"/>
      <c r="Z178" s="428"/>
      <c r="AA178" s="428"/>
      <c r="AB178" s="428"/>
      <c r="AC178" s="428"/>
      <c r="AD178" s="442"/>
      <c r="AE178" s="96"/>
    </row>
    <row r="179" spans="1:31" s="54" customFormat="1" ht="15.95" customHeight="1" thickBot="1" x14ac:dyDescent="0.25">
      <c r="A179" s="112" t="s">
        <v>177</v>
      </c>
      <c r="B179" s="140"/>
      <c r="C179" s="461">
        <f t="shared" ref="C179:AC179" si="27">+SUM(C94,C100,C177)</f>
        <v>0</v>
      </c>
      <c r="D179" s="435">
        <f t="shared" si="27"/>
        <v>51804.741080000007</v>
      </c>
      <c r="E179" s="435">
        <f t="shared" si="27"/>
        <v>747.45682000000011</v>
      </c>
      <c r="F179" s="435">
        <f t="shared" si="27"/>
        <v>822.88622999999995</v>
      </c>
      <c r="G179" s="435">
        <f t="shared" si="27"/>
        <v>36.525979999999997</v>
      </c>
      <c r="H179" s="435">
        <f t="shared" si="27"/>
        <v>39694.067420000007</v>
      </c>
      <c r="I179" s="435">
        <f t="shared" si="27"/>
        <v>2352.0774200000001</v>
      </c>
      <c r="J179" s="435">
        <f t="shared" si="27"/>
        <v>59799.957460000005</v>
      </c>
      <c r="K179" s="435">
        <f t="shared" si="27"/>
        <v>38.224059999999994</v>
      </c>
      <c r="L179" s="435">
        <f t="shared" si="27"/>
        <v>702.93204000000003</v>
      </c>
      <c r="M179" s="435">
        <f t="shared" si="27"/>
        <v>21941.899710000002</v>
      </c>
      <c r="N179" s="435">
        <f t="shared" si="27"/>
        <v>134829.26090999998</v>
      </c>
      <c r="O179" s="435">
        <f t="shared" si="27"/>
        <v>73712.108772000007</v>
      </c>
      <c r="P179" s="435">
        <f t="shared" si="27"/>
        <v>70468.518289999978</v>
      </c>
      <c r="Q179" s="435">
        <f t="shared" si="27"/>
        <v>12828.59354</v>
      </c>
      <c r="R179" s="435">
        <f t="shared" si="27"/>
        <v>875.94010000000003</v>
      </c>
      <c r="S179" s="435">
        <f t="shared" si="27"/>
        <v>391868.57091999997</v>
      </c>
      <c r="T179" s="435">
        <f t="shared" si="27"/>
        <v>84070.876390000005</v>
      </c>
      <c r="U179" s="435">
        <f t="shared" si="27"/>
        <v>0</v>
      </c>
      <c r="V179" s="435">
        <f t="shared" si="27"/>
        <v>493.64834000000002</v>
      </c>
      <c r="W179" s="435">
        <f t="shared" si="27"/>
        <v>0</v>
      </c>
      <c r="X179" s="435">
        <f t="shared" si="27"/>
        <v>171122.95585</v>
      </c>
      <c r="Y179" s="435">
        <f t="shared" si="27"/>
        <v>145765.302</v>
      </c>
      <c r="Z179" s="435">
        <f t="shared" si="27"/>
        <v>5635</v>
      </c>
      <c r="AA179" s="435">
        <f t="shared" si="27"/>
        <v>143630.75341</v>
      </c>
      <c r="AB179" s="435">
        <f t="shared" si="27"/>
        <v>2397.0823300000002</v>
      </c>
      <c r="AC179" s="440">
        <f t="shared" si="27"/>
        <v>98310.423459999991</v>
      </c>
      <c r="AD179" s="441">
        <f>SUM(C179:AC179)</f>
        <v>1513949.8025319995</v>
      </c>
      <c r="AE179" s="109"/>
    </row>
    <row r="180" spans="1:31" x14ac:dyDescent="0.2">
      <c r="C180" s="165"/>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row>
    <row r="181" spans="1:31" x14ac:dyDescent="0.2">
      <c r="A181" s="45" t="s">
        <v>209</v>
      </c>
      <c r="B181" s="43"/>
      <c r="C181" s="165"/>
      <c r="D181" s="166"/>
      <c r="E181" s="165"/>
      <c r="F181" s="165"/>
      <c r="G181" s="165"/>
      <c r="H181" s="165"/>
      <c r="I181" s="167"/>
      <c r="J181" s="167"/>
      <c r="K181" s="167"/>
      <c r="L181" s="167"/>
      <c r="M181" s="167"/>
      <c r="N181" s="166"/>
      <c r="O181" s="167"/>
      <c r="P181" s="166"/>
      <c r="Q181" s="166"/>
      <c r="R181" s="166"/>
      <c r="S181" s="166"/>
      <c r="T181" s="166"/>
      <c r="U181" s="166"/>
      <c r="V181" s="166"/>
      <c r="W181" s="166"/>
      <c r="X181" s="166"/>
      <c r="Y181" s="166"/>
      <c r="Z181" s="166"/>
      <c r="AA181" s="166"/>
      <c r="AB181" s="166"/>
      <c r="AC181" s="166"/>
      <c r="AD181" s="463"/>
    </row>
    <row r="182" spans="1:31" x14ac:dyDescent="0.2">
      <c r="A182" s="45" t="s">
        <v>210</v>
      </c>
      <c r="B182" s="43"/>
      <c r="C182" s="165"/>
      <c r="D182" s="166"/>
      <c r="E182" s="165"/>
      <c r="F182" s="165"/>
      <c r="G182" s="165"/>
      <c r="H182" s="165"/>
      <c r="I182" s="167"/>
      <c r="J182" s="167"/>
      <c r="K182" s="167"/>
      <c r="L182" s="167"/>
      <c r="M182" s="167"/>
      <c r="N182" s="166"/>
      <c r="O182" s="166"/>
      <c r="P182" s="166"/>
      <c r="Q182" s="166"/>
      <c r="R182" s="166"/>
      <c r="S182" s="166"/>
      <c r="T182" s="166"/>
      <c r="U182" s="166"/>
      <c r="V182" s="166"/>
      <c r="W182" s="166"/>
      <c r="X182" s="166"/>
      <c r="Y182" s="166"/>
      <c r="Z182" s="166"/>
      <c r="AA182" s="166"/>
      <c r="AB182" s="166"/>
      <c r="AC182" s="166"/>
      <c r="AD182" s="166"/>
    </row>
    <row r="183" spans="1:31" x14ac:dyDescent="0.2">
      <c r="A183" s="45"/>
      <c r="C183" s="165"/>
      <c r="D183" s="166"/>
      <c r="E183" s="165"/>
      <c r="F183" s="166"/>
      <c r="G183" s="166"/>
      <c r="H183" s="166"/>
      <c r="I183" s="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row>
    <row r="184" spans="1:31" x14ac:dyDescent="0.2">
      <c r="A184" s="45" t="s">
        <v>178</v>
      </c>
      <c r="C184" s="165"/>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row>
    <row r="185" spans="1:31" x14ac:dyDescent="0.2">
      <c r="C185" s="165"/>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row>
    <row r="186" spans="1:31" ht="20.25" x14ac:dyDescent="0.2">
      <c r="A186" s="177"/>
    </row>
  </sheetData>
  <sheetProtection formatCells="0" formatColumns="0" formatRows="0"/>
  <mergeCells count="21">
    <mergeCell ref="A14:B14"/>
    <mergeCell ref="A20:B20"/>
    <mergeCell ref="A28:B28"/>
    <mergeCell ref="A37:B37"/>
    <mergeCell ref="A47:B47"/>
    <mergeCell ref="A102:B102"/>
    <mergeCell ref="A53:B53"/>
    <mergeCell ref="A60:B60"/>
    <mergeCell ref="A96:B96"/>
    <mergeCell ref="A79:B79"/>
    <mergeCell ref="A92:B92"/>
    <mergeCell ref="A94:B94"/>
    <mergeCell ref="A72:B72"/>
    <mergeCell ref="A178:B178"/>
    <mergeCell ref="A175:B175"/>
    <mergeCell ref="A126:B126"/>
    <mergeCell ref="A148:B148"/>
    <mergeCell ref="A164:B164"/>
    <mergeCell ref="A176:B176"/>
    <mergeCell ref="A165:B165"/>
    <mergeCell ref="A149:B149"/>
  </mergeCells>
  <phoneticPr fontId="0" type="noConversion"/>
  <printOptions horizontalCentered="1"/>
  <pageMargins left="0.15748031496062992" right="0.15748031496062992" top="0.6692913385826772" bottom="0.39370078740157483" header="0.51181102362204722" footer="0.39370078740157483"/>
  <pageSetup paperSize="8" scale="40"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86"/>
  <sheetViews>
    <sheetView showGridLines="0" showZeros="0" zoomScale="75" zoomScaleNormal="75" workbookViewId="0">
      <pane xSplit="2" ySplit="4" topLeftCell="J158" activePane="bottomRight" state="frozen"/>
      <selection activeCell="I10" sqref="I10"/>
      <selection pane="topRight" activeCell="I10" sqref="I10"/>
      <selection pane="bottomLeft" activeCell="I10" sqref="I10"/>
      <selection pane="bottomRight" activeCell="S191" sqref="S191"/>
    </sheetView>
  </sheetViews>
  <sheetFormatPr defaultRowHeight="14.25" x14ac:dyDescent="0.2"/>
  <cols>
    <col min="1" max="1" width="13.140625" style="48" customWidth="1"/>
    <col min="2" max="2" width="78.42578125" style="48" customWidth="1"/>
    <col min="3" max="3" width="4.140625" style="48" bestFit="1" customWidth="1"/>
    <col min="4" max="4" width="6.42578125" style="116" bestFit="1" customWidth="1"/>
    <col min="5" max="5" width="7.5703125" style="116" bestFit="1" customWidth="1"/>
    <col min="6" max="18" width="8.7109375" style="48" customWidth="1"/>
    <col min="19" max="19" width="10" style="48" customWidth="1"/>
    <col min="20" max="29" width="8.7109375" style="48" customWidth="1"/>
    <col min="30" max="30" width="13" style="48" customWidth="1"/>
    <col min="31" max="16384" width="9.140625" style="113"/>
  </cols>
  <sheetData>
    <row r="1" spans="1:30" s="88" customFormat="1" ht="18" x14ac:dyDescent="0.2">
      <c r="A1" s="36" t="str">
        <f>"Verdelingsmatrix provincie "&amp;+'[1]4.Informatie'!C5&amp;" ("&amp;'[1]4.Informatie'!C6&amp;"): "&amp;'[1]4.Informatie'!C7&amp;" periode "&amp;'[1]4.Informatie'!C8&amp;", baten"</f>
        <v>Verdelingsmatrix provincie Groningen (0001): 2015 periode 3, baten</v>
      </c>
      <c r="B1" s="37"/>
      <c r="C1" s="126" t="s">
        <v>28</v>
      </c>
      <c r="D1" s="126" t="s">
        <v>343</v>
      </c>
      <c r="E1" s="38" t="s">
        <v>344</v>
      </c>
      <c r="F1" s="38" t="s">
        <v>29</v>
      </c>
      <c r="G1" s="38" t="s">
        <v>220</v>
      </c>
      <c r="H1" s="38" t="s">
        <v>221</v>
      </c>
      <c r="I1" s="38" t="s">
        <v>31</v>
      </c>
      <c r="J1" s="38" t="s">
        <v>345</v>
      </c>
      <c r="K1" s="38" t="s">
        <v>346</v>
      </c>
      <c r="L1" s="38" t="s">
        <v>33</v>
      </c>
      <c r="M1" s="38" t="s">
        <v>34</v>
      </c>
      <c r="N1" s="38" t="s">
        <v>180</v>
      </c>
      <c r="O1" s="38" t="s">
        <v>181</v>
      </c>
      <c r="P1" s="38" t="s">
        <v>36</v>
      </c>
      <c r="Q1" s="38" t="s">
        <v>37</v>
      </c>
      <c r="R1" s="38" t="s">
        <v>224</v>
      </c>
      <c r="S1" s="38" t="s">
        <v>44</v>
      </c>
      <c r="T1" s="38" t="s">
        <v>225</v>
      </c>
      <c r="U1" s="38" t="s">
        <v>226</v>
      </c>
      <c r="V1" s="38" t="s">
        <v>227</v>
      </c>
      <c r="W1" s="38" t="s">
        <v>228</v>
      </c>
      <c r="X1" s="38" t="s">
        <v>229</v>
      </c>
      <c r="Y1" s="38" t="s">
        <v>230</v>
      </c>
      <c r="Z1" s="38" t="s">
        <v>231</v>
      </c>
      <c r="AA1" s="38" t="s">
        <v>232</v>
      </c>
      <c r="AB1" s="38" t="s">
        <v>233</v>
      </c>
      <c r="AC1" s="39" t="s">
        <v>234</v>
      </c>
      <c r="AD1" s="40"/>
    </row>
    <row r="2" spans="1:30" ht="125.25" customHeight="1" thickBot="1" x14ac:dyDescent="0.3">
      <c r="A2" s="41" t="s">
        <v>46</v>
      </c>
      <c r="B2" s="42" t="s">
        <v>47</v>
      </c>
      <c r="C2" s="157" t="s">
        <v>392</v>
      </c>
      <c r="D2" s="159" t="s">
        <v>185</v>
      </c>
      <c r="E2" s="160" t="s">
        <v>186</v>
      </c>
      <c r="F2" s="160" t="s">
        <v>347</v>
      </c>
      <c r="G2" s="160" t="s">
        <v>348</v>
      </c>
      <c r="H2" s="160" t="s">
        <v>349</v>
      </c>
      <c r="I2" s="160" t="s">
        <v>350</v>
      </c>
      <c r="J2" s="160" t="s">
        <v>183</v>
      </c>
      <c r="K2" s="160" t="s">
        <v>351</v>
      </c>
      <c r="L2" s="160" t="s">
        <v>184</v>
      </c>
      <c r="M2" s="160" t="s">
        <v>352</v>
      </c>
      <c r="N2" s="160" t="s">
        <v>353</v>
      </c>
      <c r="O2" s="160" t="s">
        <v>354</v>
      </c>
      <c r="P2" s="163" t="s">
        <v>355</v>
      </c>
      <c r="Q2" s="160" t="s">
        <v>356</v>
      </c>
      <c r="R2" s="160" t="s">
        <v>243</v>
      </c>
      <c r="S2" s="160" t="s">
        <v>244</v>
      </c>
      <c r="T2" s="160" t="s">
        <v>245</v>
      </c>
      <c r="U2" s="160" t="s">
        <v>52</v>
      </c>
      <c r="V2" s="160" t="s">
        <v>246</v>
      </c>
      <c r="W2" s="160" t="s">
        <v>53</v>
      </c>
      <c r="X2" s="160" t="s">
        <v>54</v>
      </c>
      <c r="Y2" s="160" t="s">
        <v>55</v>
      </c>
      <c r="Z2" s="160" t="s">
        <v>56</v>
      </c>
      <c r="AA2" s="160" t="s">
        <v>57</v>
      </c>
      <c r="AB2" s="160" t="s">
        <v>247</v>
      </c>
      <c r="AC2" s="161" t="s">
        <v>58</v>
      </c>
      <c r="AD2" s="162" t="s">
        <v>364</v>
      </c>
    </row>
    <row r="3" spans="1:30" s="89" customFormat="1" ht="2.25" customHeight="1" x14ac:dyDescent="0.2">
      <c r="A3" s="90"/>
      <c r="B3" s="12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93"/>
      <c r="AD3" s="158"/>
    </row>
    <row r="4" spans="1:30" s="89" customFormat="1" ht="2.25" customHeight="1" x14ac:dyDescent="0.2">
      <c r="A4" s="91"/>
      <c r="B4" s="128"/>
      <c r="C4" s="117"/>
      <c r="D4" s="117"/>
      <c r="E4" s="117"/>
      <c r="F4" s="117"/>
      <c r="G4" s="117"/>
      <c r="H4" s="117"/>
      <c r="I4" s="117"/>
      <c r="J4" s="117"/>
      <c r="K4" s="117"/>
      <c r="L4" s="117"/>
      <c r="M4" s="118"/>
      <c r="N4" s="117"/>
      <c r="O4" s="117"/>
      <c r="P4" s="117"/>
      <c r="Q4" s="117"/>
      <c r="R4" s="118"/>
      <c r="S4" s="117"/>
      <c r="T4" s="118"/>
      <c r="U4" s="118"/>
      <c r="V4" s="118"/>
      <c r="W4" s="118"/>
      <c r="X4" s="118"/>
      <c r="Y4" s="118"/>
      <c r="Z4" s="117"/>
      <c r="AA4" s="118"/>
      <c r="AB4" s="117"/>
      <c r="AC4" s="92"/>
      <c r="AD4" s="94"/>
    </row>
    <row r="5" spans="1:30" s="45" customFormat="1" ht="15" x14ac:dyDescent="0.2">
      <c r="A5" s="464" t="s">
        <v>62</v>
      </c>
      <c r="B5" s="129" t="s">
        <v>60</v>
      </c>
      <c r="C5" s="164"/>
      <c r="D5" s="164"/>
      <c r="E5" s="415"/>
      <c r="F5" s="416"/>
      <c r="G5" s="416"/>
      <c r="H5" s="416"/>
      <c r="I5" s="416"/>
      <c r="J5" s="416"/>
      <c r="K5" s="416"/>
      <c r="L5" s="416"/>
      <c r="M5" s="416"/>
      <c r="N5" s="416"/>
      <c r="O5" s="416"/>
      <c r="P5" s="416"/>
      <c r="Q5" s="416"/>
      <c r="R5" s="416"/>
      <c r="S5" s="416"/>
      <c r="T5" s="415"/>
      <c r="U5" s="415"/>
      <c r="V5" s="415"/>
      <c r="W5" s="415"/>
      <c r="X5" s="415"/>
      <c r="Y5" s="415"/>
      <c r="Z5" s="416"/>
      <c r="AA5" s="415"/>
      <c r="AB5" s="416"/>
      <c r="AC5" s="417"/>
      <c r="AD5" s="418"/>
    </row>
    <row r="6" spans="1:30" s="45" customFormat="1" x14ac:dyDescent="0.2">
      <c r="A6" s="95" t="s">
        <v>248</v>
      </c>
      <c r="B6" s="465" t="s">
        <v>249</v>
      </c>
      <c r="C6" s="407"/>
      <c r="D6" s="52"/>
      <c r="E6" s="419"/>
      <c r="F6" s="420"/>
      <c r="G6" s="420"/>
      <c r="H6" s="420"/>
      <c r="I6" s="420"/>
      <c r="J6" s="420"/>
      <c r="K6" s="420"/>
      <c r="L6" s="420"/>
      <c r="M6" s="420"/>
      <c r="N6" s="420"/>
      <c r="O6" s="420"/>
      <c r="P6" s="420"/>
      <c r="Q6" s="420"/>
      <c r="R6" s="420"/>
      <c r="S6" s="420"/>
      <c r="T6" s="421"/>
      <c r="U6" s="421"/>
      <c r="V6" s="421"/>
      <c r="W6" s="421"/>
      <c r="X6" s="421"/>
      <c r="Y6" s="419"/>
      <c r="Z6" s="420"/>
      <c r="AA6" s="419"/>
      <c r="AB6" s="420"/>
      <c r="AC6" s="422"/>
      <c r="AD6" s="423">
        <f t="shared" ref="AD6:AD14" si="0">SUM(C6:AC6)</f>
        <v>0</v>
      </c>
    </row>
    <row r="7" spans="1:30" s="45" customFormat="1" x14ac:dyDescent="0.2">
      <c r="A7" s="95" t="s">
        <v>29</v>
      </c>
      <c r="B7" s="465" t="s">
        <v>250</v>
      </c>
      <c r="C7" s="407"/>
      <c r="D7" s="52"/>
      <c r="E7" s="419"/>
      <c r="F7" s="424"/>
      <c r="G7" s="424"/>
      <c r="H7" s="424"/>
      <c r="I7" s="424"/>
      <c r="J7" s="424"/>
      <c r="K7" s="424"/>
      <c r="L7" s="424">
        <f>235242.15/1000</f>
        <v>235.24214999999998</v>
      </c>
      <c r="M7" s="424"/>
      <c r="N7" s="424">
        <f>1018326.33/1000</f>
        <v>1018.32633</v>
      </c>
      <c r="O7" s="424">
        <f>14130.52/1000</f>
        <v>14.130520000000001</v>
      </c>
      <c r="P7" s="424"/>
      <c r="Q7" s="424"/>
      <c r="R7" s="424"/>
      <c r="S7" s="424">
        <f>74751.52/1000</f>
        <v>74.751519999999999</v>
      </c>
      <c r="T7" s="421"/>
      <c r="U7" s="421"/>
      <c r="V7" s="421"/>
      <c r="W7" s="421"/>
      <c r="X7" s="421"/>
      <c r="Y7" s="419"/>
      <c r="Z7" s="424"/>
      <c r="AA7" s="419"/>
      <c r="AB7" s="424"/>
      <c r="AC7" s="422"/>
      <c r="AD7" s="423">
        <f t="shared" si="0"/>
        <v>1342.4505199999999</v>
      </c>
    </row>
    <row r="8" spans="1:30" s="45" customFormat="1" x14ac:dyDescent="0.2">
      <c r="A8" s="95" t="s">
        <v>30</v>
      </c>
      <c r="B8" s="465" t="s">
        <v>251</v>
      </c>
      <c r="C8" s="407"/>
      <c r="D8" s="52"/>
      <c r="E8" s="419"/>
      <c r="F8" s="424"/>
      <c r="G8" s="424"/>
      <c r="H8" s="424"/>
      <c r="I8" s="424"/>
      <c r="J8" s="424"/>
      <c r="K8" s="424"/>
      <c r="L8" s="424"/>
      <c r="M8" s="424"/>
      <c r="N8" s="424"/>
      <c r="O8" s="424"/>
      <c r="P8" s="424"/>
      <c r="Q8" s="424"/>
      <c r="R8" s="424"/>
      <c r="S8" s="424"/>
      <c r="T8" s="421"/>
      <c r="U8" s="421"/>
      <c r="V8" s="421"/>
      <c r="W8" s="421"/>
      <c r="X8" s="421"/>
      <c r="Y8" s="419"/>
      <c r="Z8" s="424"/>
      <c r="AA8" s="419"/>
      <c r="AB8" s="424"/>
      <c r="AC8" s="422"/>
      <c r="AD8" s="423">
        <f t="shared" si="0"/>
        <v>0</v>
      </c>
    </row>
    <row r="9" spans="1:30" s="45" customFormat="1" x14ac:dyDescent="0.2">
      <c r="A9" s="95" t="s">
        <v>252</v>
      </c>
      <c r="B9" s="465" t="s">
        <v>253</v>
      </c>
      <c r="C9" s="407"/>
      <c r="D9" s="52"/>
      <c r="E9" s="419"/>
      <c r="F9" s="424"/>
      <c r="G9" s="424"/>
      <c r="H9" s="424"/>
      <c r="I9" s="424"/>
      <c r="J9" s="424"/>
      <c r="K9" s="424"/>
      <c r="L9" s="424"/>
      <c r="M9" s="424"/>
      <c r="N9" s="424"/>
      <c r="O9" s="424"/>
      <c r="P9" s="424"/>
      <c r="Q9" s="424"/>
      <c r="R9" s="424"/>
      <c r="S9" s="424"/>
      <c r="T9" s="421"/>
      <c r="U9" s="421"/>
      <c r="V9" s="421"/>
      <c r="W9" s="421"/>
      <c r="X9" s="421"/>
      <c r="Y9" s="419"/>
      <c r="Z9" s="424"/>
      <c r="AA9" s="419"/>
      <c r="AB9" s="424"/>
      <c r="AC9" s="422"/>
      <c r="AD9" s="423">
        <f t="shared" si="0"/>
        <v>0</v>
      </c>
    </row>
    <row r="10" spans="1:30" s="45" customFormat="1" x14ac:dyDescent="0.2">
      <c r="A10" s="95" t="s">
        <v>254</v>
      </c>
      <c r="B10" s="465" t="s">
        <v>255</v>
      </c>
      <c r="C10" s="407"/>
      <c r="D10" s="52"/>
      <c r="E10" s="419"/>
      <c r="F10" s="424"/>
      <c r="G10" s="424"/>
      <c r="H10" s="424"/>
      <c r="I10" s="424"/>
      <c r="J10" s="424"/>
      <c r="K10" s="424"/>
      <c r="L10" s="424"/>
      <c r="M10" s="424"/>
      <c r="N10" s="424"/>
      <c r="O10" s="424"/>
      <c r="P10" s="424"/>
      <c r="Q10" s="424"/>
      <c r="R10" s="424"/>
      <c r="S10" s="424"/>
      <c r="T10" s="421"/>
      <c r="U10" s="421"/>
      <c r="V10" s="421"/>
      <c r="W10" s="421"/>
      <c r="X10" s="421"/>
      <c r="Y10" s="419"/>
      <c r="Z10" s="424"/>
      <c r="AA10" s="419"/>
      <c r="AB10" s="424"/>
      <c r="AC10" s="422"/>
      <c r="AD10" s="423">
        <f t="shared" si="0"/>
        <v>0</v>
      </c>
    </row>
    <row r="11" spans="1:30" s="45" customFormat="1" x14ac:dyDescent="0.2">
      <c r="A11" s="95" t="s">
        <v>256</v>
      </c>
      <c r="B11" s="465" t="s">
        <v>257</v>
      </c>
      <c r="C11" s="407"/>
      <c r="D11" s="52"/>
      <c r="E11" s="419"/>
      <c r="F11" s="424"/>
      <c r="G11" s="424"/>
      <c r="H11" s="424"/>
      <c r="I11" s="424"/>
      <c r="J11" s="424"/>
      <c r="K11" s="424"/>
      <c r="L11" s="424">
        <f>44895/1000</f>
        <v>44.895000000000003</v>
      </c>
      <c r="M11" s="424"/>
      <c r="N11" s="424"/>
      <c r="O11" s="424"/>
      <c r="P11" s="424"/>
      <c r="Q11" s="424"/>
      <c r="R11" s="424"/>
      <c r="S11" s="424"/>
      <c r="T11" s="421"/>
      <c r="U11" s="421"/>
      <c r="V11" s="421"/>
      <c r="W11" s="421"/>
      <c r="X11" s="421"/>
      <c r="Y11" s="419"/>
      <c r="Z11" s="424"/>
      <c r="AA11" s="419"/>
      <c r="AB11" s="424"/>
      <c r="AC11" s="422"/>
      <c r="AD11" s="423">
        <f t="shared" si="0"/>
        <v>44.895000000000003</v>
      </c>
    </row>
    <row r="12" spans="1:30" s="45" customFormat="1" x14ac:dyDescent="0.2">
      <c r="A12" s="95" t="s">
        <v>258</v>
      </c>
      <c r="B12" s="465" t="s">
        <v>259</v>
      </c>
      <c r="C12" s="407"/>
      <c r="D12" s="52"/>
      <c r="E12" s="419"/>
      <c r="F12" s="424"/>
      <c r="G12" s="424"/>
      <c r="H12" s="424"/>
      <c r="I12" s="424"/>
      <c r="J12" s="424"/>
      <c r="K12" s="424"/>
      <c r="L12" s="424">
        <f>67383.9/1000</f>
        <v>67.383899999999997</v>
      </c>
      <c r="M12" s="424"/>
      <c r="N12" s="424"/>
      <c r="O12" s="424"/>
      <c r="P12" s="424"/>
      <c r="Q12" s="424"/>
      <c r="R12" s="424"/>
      <c r="S12" s="424">
        <f>197348/1000</f>
        <v>197.34800000000001</v>
      </c>
      <c r="T12" s="421"/>
      <c r="U12" s="421"/>
      <c r="V12" s="421"/>
      <c r="W12" s="421"/>
      <c r="X12" s="421"/>
      <c r="Y12" s="419"/>
      <c r="Z12" s="424"/>
      <c r="AA12" s="419"/>
      <c r="AB12" s="424"/>
      <c r="AC12" s="422"/>
      <c r="AD12" s="423">
        <f t="shared" si="0"/>
        <v>264.7319</v>
      </c>
    </row>
    <row r="13" spans="1:30" s="45" customFormat="1" x14ac:dyDescent="0.2">
      <c r="A13" s="95" t="s">
        <v>260</v>
      </c>
      <c r="B13" s="465" t="s">
        <v>261</v>
      </c>
      <c r="C13" s="407"/>
      <c r="D13" s="52"/>
      <c r="E13" s="419"/>
      <c r="F13" s="425"/>
      <c r="G13" s="425">
        <f>3500/1000</f>
        <v>3.5</v>
      </c>
      <c r="H13" s="425"/>
      <c r="I13" s="425"/>
      <c r="J13" s="425">
        <f>232316.45/1000</f>
        <v>232.31645</v>
      </c>
      <c r="K13" s="425">
        <f>20400/1000</f>
        <v>20.399999999999999</v>
      </c>
      <c r="L13" s="425">
        <f>11496231.76/1000</f>
        <v>11496.231760000001</v>
      </c>
      <c r="M13" s="425"/>
      <c r="N13" s="425">
        <f>265873.31/1000</f>
        <v>265.87331</v>
      </c>
      <c r="O13" s="425">
        <f>708253.93/1000</f>
        <v>708.25393000000008</v>
      </c>
      <c r="P13" s="425"/>
      <c r="Q13" s="425"/>
      <c r="R13" s="425"/>
      <c r="S13" s="425">
        <f>11672.5/1000</f>
        <v>11.672499999999999</v>
      </c>
      <c r="T13" s="421"/>
      <c r="U13" s="421"/>
      <c r="V13" s="421"/>
      <c r="W13" s="421"/>
      <c r="X13" s="421"/>
      <c r="Y13" s="419"/>
      <c r="Z13" s="425"/>
      <c r="AA13" s="419"/>
      <c r="AB13" s="425"/>
      <c r="AC13" s="426"/>
      <c r="AD13" s="427">
        <f t="shared" si="0"/>
        <v>12738.247950000003</v>
      </c>
    </row>
    <row r="14" spans="1:30" s="45" customFormat="1" ht="15" x14ac:dyDescent="0.2">
      <c r="A14" s="508" t="s">
        <v>65</v>
      </c>
      <c r="B14" s="509"/>
      <c r="C14" s="407">
        <f>SUM(C6:C13)</f>
        <v>0</v>
      </c>
      <c r="D14" s="52">
        <f t="shared" ref="D14:AC14" si="1">SUM(D6:D13)</f>
        <v>0</v>
      </c>
      <c r="E14" s="419">
        <f t="shared" si="1"/>
        <v>0</v>
      </c>
      <c r="F14" s="424">
        <f t="shared" si="1"/>
        <v>0</v>
      </c>
      <c r="G14" s="424">
        <f t="shared" si="1"/>
        <v>3.5</v>
      </c>
      <c r="H14" s="424">
        <f t="shared" si="1"/>
        <v>0</v>
      </c>
      <c r="I14" s="424">
        <f t="shared" si="1"/>
        <v>0</v>
      </c>
      <c r="J14" s="424">
        <f t="shared" si="1"/>
        <v>232.31645</v>
      </c>
      <c r="K14" s="424">
        <f t="shared" si="1"/>
        <v>20.399999999999999</v>
      </c>
      <c r="L14" s="424">
        <f t="shared" si="1"/>
        <v>11843.75281</v>
      </c>
      <c r="M14" s="424">
        <f t="shared" si="1"/>
        <v>0</v>
      </c>
      <c r="N14" s="424">
        <f t="shared" si="1"/>
        <v>1284.19964</v>
      </c>
      <c r="O14" s="424">
        <f t="shared" si="1"/>
        <v>722.38445000000013</v>
      </c>
      <c r="P14" s="424">
        <f t="shared" si="1"/>
        <v>0</v>
      </c>
      <c r="Q14" s="424">
        <f t="shared" si="1"/>
        <v>0</v>
      </c>
      <c r="R14" s="424">
        <f t="shared" si="1"/>
        <v>0</v>
      </c>
      <c r="S14" s="424">
        <f t="shared" si="1"/>
        <v>283.77202</v>
      </c>
      <c r="T14" s="421">
        <f t="shared" si="1"/>
        <v>0</v>
      </c>
      <c r="U14" s="421">
        <f t="shared" si="1"/>
        <v>0</v>
      </c>
      <c r="V14" s="421">
        <f t="shared" si="1"/>
        <v>0</v>
      </c>
      <c r="W14" s="421">
        <f t="shared" si="1"/>
        <v>0</v>
      </c>
      <c r="X14" s="421">
        <f t="shared" si="1"/>
        <v>0</v>
      </c>
      <c r="Y14" s="419">
        <f t="shared" si="1"/>
        <v>0</v>
      </c>
      <c r="Z14" s="424">
        <f t="shared" si="1"/>
        <v>0</v>
      </c>
      <c r="AA14" s="419">
        <f t="shared" si="1"/>
        <v>0</v>
      </c>
      <c r="AB14" s="424">
        <f t="shared" si="1"/>
        <v>0</v>
      </c>
      <c r="AC14" s="422">
        <f t="shared" si="1"/>
        <v>0</v>
      </c>
      <c r="AD14" s="423">
        <f t="shared" si="0"/>
        <v>14390.32537</v>
      </c>
    </row>
    <row r="15" spans="1:30" s="45" customFormat="1" x14ac:dyDescent="0.2">
      <c r="A15" s="98"/>
      <c r="B15" s="47"/>
      <c r="C15" s="53"/>
      <c r="D15" s="53"/>
      <c r="E15" s="428"/>
      <c r="F15" s="429"/>
      <c r="G15" s="429"/>
      <c r="H15" s="429"/>
      <c r="I15" s="429"/>
      <c r="J15" s="429"/>
      <c r="K15" s="429"/>
      <c r="L15" s="429"/>
      <c r="M15" s="429"/>
      <c r="N15" s="429"/>
      <c r="O15" s="429"/>
      <c r="P15" s="429"/>
      <c r="Q15" s="429"/>
      <c r="R15" s="429"/>
      <c r="S15" s="429"/>
      <c r="T15" s="428"/>
      <c r="U15" s="428"/>
      <c r="V15" s="428"/>
      <c r="W15" s="428"/>
      <c r="X15" s="428"/>
      <c r="Y15" s="428"/>
      <c r="Z15" s="429"/>
      <c r="AA15" s="428"/>
      <c r="AB15" s="429"/>
      <c r="AC15" s="429"/>
      <c r="AD15" s="430"/>
    </row>
    <row r="16" spans="1:30" s="45" customFormat="1" ht="15" x14ac:dyDescent="0.2">
      <c r="A16" s="100" t="s">
        <v>66</v>
      </c>
      <c r="B16" s="131" t="s">
        <v>63</v>
      </c>
      <c r="C16" s="407"/>
      <c r="D16" s="101"/>
      <c r="E16" s="431"/>
      <c r="F16" s="429"/>
      <c r="G16" s="429"/>
      <c r="H16" s="429"/>
      <c r="I16" s="429"/>
      <c r="J16" s="429"/>
      <c r="K16" s="429"/>
      <c r="L16" s="429"/>
      <c r="M16" s="429"/>
      <c r="N16" s="429"/>
      <c r="O16" s="429"/>
      <c r="P16" s="429"/>
      <c r="Q16" s="429"/>
      <c r="R16" s="429"/>
      <c r="S16" s="429"/>
      <c r="T16" s="431"/>
      <c r="U16" s="431"/>
      <c r="V16" s="431"/>
      <c r="W16" s="431"/>
      <c r="X16" s="431"/>
      <c r="Y16" s="431"/>
      <c r="Z16" s="429"/>
      <c r="AA16" s="431"/>
      <c r="AB16" s="429"/>
      <c r="AC16" s="429"/>
      <c r="AD16" s="430"/>
    </row>
    <row r="17" spans="1:30" s="45" customFormat="1" x14ac:dyDescent="0.2">
      <c r="A17" s="95" t="s">
        <v>262</v>
      </c>
      <c r="B17" s="465" t="s">
        <v>263</v>
      </c>
      <c r="C17" s="407"/>
      <c r="D17" s="52"/>
      <c r="E17" s="419"/>
      <c r="F17" s="420"/>
      <c r="G17" s="420"/>
      <c r="H17" s="420"/>
      <c r="I17" s="420"/>
      <c r="J17" s="420"/>
      <c r="K17" s="420"/>
      <c r="L17" s="420"/>
      <c r="M17" s="420"/>
      <c r="N17" s="420">
        <f>34400/1000</f>
        <v>34.4</v>
      </c>
      <c r="O17" s="420"/>
      <c r="P17" s="420"/>
      <c r="Q17" s="420"/>
      <c r="R17" s="420"/>
      <c r="S17" s="420"/>
      <c r="T17" s="421"/>
      <c r="U17" s="421"/>
      <c r="V17" s="421"/>
      <c r="W17" s="421"/>
      <c r="X17" s="421"/>
      <c r="Y17" s="419"/>
      <c r="Z17" s="420"/>
      <c r="AA17" s="419"/>
      <c r="AB17" s="420"/>
      <c r="AC17" s="422"/>
      <c r="AD17" s="423">
        <f>SUM(C17:AC17)</f>
        <v>34.4</v>
      </c>
    </row>
    <row r="18" spans="1:30" s="45" customFormat="1" x14ac:dyDescent="0.2">
      <c r="A18" s="95" t="s">
        <v>31</v>
      </c>
      <c r="B18" s="465" t="s">
        <v>64</v>
      </c>
      <c r="C18" s="407"/>
      <c r="D18" s="52"/>
      <c r="E18" s="419"/>
      <c r="F18" s="424"/>
      <c r="G18" s="424"/>
      <c r="H18" s="424"/>
      <c r="I18" s="424"/>
      <c r="J18" s="424"/>
      <c r="K18" s="424"/>
      <c r="L18" s="424"/>
      <c r="M18" s="424"/>
      <c r="N18" s="424"/>
      <c r="O18" s="424"/>
      <c r="P18" s="424"/>
      <c r="Q18" s="424"/>
      <c r="R18" s="424"/>
      <c r="S18" s="424"/>
      <c r="T18" s="421"/>
      <c r="U18" s="421"/>
      <c r="V18" s="421"/>
      <c r="W18" s="421"/>
      <c r="X18" s="421"/>
      <c r="Y18" s="419"/>
      <c r="Z18" s="424"/>
      <c r="AA18" s="419"/>
      <c r="AB18" s="424"/>
      <c r="AC18" s="422"/>
      <c r="AD18" s="423">
        <f>SUM(C18:AC18)</f>
        <v>0</v>
      </c>
    </row>
    <row r="19" spans="1:30" s="45" customFormat="1" x14ac:dyDescent="0.2">
      <c r="A19" s="95" t="s">
        <v>32</v>
      </c>
      <c r="B19" s="465" t="s">
        <v>264</v>
      </c>
      <c r="C19" s="407"/>
      <c r="D19" s="52"/>
      <c r="E19" s="419"/>
      <c r="F19" s="425"/>
      <c r="G19" s="425"/>
      <c r="H19" s="425"/>
      <c r="I19" s="425"/>
      <c r="J19" s="425"/>
      <c r="K19" s="425"/>
      <c r="L19" s="425"/>
      <c r="M19" s="425"/>
      <c r="N19" s="425"/>
      <c r="O19" s="425"/>
      <c r="P19" s="425"/>
      <c r="Q19" s="425"/>
      <c r="R19" s="425"/>
      <c r="S19" s="425"/>
      <c r="T19" s="421"/>
      <c r="U19" s="421"/>
      <c r="V19" s="421"/>
      <c r="W19" s="421"/>
      <c r="X19" s="421"/>
      <c r="Y19" s="419"/>
      <c r="Z19" s="425"/>
      <c r="AA19" s="419"/>
      <c r="AB19" s="425"/>
      <c r="AC19" s="426"/>
      <c r="AD19" s="427">
        <f>SUM(C19:AC19)</f>
        <v>0</v>
      </c>
    </row>
    <row r="20" spans="1:30" s="45" customFormat="1" ht="15" x14ac:dyDescent="0.2">
      <c r="A20" s="508" t="s">
        <v>67</v>
      </c>
      <c r="B20" s="509"/>
      <c r="C20" s="407">
        <f>SUM(C17:C19)</f>
        <v>0</v>
      </c>
      <c r="D20" s="52">
        <f t="shared" ref="D20:AC20" si="2">SUM(D17:D19)</f>
        <v>0</v>
      </c>
      <c r="E20" s="419">
        <f t="shared" si="2"/>
        <v>0</v>
      </c>
      <c r="F20" s="424">
        <f t="shared" si="2"/>
        <v>0</v>
      </c>
      <c r="G20" s="424">
        <f t="shared" si="2"/>
        <v>0</v>
      </c>
      <c r="H20" s="424">
        <f t="shared" si="2"/>
        <v>0</v>
      </c>
      <c r="I20" s="424">
        <f t="shared" si="2"/>
        <v>0</v>
      </c>
      <c r="J20" s="424">
        <f t="shared" si="2"/>
        <v>0</v>
      </c>
      <c r="K20" s="424">
        <f t="shared" si="2"/>
        <v>0</v>
      </c>
      <c r="L20" s="424">
        <f t="shared" si="2"/>
        <v>0</v>
      </c>
      <c r="M20" s="424">
        <f t="shared" si="2"/>
        <v>0</v>
      </c>
      <c r="N20" s="424">
        <f t="shared" si="2"/>
        <v>34.4</v>
      </c>
      <c r="O20" s="424">
        <f t="shared" si="2"/>
        <v>0</v>
      </c>
      <c r="P20" s="424">
        <f t="shared" si="2"/>
        <v>0</v>
      </c>
      <c r="Q20" s="424">
        <f t="shared" si="2"/>
        <v>0</v>
      </c>
      <c r="R20" s="424">
        <f t="shared" si="2"/>
        <v>0</v>
      </c>
      <c r="S20" s="424">
        <f t="shared" si="2"/>
        <v>0</v>
      </c>
      <c r="T20" s="421">
        <f t="shared" si="2"/>
        <v>0</v>
      </c>
      <c r="U20" s="421">
        <f t="shared" si="2"/>
        <v>0</v>
      </c>
      <c r="V20" s="421">
        <f t="shared" si="2"/>
        <v>0</v>
      </c>
      <c r="W20" s="421">
        <f t="shared" si="2"/>
        <v>0</v>
      </c>
      <c r="X20" s="421">
        <f t="shared" si="2"/>
        <v>0</v>
      </c>
      <c r="Y20" s="419">
        <f t="shared" si="2"/>
        <v>0</v>
      </c>
      <c r="Z20" s="424">
        <f t="shared" si="2"/>
        <v>0</v>
      </c>
      <c r="AA20" s="419">
        <f t="shared" si="2"/>
        <v>0</v>
      </c>
      <c r="AB20" s="424">
        <f t="shared" si="2"/>
        <v>0</v>
      </c>
      <c r="AC20" s="422">
        <f t="shared" si="2"/>
        <v>0</v>
      </c>
      <c r="AD20" s="423">
        <f>SUM(C20:AC20)</f>
        <v>34.4</v>
      </c>
    </row>
    <row r="21" spans="1:30" s="45" customFormat="1" x14ac:dyDescent="0.2">
      <c r="A21" s="98"/>
      <c r="B21" s="47"/>
      <c r="C21" s="407"/>
      <c r="D21" s="53"/>
      <c r="E21" s="428"/>
      <c r="F21" s="429"/>
      <c r="G21" s="429"/>
      <c r="H21" s="429"/>
      <c r="I21" s="429"/>
      <c r="J21" s="429"/>
      <c r="K21" s="429"/>
      <c r="L21" s="429"/>
      <c r="M21" s="429"/>
      <c r="N21" s="429"/>
      <c r="O21" s="429"/>
      <c r="P21" s="429"/>
      <c r="Q21" s="429"/>
      <c r="R21" s="429"/>
      <c r="S21" s="429"/>
      <c r="T21" s="428"/>
      <c r="U21" s="428"/>
      <c r="V21" s="428"/>
      <c r="W21" s="428"/>
      <c r="X21" s="428"/>
      <c r="Y21" s="428"/>
      <c r="Z21" s="429"/>
      <c r="AA21" s="428"/>
      <c r="AB21" s="429"/>
      <c r="AC21" s="429"/>
      <c r="AD21" s="430"/>
    </row>
    <row r="22" spans="1:30" s="45" customFormat="1" ht="15" x14ac:dyDescent="0.2">
      <c r="A22" s="100" t="s">
        <v>68</v>
      </c>
      <c r="B22" s="131" t="s">
        <v>265</v>
      </c>
      <c r="C22" s="101"/>
      <c r="D22" s="101"/>
      <c r="E22" s="431"/>
      <c r="F22" s="429"/>
      <c r="G22" s="429"/>
      <c r="H22" s="429"/>
      <c r="I22" s="429"/>
      <c r="J22" s="429"/>
      <c r="K22" s="429"/>
      <c r="L22" s="429"/>
      <c r="M22" s="429"/>
      <c r="N22" s="429"/>
      <c r="O22" s="429"/>
      <c r="P22" s="429"/>
      <c r="Q22" s="429"/>
      <c r="R22" s="429"/>
      <c r="S22" s="429"/>
      <c r="T22" s="431"/>
      <c r="U22" s="431"/>
      <c r="V22" s="431"/>
      <c r="W22" s="431"/>
      <c r="X22" s="431"/>
      <c r="Y22" s="431"/>
      <c r="Z22" s="429"/>
      <c r="AA22" s="431"/>
      <c r="AB22" s="429"/>
      <c r="AC22" s="429"/>
      <c r="AD22" s="430"/>
    </row>
    <row r="23" spans="1:30" s="45" customFormat="1" x14ac:dyDescent="0.2">
      <c r="A23" s="95" t="s">
        <v>34</v>
      </c>
      <c r="B23" s="465" t="s">
        <v>266</v>
      </c>
      <c r="C23" s="407"/>
      <c r="D23" s="52"/>
      <c r="E23" s="419"/>
      <c r="F23" s="420"/>
      <c r="G23" s="420"/>
      <c r="H23" s="420"/>
      <c r="I23" s="420"/>
      <c r="J23" s="420"/>
      <c r="K23" s="420"/>
      <c r="L23" s="420"/>
      <c r="M23" s="420"/>
      <c r="N23" s="420">
        <f>13522740.76/1000</f>
        <v>13522.740760000001</v>
      </c>
      <c r="O23" s="420"/>
      <c r="P23" s="420">
        <f>9273207/1000</f>
        <v>9273.2070000000003</v>
      </c>
      <c r="Q23" s="420"/>
      <c r="R23" s="420"/>
      <c r="S23" s="420"/>
      <c r="T23" s="421"/>
      <c r="U23" s="421"/>
      <c r="V23" s="421"/>
      <c r="W23" s="421"/>
      <c r="X23" s="421"/>
      <c r="Y23" s="419"/>
      <c r="Z23" s="420"/>
      <c r="AA23" s="419"/>
      <c r="AB23" s="420"/>
      <c r="AC23" s="422"/>
      <c r="AD23" s="423">
        <f t="shared" ref="AD23:AD28" si="3">SUM(C23:AC23)</f>
        <v>22795.947760000003</v>
      </c>
    </row>
    <row r="24" spans="1:30" s="45" customFormat="1" x14ac:dyDescent="0.2">
      <c r="A24" s="95" t="s">
        <v>35</v>
      </c>
      <c r="B24" s="465" t="s">
        <v>267</v>
      </c>
      <c r="C24" s="407"/>
      <c r="D24" s="52"/>
      <c r="E24" s="419"/>
      <c r="F24" s="424">
        <f>62355.99/1000</f>
        <v>62.355989999999998</v>
      </c>
      <c r="G24" s="424"/>
      <c r="H24" s="424"/>
      <c r="I24" s="424"/>
      <c r="J24" s="424"/>
      <c r="K24" s="424">
        <f>50177.39/1000</f>
        <v>50.177390000000003</v>
      </c>
      <c r="L24" s="424">
        <f>661559.62/1000</f>
        <v>661.55962</v>
      </c>
      <c r="M24" s="424"/>
      <c r="N24" s="424">
        <f>578436.75/1000</f>
        <v>578.43674999999996</v>
      </c>
      <c r="O24" s="424">
        <f>302724.32/1000</f>
        <v>302.72432000000003</v>
      </c>
      <c r="P24" s="424"/>
      <c r="Q24" s="424"/>
      <c r="R24" s="424"/>
      <c r="S24" s="424">
        <f>6086939.63/1000</f>
        <v>6086.9396299999999</v>
      </c>
      <c r="T24" s="421"/>
      <c r="U24" s="421"/>
      <c r="V24" s="421"/>
      <c r="W24" s="421"/>
      <c r="X24" s="421"/>
      <c r="Y24" s="419"/>
      <c r="Z24" s="424"/>
      <c r="AA24" s="419"/>
      <c r="AB24" s="424"/>
      <c r="AC24" s="422"/>
      <c r="AD24" s="423">
        <f t="shared" si="3"/>
        <v>7742.1936999999998</v>
      </c>
    </row>
    <row r="25" spans="1:30" s="45" customFormat="1" x14ac:dyDescent="0.2">
      <c r="A25" s="95" t="s">
        <v>268</v>
      </c>
      <c r="B25" s="465" t="s">
        <v>269</v>
      </c>
      <c r="C25" s="407"/>
      <c r="D25" s="52"/>
      <c r="E25" s="419"/>
      <c r="F25" s="424"/>
      <c r="G25" s="424"/>
      <c r="H25" s="424"/>
      <c r="I25" s="424"/>
      <c r="J25" s="424"/>
      <c r="K25" s="424"/>
      <c r="L25" s="424"/>
      <c r="M25" s="424"/>
      <c r="N25" s="424"/>
      <c r="O25" s="424"/>
      <c r="P25" s="424"/>
      <c r="Q25" s="424"/>
      <c r="R25" s="424"/>
      <c r="S25" s="424"/>
      <c r="T25" s="421"/>
      <c r="U25" s="421"/>
      <c r="V25" s="421"/>
      <c r="W25" s="421"/>
      <c r="X25" s="421"/>
      <c r="Y25" s="419"/>
      <c r="Z25" s="424"/>
      <c r="AA25" s="419"/>
      <c r="AB25" s="424"/>
      <c r="AC25" s="422"/>
      <c r="AD25" s="423">
        <f t="shared" si="3"/>
        <v>0</v>
      </c>
    </row>
    <row r="26" spans="1:30" s="45" customFormat="1" x14ac:dyDescent="0.2">
      <c r="A26" s="95" t="s">
        <v>270</v>
      </c>
      <c r="B26" s="465" t="s">
        <v>271</v>
      </c>
      <c r="C26" s="407"/>
      <c r="D26" s="52"/>
      <c r="E26" s="419"/>
      <c r="F26" s="424">
        <f>27032.53/1000</f>
        <v>27.032529999999998</v>
      </c>
      <c r="G26" s="424"/>
      <c r="H26" s="424"/>
      <c r="I26" s="424"/>
      <c r="J26" s="424">
        <f>3299.327/1000</f>
        <v>3.2993270000000003</v>
      </c>
      <c r="K26" s="424">
        <f>-252/1000</f>
        <v>-0.252</v>
      </c>
      <c r="L26" s="424">
        <f>652.61/1000</f>
        <v>0.65261000000000002</v>
      </c>
      <c r="M26" s="424"/>
      <c r="N26" s="424">
        <f>664044.07/1000</f>
        <v>664.04406999999992</v>
      </c>
      <c r="O26" s="424">
        <f>632.89/1000</f>
        <v>0.63288999999999995</v>
      </c>
      <c r="P26" s="424"/>
      <c r="Q26" s="424"/>
      <c r="R26" s="424"/>
      <c r="S26" s="424">
        <f>(13602.79+7166.55)/1000</f>
        <v>20.76934</v>
      </c>
      <c r="T26" s="421"/>
      <c r="U26" s="421"/>
      <c r="V26" s="421"/>
      <c r="W26" s="421"/>
      <c r="X26" s="421"/>
      <c r="Y26" s="419"/>
      <c r="Z26" s="424"/>
      <c r="AA26" s="419"/>
      <c r="AB26" s="424"/>
      <c r="AC26" s="422"/>
      <c r="AD26" s="423">
        <f t="shared" si="3"/>
        <v>716.17876699999988</v>
      </c>
    </row>
    <row r="27" spans="1:30" s="45" customFormat="1" x14ac:dyDescent="0.2">
      <c r="A27" s="95" t="s">
        <v>179</v>
      </c>
      <c r="B27" s="465" t="s">
        <v>272</v>
      </c>
      <c r="C27" s="407"/>
      <c r="D27" s="52"/>
      <c r="E27" s="419"/>
      <c r="F27" s="425"/>
      <c r="G27" s="425"/>
      <c r="H27" s="425"/>
      <c r="I27" s="425"/>
      <c r="J27" s="425"/>
      <c r="K27" s="425"/>
      <c r="L27" s="425"/>
      <c r="M27" s="425"/>
      <c r="N27" s="425">
        <f>66039002.28/1000</f>
        <v>66039.002280000001</v>
      </c>
      <c r="O27" s="425"/>
      <c r="P27" s="425">
        <f>1201669.74/1000</f>
        <v>1201.66974</v>
      </c>
      <c r="Q27" s="425"/>
      <c r="R27" s="425"/>
      <c r="S27" s="425"/>
      <c r="T27" s="421"/>
      <c r="U27" s="421"/>
      <c r="V27" s="421"/>
      <c r="W27" s="421"/>
      <c r="X27" s="421"/>
      <c r="Y27" s="419"/>
      <c r="Z27" s="425"/>
      <c r="AA27" s="419"/>
      <c r="AB27" s="425"/>
      <c r="AC27" s="426"/>
      <c r="AD27" s="427">
        <f t="shared" si="3"/>
        <v>67240.672019999998</v>
      </c>
    </row>
    <row r="28" spans="1:30" s="45" customFormat="1" ht="15" x14ac:dyDescent="0.2">
      <c r="A28" s="508" t="s">
        <v>69</v>
      </c>
      <c r="B28" s="509"/>
      <c r="C28" s="407">
        <f>SUM(C23:C27)</f>
        <v>0</v>
      </c>
      <c r="D28" s="52">
        <f t="shared" ref="D28:AC28" si="4">SUM(D23:D27)</f>
        <v>0</v>
      </c>
      <c r="E28" s="419">
        <f t="shared" si="4"/>
        <v>0</v>
      </c>
      <c r="F28" s="424">
        <f t="shared" si="4"/>
        <v>89.38852</v>
      </c>
      <c r="G28" s="424">
        <f t="shared" si="4"/>
        <v>0</v>
      </c>
      <c r="H28" s="424">
        <f t="shared" si="4"/>
        <v>0</v>
      </c>
      <c r="I28" s="424">
        <f t="shared" si="4"/>
        <v>0</v>
      </c>
      <c r="J28" s="424">
        <f t="shared" si="4"/>
        <v>3.2993270000000003</v>
      </c>
      <c r="K28" s="424">
        <f t="shared" si="4"/>
        <v>49.92539</v>
      </c>
      <c r="L28" s="424">
        <f t="shared" si="4"/>
        <v>662.21222999999998</v>
      </c>
      <c r="M28" s="424">
        <f t="shared" si="4"/>
        <v>0</v>
      </c>
      <c r="N28" s="424">
        <f t="shared" si="4"/>
        <v>80804.223859999998</v>
      </c>
      <c r="O28" s="424">
        <f t="shared" si="4"/>
        <v>303.35721000000001</v>
      </c>
      <c r="P28" s="424">
        <f t="shared" si="4"/>
        <v>10474.87674</v>
      </c>
      <c r="Q28" s="424">
        <f t="shared" si="4"/>
        <v>0</v>
      </c>
      <c r="R28" s="424">
        <f t="shared" si="4"/>
        <v>0</v>
      </c>
      <c r="S28" s="424">
        <f t="shared" si="4"/>
        <v>6107.7089699999997</v>
      </c>
      <c r="T28" s="421">
        <f t="shared" si="4"/>
        <v>0</v>
      </c>
      <c r="U28" s="421">
        <f t="shared" si="4"/>
        <v>0</v>
      </c>
      <c r="V28" s="421">
        <f t="shared" si="4"/>
        <v>0</v>
      </c>
      <c r="W28" s="421">
        <f t="shared" si="4"/>
        <v>0</v>
      </c>
      <c r="X28" s="421">
        <f t="shared" si="4"/>
        <v>0</v>
      </c>
      <c r="Y28" s="419">
        <f t="shared" si="4"/>
        <v>0</v>
      </c>
      <c r="Z28" s="424">
        <f t="shared" si="4"/>
        <v>0</v>
      </c>
      <c r="AA28" s="419">
        <f t="shared" si="4"/>
        <v>0</v>
      </c>
      <c r="AB28" s="424">
        <f t="shared" si="4"/>
        <v>0</v>
      </c>
      <c r="AC28" s="422">
        <f t="shared" si="4"/>
        <v>0</v>
      </c>
      <c r="AD28" s="423">
        <f t="shared" si="3"/>
        <v>98494.992247000017</v>
      </c>
    </row>
    <row r="29" spans="1:30" s="45" customFormat="1" x14ac:dyDescent="0.2">
      <c r="A29" s="98"/>
      <c r="B29" s="47"/>
      <c r="C29" s="53"/>
      <c r="D29" s="53"/>
      <c r="E29" s="428"/>
      <c r="F29" s="429"/>
      <c r="G29" s="429"/>
      <c r="H29" s="429"/>
      <c r="I29" s="429"/>
      <c r="J29" s="429"/>
      <c r="K29" s="429"/>
      <c r="L29" s="429"/>
      <c r="M29" s="429"/>
      <c r="N29" s="429"/>
      <c r="O29" s="429"/>
      <c r="P29" s="429"/>
      <c r="Q29" s="429"/>
      <c r="R29" s="429"/>
      <c r="S29" s="429"/>
      <c r="T29" s="428"/>
      <c r="U29" s="428"/>
      <c r="V29" s="428"/>
      <c r="W29" s="428"/>
      <c r="X29" s="428"/>
      <c r="Y29" s="428"/>
      <c r="Z29" s="429"/>
      <c r="AA29" s="428"/>
      <c r="AB29" s="429"/>
      <c r="AC29" s="429"/>
      <c r="AD29" s="430"/>
    </row>
    <row r="30" spans="1:30" s="45" customFormat="1" ht="15" x14ac:dyDescent="0.2">
      <c r="A30" s="100" t="s">
        <v>70</v>
      </c>
      <c r="B30" s="131" t="s">
        <v>273</v>
      </c>
      <c r="C30" s="101"/>
      <c r="D30" s="101"/>
      <c r="E30" s="431"/>
      <c r="F30" s="429"/>
      <c r="G30" s="429"/>
      <c r="H30" s="429"/>
      <c r="I30" s="429"/>
      <c r="J30" s="429"/>
      <c r="K30" s="429"/>
      <c r="L30" s="429"/>
      <c r="M30" s="429"/>
      <c r="N30" s="429"/>
      <c r="O30" s="429"/>
      <c r="P30" s="429"/>
      <c r="Q30" s="429"/>
      <c r="R30" s="429"/>
      <c r="S30" s="429"/>
      <c r="T30" s="431"/>
      <c r="U30" s="431"/>
      <c r="V30" s="431"/>
      <c r="W30" s="431"/>
      <c r="X30" s="431"/>
      <c r="Y30" s="431"/>
      <c r="Z30" s="429"/>
      <c r="AA30" s="431"/>
      <c r="AB30" s="429"/>
      <c r="AC30" s="429"/>
      <c r="AD30" s="430"/>
    </row>
    <row r="31" spans="1:30" s="45" customFormat="1" x14ac:dyDescent="0.2">
      <c r="A31" s="95" t="s">
        <v>274</v>
      </c>
      <c r="B31" s="465" t="s">
        <v>275</v>
      </c>
      <c r="C31" s="407"/>
      <c r="D31" s="52"/>
      <c r="E31" s="419"/>
      <c r="F31" s="420">
        <f>371781.3/1000</f>
        <v>371.78129999999999</v>
      </c>
      <c r="G31" s="420"/>
      <c r="H31" s="420"/>
      <c r="I31" s="420"/>
      <c r="J31" s="420"/>
      <c r="K31" s="420"/>
      <c r="L31" s="420"/>
      <c r="M31" s="420"/>
      <c r="N31" s="420">
        <f>11500/1000</f>
        <v>11.5</v>
      </c>
      <c r="O31" s="420"/>
      <c r="P31" s="420"/>
      <c r="Q31" s="420"/>
      <c r="R31" s="420">
        <f>144104.34/1000</f>
        <v>144.10434000000001</v>
      </c>
      <c r="S31" s="420">
        <f>9445.1/1000</f>
        <v>9.4451000000000001</v>
      </c>
      <c r="T31" s="432"/>
      <c r="U31" s="421"/>
      <c r="V31" s="421"/>
      <c r="W31" s="421"/>
      <c r="X31" s="421"/>
      <c r="Y31" s="419"/>
      <c r="Z31" s="420"/>
      <c r="AA31" s="433"/>
      <c r="AB31" s="420"/>
      <c r="AC31" s="422"/>
      <c r="AD31" s="423">
        <f t="shared" ref="AD31:AD37" si="5">SUM(C31:AC31)</f>
        <v>536.83073999999999</v>
      </c>
    </row>
    <row r="32" spans="1:30" s="45" customFormat="1" x14ac:dyDescent="0.2">
      <c r="A32" s="95" t="s">
        <v>276</v>
      </c>
      <c r="B32" s="465" t="s">
        <v>277</v>
      </c>
      <c r="C32" s="407"/>
      <c r="D32" s="52"/>
      <c r="E32" s="419"/>
      <c r="F32" s="424"/>
      <c r="G32" s="424"/>
      <c r="H32" s="424"/>
      <c r="I32" s="424"/>
      <c r="J32" s="424"/>
      <c r="K32" s="424"/>
      <c r="L32" s="424"/>
      <c r="M32" s="424"/>
      <c r="N32" s="424"/>
      <c r="O32" s="424"/>
      <c r="P32" s="424"/>
      <c r="Q32" s="424"/>
      <c r="R32" s="424"/>
      <c r="S32" s="424"/>
      <c r="T32" s="432"/>
      <c r="U32" s="421"/>
      <c r="V32" s="421"/>
      <c r="W32" s="421"/>
      <c r="X32" s="421"/>
      <c r="Y32" s="419"/>
      <c r="Z32" s="424"/>
      <c r="AA32" s="433"/>
      <c r="AB32" s="424"/>
      <c r="AC32" s="422"/>
      <c r="AD32" s="423">
        <f t="shared" si="5"/>
        <v>0</v>
      </c>
    </row>
    <row r="33" spans="1:30" s="45" customFormat="1" x14ac:dyDescent="0.2">
      <c r="A33" s="95" t="s">
        <v>278</v>
      </c>
      <c r="B33" s="465" t="s">
        <v>279</v>
      </c>
      <c r="C33" s="407"/>
      <c r="D33" s="52"/>
      <c r="E33" s="421"/>
      <c r="F33" s="424"/>
      <c r="G33" s="424"/>
      <c r="H33" s="424"/>
      <c r="I33" s="424"/>
      <c r="J33" s="424"/>
      <c r="K33" s="424"/>
      <c r="L33" s="424"/>
      <c r="M33" s="424"/>
      <c r="N33" s="424"/>
      <c r="O33" s="424"/>
      <c r="P33" s="424"/>
      <c r="Q33" s="424"/>
      <c r="R33" s="424"/>
      <c r="S33" s="424"/>
      <c r="T33" s="432"/>
      <c r="U33" s="421"/>
      <c r="V33" s="421"/>
      <c r="W33" s="421"/>
      <c r="X33" s="421"/>
      <c r="Y33" s="419"/>
      <c r="Z33" s="424"/>
      <c r="AA33" s="433"/>
      <c r="AB33" s="424"/>
      <c r="AC33" s="422"/>
      <c r="AD33" s="423">
        <f t="shared" si="5"/>
        <v>0</v>
      </c>
    </row>
    <row r="34" spans="1:30" s="45" customFormat="1" x14ac:dyDescent="0.2">
      <c r="A34" s="95" t="s">
        <v>280</v>
      </c>
      <c r="B34" s="465" t="s">
        <v>281</v>
      </c>
      <c r="C34" s="407"/>
      <c r="D34" s="52"/>
      <c r="E34" s="421"/>
      <c r="F34" s="424"/>
      <c r="G34" s="424"/>
      <c r="H34" s="424"/>
      <c r="I34" s="424"/>
      <c r="J34" s="424"/>
      <c r="K34" s="424"/>
      <c r="L34" s="424"/>
      <c r="M34" s="424"/>
      <c r="N34" s="424"/>
      <c r="O34" s="424"/>
      <c r="P34" s="424"/>
      <c r="Q34" s="424"/>
      <c r="R34" s="424"/>
      <c r="S34" s="424"/>
      <c r="T34" s="432"/>
      <c r="U34" s="421"/>
      <c r="V34" s="421"/>
      <c r="W34" s="421"/>
      <c r="X34" s="421"/>
      <c r="Y34" s="419"/>
      <c r="Z34" s="424"/>
      <c r="AA34" s="433"/>
      <c r="AB34" s="424"/>
      <c r="AC34" s="422"/>
      <c r="AD34" s="423">
        <f t="shared" si="5"/>
        <v>0</v>
      </c>
    </row>
    <row r="35" spans="1:30" s="45" customFormat="1" x14ac:dyDescent="0.2">
      <c r="A35" s="95" t="s">
        <v>282</v>
      </c>
      <c r="B35" s="465" t="s">
        <v>283</v>
      </c>
      <c r="C35" s="407"/>
      <c r="D35" s="51"/>
      <c r="E35" s="421"/>
      <c r="F35" s="424"/>
      <c r="G35" s="424"/>
      <c r="H35" s="424"/>
      <c r="I35" s="424"/>
      <c r="J35" s="424"/>
      <c r="K35" s="424"/>
      <c r="L35" s="424"/>
      <c r="M35" s="424"/>
      <c r="N35" s="424"/>
      <c r="O35" s="424"/>
      <c r="P35" s="424"/>
      <c r="Q35" s="424"/>
      <c r="R35" s="424"/>
      <c r="S35" s="424"/>
      <c r="T35" s="432"/>
      <c r="U35" s="421"/>
      <c r="V35" s="421"/>
      <c r="W35" s="421"/>
      <c r="X35" s="421"/>
      <c r="Y35" s="419"/>
      <c r="Z35" s="424"/>
      <c r="AA35" s="433"/>
      <c r="AB35" s="424"/>
      <c r="AC35" s="422"/>
      <c r="AD35" s="423">
        <f t="shared" si="5"/>
        <v>0</v>
      </c>
    </row>
    <row r="36" spans="1:30" s="45" customFormat="1" x14ac:dyDescent="0.2">
      <c r="A36" s="95" t="s">
        <v>284</v>
      </c>
      <c r="B36" s="465" t="s">
        <v>285</v>
      </c>
      <c r="C36" s="407"/>
      <c r="D36" s="52"/>
      <c r="E36" s="421"/>
      <c r="F36" s="425"/>
      <c r="G36" s="425"/>
      <c r="H36" s="425"/>
      <c r="I36" s="425"/>
      <c r="J36" s="425"/>
      <c r="K36" s="425"/>
      <c r="L36" s="425"/>
      <c r="M36" s="425"/>
      <c r="N36" s="425"/>
      <c r="O36" s="425"/>
      <c r="P36" s="425"/>
      <c r="Q36" s="425"/>
      <c r="R36" s="425"/>
      <c r="S36" s="425"/>
      <c r="T36" s="432"/>
      <c r="U36" s="421"/>
      <c r="V36" s="421"/>
      <c r="W36" s="421"/>
      <c r="X36" s="421"/>
      <c r="Y36" s="419"/>
      <c r="Z36" s="425"/>
      <c r="AA36" s="433"/>
      <c r="AB36" s="425"/>
      <c r="AC36" s="426"/>
      <c r="AD36" s="427">
        <f t="shared" si="5"/>
        <v>0</v>
      </c>
    </row>
    <row r="37" spans="1:30" s="45" customFormat="1" ht="15" x14ac:dyDescent="0.2">
      <c r="A37" s="508" t="s">
        <v>71</v>
      </c>
      <c r="B37" s="509"/>
      <c r="C37" s="407">
        <f>SUM(C31:C36)</f>
        <v>0</v>
      </c>
      <c r="D37" s="51">
        <f t="shared" ref="D37:AC37" si="6">SUM(D31:D36)</f>
        <v>0</v>
      </c>
      <c r="E37" s="433">
        <f t="shared" si="6"/>
        <v>0</v>
      </c>
      <c r="F37" s="424">
        <f t="shared" si="6"/>
        <v>371.78129999999999</v>
      </c>
      <c r="G37" s="424">
        <f t="shared" si="6"/>
        <v>0</v>
      </c>
      <c r="H37" s="424">
        <f t="shared" si="6"/>
        <v>0</v>
      </c>
      <c r="I37" s="424">
        <f t="shared" si="6"/>
        <v>0</v>
      </c>
      <c r="J37" s="424">
        <f t="shared" si="6"/>
        <v>0</v>
      </c>
      <c r="K37" s="424">
        <f t="shared" si="6"/>
        <v>0</v>
      </c>
      <c r="L37" s="424">
        <f t="shared" si="6"/>
        <v>0</v>
      </c>
      <c r="M37" s="424">
        <f t="shared" si="6"/>
        <v>0</v>
      </c>
      <c r="N37" s="424">
        <f t="shared" si="6"/>
        <v>11.5</v>
      </c>
      <c r="O37" s="424"/>
      <c r="P37" s="424">
        <f t="shared" si="6"/>
        <v>0</v>
      </c>
      <c r="Q37" s="424">
        <f t="shared" si="6"/>
        <v>0</v>
      </c>
      <c r="R37" s="424">
        <f t="shared" si="6"/>
        <v>144.10434000000001</v>
      </c>
      <c r="S37" s="424">
        <f t="shared" si="6"/>
        <v>9.4451000000000001</v>
      </c>
      <c r="T37" s="432">
        <f t="shared" si="6"/>
        <v>0</v>
      </c>
      <c r="U37" s="421">
        <f t="shared" si="6"/>
        <v>0</v>
      </c>
      <c r="V37" s="421">
        <f t="shared" si="6"/>
        <v>0</v>
      </c>
      <c r="W37" s="421">
        <f t="shared" si="6"/>
        <v>0</v>
      </c>
      <c r="X37" s="421">
        <f t="shared" si="6"/>
        <v>0</v>
      </c>
      <c r="Y37" s="419">
        <f t="shared" si="6"/>
        <v>0</v>
      </c>
      <c r="Z37" s="424">
        <f t="shared" si="6"/>
        <v>0</v>
      </c>
      <c r="AA37" s="433">
        <f t="shared" si="6"/>
        <v>0</v>
      </c>
      <c r="AB37" s="424">
        <f t="shared" si="6"/>
        <v>0</v>
      </c>
      <c r="AC37" s="422">
        <f t="shared" si="6"/>
        <v>0</v>
      </c>
      <c r="AD37" s="423">
        <f t="shared" si="5"/>
        <v>536.83073999999999</v>
      </c>
    </row>
    <row r="38" spans="1:30" s="45" customFormat="1" x14ac:dyDescent="0.2">
      <c r="A38" s="98"/>
      <c r="B38" s="47"/>
      <c r="C38" s="53"/>
      <c r="D38" s="99"/>
      <c r="E38" s="428"/>
      <c r="F38" s="429"/>
      <c r="G38" s="429"/>
      <c r="H38" s="429"/>
      <c r="I38" s="429"/>
      <c r="J38" s="429"/>
      <c r="K38" s="429"/>
      <c r="L38" s="429"/>
      <c r="M38" s="429"/>
      <c r="N38" s="429"/>
      <c r="O38" s="429"/>
      <c r="P38" s="429"/>
      <c r="Q38" s="429"/>
      <c r="R38" s="429"/>
      <c r="S38" s="429"/>
      <c r="T38" s="428"/>
      <c r="U38" s="428"/>
      <c r="V38" s="428"/>
      <c r="W38" s="428"/>
      <c r="X38" s="428"/>
      <c r="Y38" s="428"/>
      <c r="Z38" s="429"/>
      <c r="AA38" s="428"/>
      <c r="AB38" s="429"/>
      <c r="AC38" s="429"/>
      <c r="AD38" s="430"/>
    </row>
    <row r="39" spans="1:30" s="45" customFormat="1" ht="15" x14ac:dyDescent="0.2">
      <c r="A39" s="100" t="s">
        <v>72</v>
      </c>
      <c r="B39" s="131" t="s">
        <v>286</v>
      </c>
      <c r="C39" s="101"/>
      <c r="D39" s="101"/>
      <c r="E39" s="431"/>
      <c r="F39" s="429"/>
      <c r="G39" s="429"/>
      <c r="H39" s="429"/>
      <c r="I39" s="429"/>
      <c r="J39" s="429"/>
      <c r="K39" s="429"/>
      <c r="L39" s="429"/>
      <c r="M39" s="429"/>
      <c r="N39" s="429"/>
      <c r="O39" s="429"/>
      <c r="P39" s="429"/>
      <c r="Q39" s="429"/>
      <c r="R39" s="429"/>
      <c r="S39" s="429"/>
      <c r="T39" s="431"/>
      <c r="U39" s="431"/>
      <c r="V39" s="431"/>
      <c r="W39" s="431"/>
      <c r="X39" s="431"/>
      <c r="Y39" s="431"/>
      <c r="Z39" s="429"/>
      <c r="AA39" s="431"/>
      <c r="AB39" s="429"/>
      <c r="AC39" s="429"/>
      <c r="AD39" s="430"/>
    </row>
    <row r="40" spans="1:30" s="45" customFormat="1" x14ac:dyDescent="0.2">
      <c r="A40" s="95" t="s">
        <v>224</v>
      </c>
      <c r="B40" s="465" t="s">
        <v>287</v>
      </c>
      <c r="C40" s="407"/>
      <c r="D40" s="52"/>
      <c r="E40" s="419"/>
      <c r="F40" s="420"/>
      <c r="G40" s="420"/>
      <c r="H40" s="420"/>
      <c r="I40" s="420"/>
      <c r="J40" s="420"/>
      <c r="K40" s="420"/>
      <c r="L40" s="420">
        <f>532.55/1000</f>
        <v>0.53254999999999997</v>
      </c>
      <c r="M40" s="420"/>
      <c r="N40" s="420">
        <f>121059/1000</f>
        <v>121.059</v>
      </c>
      <c r="O40" s="420">
        <f>68239156.71/1000</f>
        <v>68239.156709999996</v>
      </c>
      <c r="P40" s="420"/>
      <c r="Q40" s="420"/>
      <c r="R40" s="420"/>
      <c r="S40" s="420"/>
      <c r="T40" s="432"/>
      <c r="U40" s="421"/>
      <c r="V40" s="421"/>
      <c r="W40" s="421"/>
      <c r="X40" s="421"/>
      <c r="Y40" s="419"/>
      <c r="Z40" s="420"/>
      <c r="AA40" s="433"/>
      <c r="AB40" s="420"/>
      <c r="AC40" s="422"/>
      <c r="AD40" s="423">
        <f t="shared" ref="AD40:AD47" si="7">SUM(C40:AC40)</f>
        <v>68360.748259999993</v>
      </c>
    </row>
    <row r="41" spans="1:30" s="45" customFormat="1" x14ac:dyDescent="0.2">
      <c r="A41" s="95" t="s">
        <v>38</v>
      </c>
      <c r="B41" s="465" t="s">
        <v>288</v>
      </c>
      <c r="C41" s="407"/>
      <c r="D41" s="52"/>
      <c r="E41" s="421"/>
      <c r="F41" s="424"/>
      <c r="G41" s="424"/>
      <c r="H41" s="424"/>
      <c r="I41" s="424"/>
      <c r="J41" s="424"/>
      <c r="K41" s="424"/>
      <c r="L41" s="424"/>
      <c r="M41" s="424"/>
      <c r="N41" s="424"/>
      <c r="O41" s="424"/>
      <c r="P41" s="424"/>
      <c r="Q41" s="424"/>
      <c r="R41" s="424"/>
      <c r="S41" s="424"/>
      <c r="T41" s="432"/>
      <c r="U41" s="421"/>
      <c r="V41" s="421"/>
      <c r="W41" s="421"/>
      <c r="X41" s="421"/>
      <c r="Y41" s="419"/>
      <c r="Z41" s="424"/>
      <c r="AA41" s="433"/>
      <c r="AB41" s="424"/>
      <c r="AC41" s="422"/>
      <c r="AD41" s="423">
        <f t="shared" si="7"/>
        <v>0</v>
      </c>
    </row>
    <row r="42" spans="1:30" s="45" customFormat="1" x14ac:dyDescent="0.2">
      <c r="A42" s="95" t="s">
        <v>39</v>
      </c>
      <c r="B42" s="465" t="s">
        <v>289</v>
      </c>
      <c r="C42" s="407"/>
      <c r="D42" s="51"/>
      <c r="E42" s="421"/>
      <c r="F42" s="424"/>
      <c r="G42" s="424">
        <f>2880.36/1000</f>
        <v>2.88036</v>
      </c>
      <c r="H42" s="424"/>
      <c r="I42" s="424"/>
      <c r="J42" s="424"/>
      <c r="K42" s="424"/>
      <c r="L42" s="424"/>
      <c r="M42" s="424"/>
      <c r="N42" s="424"/>
      <c r="O42" s="424">
        <f>59235.32/1000</f>
        <v>59.235320000000002</v>
      </c>
      <c r="P42" s="424"/>
      <c r="Q42" s="424"/>
      <c r="R42" s="424"/>
      <c r="S42" s="424">
        <f>156158.17/1000</f>
        <v>156.15817000000001</v>
      </c>
      <c r="T42" s="432"/>
      <c r="U42" s="421"/>
      <c r="V42" s="421"/>
      <c r="W42" s="421"/>
      <c r="X42" s="421"/>
      <c r="Y42" s="419"/>
      <c r="Z42" s="424"/>
      <c r="AA42" s="433"/>
      <c r="AB42" s="424"/>
      <c r="AC42" s="422"/>
      <c r="AD42" s="423">
        <f t="shared" si="7"/>
        <v>218.27385000000001</v>
      </c>
    </row>
    <row r="43" spans="1:30" s="45" customFormat="1" x14ac:dyDescent="0.2">
      <c r="A43" s="95" t="s">
        <v>40</v>
      </c>
      <c r="B43" s="465" t="s">
        <v>290</v>
      </c>
      <c r="C43" s="407"/>
      <c r="D43" s="52"/>
      <c r="E43" s="421"/>
      <c r="F43" s="424"/>
      <c r="G43" s="424"/>
      <c r="H43" s="424"/>
      <c r="I43" s="424"/>
      <c r="J43" s="424"/>
      <c r="K43" s="424"/>
      <c r="L43" s="424"/>
      <c r="M43" s="424"/>
      <c r="N43" s="424"/>
      <c r="O43" s="424"/>
      <c r="P43" s="424"/>
      <c r="Q43" s="424"/>
      <c r="R43" s="424"/>
      <c r="S43" s="424"/>
      <c r="T43" s="432"/>
      <c r="U43" s="421"/>
      <c r="V43" s="421"/>
      <c r="W43" s="421"/>
      <c r="X43" s="421"/>
      <c r="Y43" s="419"/>
      <c r="Z43" s="424"/>
      <c r="AA43" s="433"/>
      <c r="AB43" s="424"/>
      <c r="AC43" s="422"/>
      <c r="AD43" s="423">
        <f t="shared" si="7"/>
        <v>0</v>
      </c>
    </row>
    <row r="44" spans="1:30" s="45" customFormat="1" x14ac:dyDescent="0.2">
      <c r="A44" s="95" t="s">
        <v>41</v>
      </c>
      <c r="B44" s="465" t="s">
        <v>291</v>
      </c>
      <c r="C44" s="407"/>
      <c r="D44" s="52"/>
      <c r="E44" s="421"/>
      <c r="F44" s="424"/>
      <c r="G44" s="424"/>
      <c r="H44" s="424"/>
      <c r="I44" s="424"/>
      <c r="J44" s="424"/>
      <c r="K44" s="424"/>
      <c r="L44" s="424"/>
      <c r="M44" s="424"/>
      <c r="N44" s="424"/>
      <c r="O44" s="424"/>
      <c r="P44" s="424"/>
      <c r="Q44" s="424"/>
      <c r="R44" s="424"/>
      <c r="S44" s="424"/>
      <c r="T44" s="432"/>
      <c r="U44" s="421"/>
      <c r="V44" s="421"/>
      <c r="W44" s="421"/>
      <c r="X44" s="421"/>
      <c r="Y44" s="419"/>
      <c r="Z44" s="424"/>
      <c r="AA44" s="433"/>
      <c r="AB44" s="424"/>
      <c r="AC44" s="422"/>
      <c r="AD44" s="423">
        <f t="shared" si="7"/>
        <v>0</v>
      </c>
    </row>
    <row r="45" spans="1:30" s="45" customFormat="1" x14ac:dyDescent="0.2">
      <c r="A45" s="95" t="s">
        <v>42</v>
      </c>
      <c r="B45" s="465" t="s">
        <v>292</v>
      </c>
      <c r="C45" s="407"/>
      <c r="D45" s="52"/>
      <c r="E45" s="421"/>
      <c r="F45" s="424">
        <f>628678.31/1000</f>
        <v>628.67831000000001</v>
      </c>
      <c r="G45" s="424"/>
      <c r="H45" s="424"/>
      <c r="I45" s="424"/>
      <c r="J45" s="424"/>
      <c r="K45" s="424"/>
      <c r="L45" s="424">
        <f>750/1000</f>
        <v>0.75</v>
      </c>
      <c r="M45" s="424"/>
      <c r="N45" s="424">
        <f>151678.33/1000</f>
        <v>151.67832999999999</v>
      </c>
      <c r="O45" s="424">
        <f>38389.79/1000</f>
        <v>38.389789999999998</v>
      </c>
      <c r="P45" s="424"/>
      <c r="Q45" s="424"/>
      <c r="R45" s="424"/>
      <c r="S45" s="424"/>
      <c r="T45" s="432"/>
      <c r="U45" s="421"/>
      <c r="V45" s="421"/>
      <c r="W45" s="421"/>
      <c r="X45" s="421"/>
      <c r="Y45" s="419"/>
      <c r="Z45" s="424"/>
      <c r="AA45" s="433"/>
      <c r="AB45" s="424"/>
      <c r="AC45" s="422"/>
      <c r="AD45" s="423">
        <f t="shared" si="7"/>
        <v>819.49642999999992</v>
      </c>
    </row>
    <row r="46" spans="1:30" s="45" customFormat="1" x14ac:dyDescent="0.2">
      <c r="A46" s="95" t="s">
        <v>43</v>
      </c>
      <c r="B46" s="465" t="s">
        <v>293</v>
      </c>
      <c r="C46" s="407"/>
      <c r="D46" s="52"/>
      <c r="E46" s="421"/>
      <c r="F46" s="425">
        <f>5784.4/1000</f>
        <v>5.7843999999999998</v>
      </c>
      <c r="G46" s="425"/>
      <c r="H46" s="425"/>
      <c r="I46" s="425"/>
      <c r="J46" s="425"/>
      <c r="K46" s="425"/>
      <c r="L46" s="425"/>
      <c r="M46" s="425"/>
      <c r="N46" s="425"/>
      <c r="O46" s="425"/>
      <c r="P46" s="425"/>
      <c r="Q46" s="425"/>
      <c r="R46" s="425"/>
      <c r="S46" s="425"/>
      <c r="T46" s="432"/>
      <c r="U46" s="421"/>
      <c r="V46" s="421"/>
      <c r="W46" s="421"/>
      <c r="X46" s="421"/>
      <c r="Y46" s="419"/>
      <c r="Z46" s="425"/>
      <c r="AA46" s="433"/>
      <c r="AB46" s="425"/>
      <c r="AC46" s="426"/>
      <c r="AD46" s="427">
        <f t="shared" si="7"/>
        <v>5.7843999999999998</v>
      </c>
    </row>
    <row r="47" spans="1:30" s="45" customFormat="1" ht="15" x14ac:dyDescent="0.2">
      <c r="A47" s="508" t="s">
        <v>73</v>
      </c>
      <c r="B47" s="509"/>
      <c r="C47" s="407">
        <f>SUM(C40:C46)</f>
        <v>0</v>
      </c>
      <c r="D47" s="51">
        <f t="shared" ref="D47:AC47" si="8">SUM(D40:D46)</f>
        <v>0</v>
      </c>
      <c r="E47" s="419">
        <f t="shared" si="8"/>
        <v>0</v>
      </c>
      <c r="F47" s="424">
        <f t="shared" si="8"/>
        <v>634.46271000000002</v>
      </c>
      <c r="G47" s="424">
        <f t="shared" si="8"/>
        <v>2.88036</v>
      </c>
      <c r="H47" s="424">
        <f t="shared" si="8"/>
        <v>0</v>
      </c>
      <c r="I47" s="424">
        <f t="shared" si="8"/>
        <v>0</v>
      </c>
      <c r="J47" s="424">
        <f t="shared" si="8"/>
        <v>0</v>
      </c>
      <c r="K47" s="424">
        <f t="shared" si="8"/>
        <v>0</v>
      </c>
      <c r="L47" s="424">
        <f t="shared" si="8"/>
        <v>1.2825500000000001</v>
      </c>
      <c r="M47" s="424">
        <f t="shared" si="8"/>
        <v>0</v>
      </c>
      <c r="N47" s="424">
        <f t="shared" si="8"/>
        <v>272.73732999999999</v>
      </c>
      <c r="O47" s="424">
        <f t="shared" si="8"/>
        <v>68336.781820000004</v>
      </c>
      <c r="P47" s="424">
        <f t="shared" si="8"/>
        <v>0</v>
      </c>
      <c r="Q47" s="424">
        <f t="shared" si="8"/>
        <v>0</v>
      </c>
      <c r="R47" s="424">
        <f t="shared" si="8"/>
        <v>0</v>
      </c>
      <c r="S47" s="424">
        <f t="shared" si="8"/>
        <v>156.15817000000001</v>
      </c>
      <c r="T47" s="432">
        <f t="shared" si="8"/>
        <v>0</v>
      </c>
      <c r="U47" s="421">
        <f t="shared" si="8"/>
        <v>0</v>
      </c>
      <c r="V47" s="421">
        <f t="shared" si="8"/>
        <v>0</v>
      </c>
      <c r="W47" s="421">
        <f t="shared" si="8"/>
        <v>0</v>
      </c>
      <c r="X47" s="421">
        <f t="shared" si="8"/>
        <v>0</v>
      </c>
      <c r="Y47" s="419">
        <f t="shared" si="8"/>
        <v>0</v>
      </c>
      <c r="Z47" s="424">
        <f t="shared" si="8"/>
        <v>0</v>
      </c>
      <c r="AA47" s="433">
        <f t="shared" si="8"/>
        <v>0</v>
      </c>
      <c r="AB47" s="424">
        <f t="shared" si="8"/>
        <v>0</v>
      </c>
      <c r="AC47" s="422">
        <f t="shared" si="8"/>
        <v>0</v>
      </c>
      <c r="AD47" s="423">
        <f t="shared" si="7"/>
        <v>69404.302939999994</v>
      </c>
    </row>
    <row r="48" spans="1:30" s="45" customFormat="1" x14ac:dyDescent="0.2">
      <c r="A48" s="98"/>
      <c r="B48" s="47"/>
      <c r="C48" s="53"/>
      <c r="D48" s="99"/>
      <c r="E48" s="428"/>
      <c r="F48" s="429"/>
      <c r="G48" s="429"/>
      <c r="H48" s="429"/>
      <c r="I48" s="429"/>
      <c r="J48" s="429"/>
      <c r="K48" s="429"/>
      <c r="L48" s="429"/>
      <c r="M48" s="429"/>
      <c r="N48" s="429"/>
      <c r="O48" s="429"/>
      <c r="P48" s="429"/>
      <c r="Q48" s="429"/>
      <c r="R48" s="429"/>
      <c r="S48" s="429"/>
      <c r="T48" s="428"/>
      <c r="U48" s="428"/>
      <c r="V48" s="428"/>
      <c r="W48" s="428"/>
      <c r="X48" s="428"/>
      <c r="Y48" s="428"/>
      <c r="Z48" s="429"/>
      <c r="AA48" s="428"/>
      <c r="AB48" s="429"/>
      <c r="AC48" s="429"/>
      <c r="AD48" s="430"/>
    </row>
    <row r="49" spans="1:30" s="45" customFormat="1" ht="15" x14ac:dyDescent="0.2">
      <c r="A49" s="100" t="s">
        <v>74</v>
      </c>
      <c r="B49" s="131" t="s">
        <v>294</v>
      </c>
      <c r="C49" s="101"/>
      <c r="D49" s="101"/>
      <c r="E49" s="431"/>
      <c r="F49" s="429"/>
      <c r="G49" s="429"/>
      <c r="H49" s="429"/>
      <c r="I49" s="429"/>
      <c r="J49" s="429"/>
      <c r="K49" s="429"/>
      <c r="L49" s="429"/>
      <c r="M49" s="429"/>
      <c r="N49" s="429"/>
      <c r="O49" s="429"/>
      <c r="P49" s="429"/>
      <c r="Q49" s="429"/>
      <c r="R49" s="429"/>
      <c r="S49" s="429"/>
      <c r="T49" s="431"/>
      <c r="U49" s="431"/>
      <c r="V49" s="431"/>
      <c r="W49" s="431"/>
      <c r="X49" s="431"/>
      <c r="Y49" s="431"/>
      <c r="Z49" s="429"/>
      <c r="AA49" s="431"/>
      <c r="AB49" s="429"/>
      <c r="AC49" s="429"/>
      <c r="AD49" s="430"/>
    </row>
    <row r="50" spans="1:30" s="45" customFormat="1" x14ac:dyDescent="0.2">
      <c r="A50" s="95" t="s">
        <v>44</v>
      </c>
      <c r="B50" s="465" t="s">
        <v>295</v>
      </c>
      <c r="C50" s="407"/>
      <c r="D50" s="52"/>
      <c r="E50" s="419"/>
      <c r="F50" s="420"/>
      <c r="G50" s="420"/>
      <c r="H50" s="420"/>
      <c r="I50" s="420"/>
      <c r="J50" s="420"/>
      <c r="K50" s="420"/>
      <c r="L50" s="420"/>
      <c r="M50" s="420"/>
      <c r="N50" s="420"/>
      <c r="O50" s="420"/>
      <c r="P50" s="420"/>
      <c r="Q50" s="420"/>
      <c r="R50" s="420"/>
      <c r="S50" s="420"/>
      <c r="T50" s="421"/>
      <c r="U50" s="421"/>
      <c r="V50" s="421"/>
      <c r="W50" s="421"/>
      <c r="X50" s="421"/>
      <c r="Y50" s="419"/>
      <c r="Z50" s="420"/>
      <c r="AA50" s="419"/>
      <c r="AB50" s="420"/>
      <c r="AC50" s="422"/>
      <c r="AD50" s="423">
        <f>SUM(C50:AC50)</f>
        <v>0</v>
      </c>
    </row>
    <row r="51" spans="1:30" s="45" customFormat="1" x14ac:dyDescent="0.2">
      <c r="A51" s="95" t="s">
        <v>45</v>
      </c>
      <c r="B51" s="465" t="s">
        <v>296</v>
      </c>
      <c r="C51" s="407"/>
      <c r="D51" s="52"/>
      <c r="E51" s="419"/>
      <c r="F51" s="424"/>
      <c r="G51" s="424"/>
      <c r="H51" s="424"/>
      <c r="I51" s="424"/>
      <c r="J51" s="424"/>
      <c r="K51" s="424"/>
      <c r="L51" s="424"/>
      <c r="M51" s="424"/>
      <c r="N51" s="424">
        <f>303409.36/1000</f>
        <v>303.40935999999999</v>
      </c>
      <c r="O51" s="424">
        <f>5175/1000</f>
        <v>5.1749999999999998</v>
      </c>
      <c r="P51" s="424"/>
      <c r="Q51" s="424"/>
      <c r="R51" s="424"/>
      <c r="S51" s="424"/>
      <c r="T51" s="421"/>
      <c r="U51" s="421"/>
      <c r="V51" s="421"/>
      <c r="W51" s="421"/>
      <c r="X51" s="421"/>
      <c r="Y51" s="419"/>
      <c r="Z51" s="424"/>
      <c r="AA51" s="419"/>
      <c r="AB51" s="424"/>
      <c r="AC51" s="422"/>
      <c r="AD51" s="423">
        <f>SUM(C51:AC51)</f>
        <v>308.58436</v>
      </c>
    </row>
    <row r="52" spans="1:30" s="45" customFormat="1" x14ac:dyDescent="0.2">
      <c r="A52" s="95" t="s">
        <v>297</v>
      </c>
      <c r="B52" s="465" t="s">
        <v>298</v>
      </c>
      <c r="C52" s="407"/>
      <c r="D52" s="52"/>
      <c r="E52" s="419"/>
      <c r="F52" s="425">
        <f>142.8/1000</f>
        <v>0.14280000000000001</v>
      </c>
      <c r="G52" s="425">
        <f>565806.69/1000</f>
        <v>565.80668999999989</v>
      </c>
      <c r="H52" s="425"/>
      <c r="I52" s="425"/>
      <c r="J52" s="425"/>
      <c r="K52" s="425">
        <f>1196/1000</f>
        <v>1.196</v>
      </c>
      <c r="L52" s="425"/>
      <c r="M52" s="425"/>
      <c r="N52" s="425">
        <f>47886.56/1000</f>
        <v>47.886559999999996</v>
      </c>
      <c r="O52" s="425"/>
      <c r="P52" s="425"/>
      <c r="Q52" s="425"/>
      <c r="R52" s="425"/>
      <c r="S52" s="425"/>
      <c r="T52" s="421"/>
      <c r="U52" s="421"/>
      <c r="V52" s="421"/>
      <c r="W52" s="421"/>
      <c r="X52" s="421"/>
      <c r="Y52" s="419"/>
      <c r="Z52" s="425"/>
      <c r="AA52" s="419"/>
      <c r="AB52" s="425"/>
      <c r="AC52" s="426"/>
      <c r="AD52" s="427">
        <f>SUM(C52:AC52)</f>
        <v>615.03204999999991</v>
      </c>
    </row>
    <row r="53" spans="1:30" s="45" customFormat="1" ht="15" x14ac:dyDescent="0.2">
      <c r="A53" s="508" t="s">
        <v>75</v>
      </c>
      <c r="B53" s="509"/>
      <c r="C53" s="407">
        <f>+SUM(C50:C52)</f>
        <v>0</v>
      </c>
      <c r="D53" s="52">
        <f t="shared" ref="D53:AC53" si="9">+SUM(D50:D52)</f>
        <v>0</v>
      </c>
      <c r="E53" s="419">
        <f t="shared" si="9"/>
        <v>0</v>
      </c>
      <c r="F53" s="424">
        <f t="shared" si="9"/>
        <v>0.14280000000000001</v>
      </c>
      <c r="G53" s="424">
        <f t="shared" si="9"/>
        <v>565.80668999999989</v>
      </c>
      <c r="H53" s="424">
        <f t="shared" si="9"/>
        <v>0</v>
      </c>
      <c r="I53" s="424">
        <f t="shared" si="9"/>
        <v>0</v>
      </c>
      <c r="J53" s="424">
        <f t="shared" si="9"/>
        <v>0</v>
      </c>
      <c r="K53" s="424">
        <f t="shared" si="9"/>
        <v>1.196</v>
      </c>
      <c r="L53" s="424">
        <f t="shared" si="9"/>
        <v>0</v>
      </c>
      <c r="M53" s="424">
        <f t="shared" si="9"/>
        <v>0</v>
      </c>
      <c r="N53" s="424">
        <f t="shared" si="9"/>
        <v>351.29591999999997</v>
      </c>
      <c r="O53" s="424">
        <f t="shared" si="9"/>
        <v>5.1749999999999998</v>
      </c>
      <c r="P53" s="424">
        <f t="shared" si="9"/>
        <v>0</v>
      </c>
      <c r="Q53" s="424">
        <f t="shared" si="9"/>
        <v>0</v>
      </c>
      <c r="R53" s="424">
        <f t="shared" si="9"/>
        <v>0</v>
      </c>
      <c r="S53" s="424">
        <f t="shared" si="9"/>
        <v>0</v>
      </c>
      <c r="T53" s="421">
        <f t="shared" si="9"/>
        <v>0</v>
      </c>
      <c r="U53" s="421">
        <f t="shared" si="9"/>
        <v>0</v>
      </c>
      <c r="V53" s="421">
        <f t="shared" si="9"/>
        <v>0</v>
      </c>
      <c r="W53" s="421">
        <f t="shared" si="9"/>
        <v>0</v>
      </c>
      <c r="X53" s="421">
        <f t="shared" si="9"/>
        <v>0</v>
      </c>
      <c r="Y53" s="419">
        <f t="shared" si="9"/>
        <v>0</v>
      </c>
      <c r="Z53" s="424">
        <f t="shared" si="9"/>
        <v>0</v>
      </c>
      <c r="AA53" s="419">
        <f t="shared" si="9"/>
        <v>0</v>
      </c>
      <c r="AB53" s="424">
        <f t="shared" si="9"/>
        <v>0</v>
      </c>
      <c r="AC53" s="422">
        <f t="shared" si="9"/>
        <v>0</v>
      </c>
      <c r="AD53" s="423">
        <f>SUM(C53:AC53)</f>
        <v>923.61640999999986</v>
      </c>
    </row>
    <row r="54" spans="1:30" s="45" customFormat="1" x14ac:dyDescent="0.2">
      <c r="A54" s="98"/>
      <c r="B54" s="47"/>
      <c r="C54" s="53"/>
      <c r="D54" s="53"/>
      <c r="E54" s="428"/>
      <c r="F54" s="429"/>
      <c r="G54" s="429"/>
      <c r="H54" s="429"/>
      <c r="I54" s="429"/>
      <c r="J54" s="429"/>
      <c r="K54" s="429"/>
      <c r="L54" s="429"/>
      <c r="M54" s="429"/>
      <c r="N54" s="429"/>
      <c r="O54" s="429"/>
      <c r="P54" s="429"/>
      <c r="Q54" s="429"/>
      <c r="R54" s="429"/>
      <c r="S54" s="429"/>
      <c r="T54" s="428"/>
      <c r="U54" s="428"/>
      <c r="V54" s="428"/>
      <c r="W54" s="428"/>
      <c r="X54" s="428"/>
      <c r="Y54" s="428"/>
      <c r="Z54" s="429"/>
      <c r="AA54" s="428"/>
      <c r="AB54" s="429"/>
      <c r="AC54" s="429"/>
      <c r="AD54" s="430"/>
    </row>
    <row r="55" spans="1:30" s="45" customFormat="1" ht="15" x14ac:dyDescent="0.2">
      <c r="A55" s="100" t="s">
        <v>76</v>
      </c>
      <c r="B55" s="131" t="s">
        <v>299</v>
      </c>
      <c r="C55" s="101"/>
      <c r="D55" s="101"/>
      <c r="E55" s="431"/>
      <c r="F55" s="429"/>
      <c r="G55" s="429"/>
      <c r="H55" s="429"/>
      <c r="I55" s="429"/>
      <c r="J55" s="429"/>
      <c r="K55" s="429"/>
      <c r="L55" s="429"/>
      <c r="M55" s="429"/>
      <c r="N55" s="429"/>
      <c r="O55" s="429"/>
      <c r="P55" s="429"/>
      <c r="Q55" s="429"/>
      <c r="R55" s="429"/>
      <c r="S55" s="429"/>
      <c r="T55" s="431"/>
      <c r="U55" s="431"/>
      <c r="V55" s="431"/>
      <c r="W55" s="431"/>
      <c r="X55" s="431"/>
      <c r="Y55" s="431"/>
      <c r="Z55" s="429"/>
      <c r="AA55" s="431"/>
      <c r="AB55" s="429"/>
      <c r="AC55" s="429"/>
      <c r="AD55" s="430"/>
    </row>
    <row r="56" spans="1:30" s="45" customFormat="1" x14ac:dyDescent="0.2">
      <c r="A56" s="95" t="s">
        <v>300</v>
      </c>
      <c r="B56" s="465" t="s">
        <v>301</v>
      </c>
      <c r="C56" s="407"/>
      <c r="D56" s="52"/>
      <c r="E56" s="419"/>
      <c r="F56" s="420"/>
      <c r="G56" s="420"/>
      <c r="H56" s="420"/>
      <c r="I56" s="420"/>
      <c r="J56" s="420"/>
      <c r="K56" s="420"/>
      <c r="L56" s="420">
        <f>3910.45/1000</f>
        <v>3.91045</v>
      </c>
      <c r="M56" s="420"/>
      <c r="N56" s="420"/>
      <c r="O56" s="420"/>
      <c r="P56" s="420"/>
      <c r="Q56" s="420"/>
      <c r="R56" s="420"/>
      <c r="S56" s="420"/>
      <c r="T56" s="421"/>
      <c r="U56" s="421"/>
      <c r="V56" s="421"/>
      <c r="W56" s="421"/>
      <c r="X56" s="421"/>
      <c r="Y56" s="419"/>
      <c r="Z56" s="420"/>
      <c r="AA56" s="419"/>
      <c r="AB56" s="420"/>
      <c r="AC56" s="422"/>
      <c r="AD56" s="423">
        <f>SUM(C56:AC56)</f>
        <v>3.91045</v>
      </c>
    </row>
    <row r="57" spans="1:30" s="45" customFormat="1" x14ac:dyDescent="0.2">
      <c r="A57" s="95" t="s">
        <v>225</v>
      </c>
      <c r="B57" s="465" t="s">
        <v>302</v>
      </c>
      <c r="C57" s="407"/>
      <c r="D57" s="52"/>
      <c r="E57" s="419"/>
      <c r="F57" s="424"/>
      <c r="G57" s="424"/>
      <c r="H57" s="424"/>
      <c r="I57" s="424"/>
      <c r="J57" s="424"/>
      <c r="K57" s="424"/>
      <c r="L57" s="424"/>
      <c r="M57" s="424">
        <f>1000/1000</f>
        <v>1</v>
      </c>
      <c r="N57" s="424">
        <f>10017786/1000</f>
        <v>10017.786</v>
      </c>
      <c r="O57" s="424">
        <f>18000/1000</f>
        <v>18</v>
      </c>
      <c r="P57" s="424"/>
      <c r="Q57" s="424"/>
      <c r="R57" s="424">
        <f>8299.35/1000</f>
        <v>8.2993500000000004</v>
      </c>
      <c r="S57" s="424">
        <f>65834.7/1000</f>
        <v>65.834699999999998</v>
      </c>
      <c r="T57" s="421"/>
      <c r="U57" s="421"/>
      <c r="V57" s="421"/>
      <c r="W57" s="421"/>
      <c r="X57" s="421"/>
      <c r="Y57" s="419"/>
      <c r="Z57" s="424"/>
      <c r="AA57" s="419"/>
      <c r="AB57" s="424"/>
      <c r="AC57" s="422"/>
      <c r="AD57" s="423">
        <f>SUM(C57:AC57)</f>
        <v>10110.920049999999</v>
      </c>
    </row>
    <row r="58" spans="1:30" s="45" customFormat="1" x14ac:dyDescent="0.2">
      <c r="A58" s="95" t="s">
        <v>226</v>
      </c>
      <c r="B58" s="465" t="s">
        <v>303</v>
      </c>
      <c r="C58" s="407"/>
      <c r="D58" s="52"/>
      <c r="E58" s="419"/>
      <c r="F58" s="424"/>
      <c r="G58" s="424"/>
      <c r="H58" s="424"/>
      <c r="I58" s="424"/>
      <c r="J58" s="424"/>
      <c r="K58" s="424"/>
      <c r="L58" s="424"/>
      <c r="M58" s="424">
        <f>27606149.28/1000</f>
        <v>27606.149280000001</v>
      </c>
      <c r="N58" s="424"/>
      <c r="O58" s="424"/>
      <c r="P58" s="424"/>
      <c r="Q58" s="424">
        <f>39804.4/1000</f>
        <v>39.804400000000001</v>
      </c>
      <c r="R58" s="424">
        <f>5305651.26/1000</f>
        <v>5305.6512599999996</v>
      </c>
      <c r="S58" s="424"/>
      <c r="T58" s="421"/>
      <c r="U58" s="421"/>
      <c r="V58" s="421"/>
      <c r="W58" s="421"/>
      <c r="X58" s="421"/>
      <c r="Y58" s="419"/>
      <c r="Z58" s="424"/>
      <c r="AA58" s="419"/>
      <c r="AB58" s="424"/>
      <c r="AC58" s="422"/>
      <c r="AD58" s="423">
        <f>SUM(C58:AC58)</f>
        <v>32951.604940000005</v>
      </c>
    </row>
    <row r="59" spans="1:30" s="45" customFormat="1" x14ac:dyDescent="0.2">
      <c r="A59" s="95" t="s">
        <v>227</v>
      </c>
      <c r="B59" s="465" t="s">
        <v>304</v>
      </c>
      <c r="C59" s="407"/>
      <c r="D59" s="52"/>
      <c r="E59" s="419"/>
      <c r="F59" s="425"/>
      <c r="G59" s="425"/>
      <c r="H59" s="425"/>
      <c r="I59" s="425"/>
      <c r="J59" s="425"/>
      <c r="K59" s="425"/>
      <c r="L59" s="425"/>
      <c r="M59" s="425"/>
      <c r="N59" s="425">
        <f>33103.58/1000</f>
        <v>33.103580000000001</v>
      </c>
      <c r="O59" s="425"/>
      <c r="P59" s="425"/>
      <c r="Q59" s="425"/>
      <c r="R59" s="425"/>
      <c r="S59" s="425"/>
      <c r="T59" s="421"/>
      <c r="U59" s="421"/>
      <c r="V59" s="421"/>
      <c r="W59" s="421"/>
      <c r="X59" s="421"/>
      <c r="Y59" s="419"/>
      <c r="Z59" s="425"/>
      <c r="AA59" s="419"/>
      <c r="AB59" s="425"/>
      <c r="AC59" s="426"/>
      <c r="AD59" s="427">
        <f>SUM(C59:AC59)</f>
        <v>33.103580000000001</v>
      </c>
    </row>
    <row r="60" spans="1:30" s="114" customFormat="1" ht="15" x14ac:dyDescent="0.2">
      <c r="A60" s="508" t="s">
        <v>77</v>
      </c>
      <c r="B60" s="509"/>
      <c r="C60" s="407">
        <f>+SUM(C56:C59)</f>
        <v>0</v>
      </c>
      <c r="D60" s="52">
        <f t="shared" ref="D60:AC60" si="10">+SUM(D56:D59)</f>
        <v>0</v>
      </c>
      <c r="E60" s="419">
        <f t="shared" si="10"/>
        <v>0</v>
      </c>
      <c r="F60" s="424">
        <f t="shared" si="10"/>
        <v>0</v>
      </c>
      <c r="G60" s="424">
        <f t="shared" si="10"/>
        <v>0</v>
      </c>
      <c r="H60" s="424">
        <f t="shared" si="10"/>
        <v>0</v>
      </c>
      <c r="I60" s="424">
        <f t="shared" si="10"/>
        <v>0</v>
      </c>
      <c r="J60" s="424">
        <f t="shared" si="10"/>
        <v>0</v>
      </c>
      <c r="K60" s="424">
        <f t="shared" si="10"/>
        <v>0</v>
      </c>
      <c r="L60" s="424">
        <f t="shared" si="10"/>
        <v>3.91045</v>
      </c>
      <c r="M60" s="424">
        <f t="shared" si="10"/>
        <v>27607.149280000001</v>
      </c>
      <c r="N60" s="424">
        <f t="shared" si="10"/>
        <v>10050.889580000001</v>
      </c>
      <c r="O60" s="424">
        <f t="shared" si="10"/>
        <v>18</v>
      </c>
      <c r="P60" s="424">
        <f t="shared" si="10"/>
        <v>0</v>
      </c>
      <c r="Q60" s="424">
        <f t="shared" si="10"/>
        <v>39.804400000000001</v>
      </c>
      <c r="R60" s="424">
        <f t="shared" si="10"/>
        <v>5313.9506099999999</v>
      </c>
      <c r="S60" s="424">
        <f t="shared" si="10"/>
        <v>65.834699999999998</v>
      </c>
      <c r="T60" s="421">
        <f t="shared" si="10"/>
        <v>0</v>
      </c>
      <c r="U60" s="421">
        <f t="shared" si="10"/>
        <v>0</v>
      </c>
      <c r="V60" s="421">
        <f t="shared" si="10"/>
        <v>0</v>
      </c>
      <c r="W60" s="421">
        <f t="shared" si="10"/>
        <v>0</v>
      </c>
      <c r="X60" s="421">
        <f t="shared" si="10"/>
        <v>0</v>
      </c>
      <c r="Y60" s="419">
        <f t="shared" si="10"/>
        <v>0</v>
      </c>
      <c r="Z60" s="424">
        <f t="shared" si="10"/>
        <v>0</v>
      </c>
      <c r="AA60" s="419">
        <f t="shared" si="10"/>
        <v>0</v>
      </c>
      <c r="AB60" s="424">
        <f t="shared" si="10"/>
        <v>0</v>
      </c>
      <c r="AC60" s="422">
        <f t="shared" si="10"/>
        <v>0</v>
      </c>
      <c r="AD60" s="423">
        <f>SUM(C60:AC60)</f>
        <v>43099.539020000004</v>
      </c>
    </row>
    <row r="61" spans="1:30" s="45" customFormat="1" x14ac:dyDescent="0.2">
      <c r="A61" s="98"/>
      <c r="B61" s="47"/>
      <c r="C61" s="53"/>
      <c r="D61" s="53"/>
      <c r="E61" s="428"/>
      <c r="F61" s="429"/>
      <c r="G61" s="429"/>
      <c r="H61" s="429"/>
      <c r="I61" s="429"/>
      <c r="J61" s="429"/>
      <c r="K61" s="429"/>
      <c r="L61" s="429"/>
      <c r="M61" s="429"/>
      <c r="N61" s="429"/>
      <c r="O61" s="429"/>
      <c r="P61" s="429"/>
      <c r="Q61" s="429"/>
      <c r="R61" s="429"/>
      <c r="S61" s="429"/>
      <c r="T61" s="428"/>
      <c r="U61" s="428"/>
      <c r="V61" s="428"/>
      <c r="W61" s="428"/>
      <c r="X61" s="428"/>
      <c r="Y61" s="428"/>
      <c r="Z61" s="429"/>
      <c r="AA61" s="428"/>
      <c r="AB61" s="429"/>
      <c r="AC61" s="429"/>
      <c r="AD61" s="430"/>
    </row>
    <row r="62" spans="1:30" s="45" customFormat="1" ht="15" x14ac:dyDescent="0.2">
      <c r="A62" s="100" t="s">
        <v>78</v>
      </c>
      <c r="B62" s="131" t="s">
        <v>305</v>
      </c>
      <c r="C62" s="101"/>
      <c r="D62" s="101"/>
      <c r="E62" s="431"/>
      <c r="F62" s="429"/>
      <c r="G62" s="429"/>
      <c r="H62" s="429"/>
      <c r="I62" s="429"/>
      <c r="J62" s="429"/>
      <c r="K62" s="429"/>
      <c r="L62" s="429"/>
      <c r="M62" s="429"/>
      <c r="N62" s="429"/>
      <c r="O62" s="429"/>
      <c r="P62" s="429"/>
      <c r="Q62" s="429"/>
      <c r="R62" s="429"/>
      <c r="S62" s="429"/>
      <c r="T62" s="431"/>
      <c r="U62" s="431"/>
      <c r="V62" s="431"/>
      <c r="W62" s="431"/>
      <c r="X62" s="431"/>
      <c r="Y62" s="431"/>
      <c r="Z62" s="429"/>
      <c r="AA62" s="431"/>
      <c r="AB62" s="429"/>
      <c r="AC62" s="429"/>
      <c r="AD62" s="430"/>
    </row>
    <row r="63" spans="1:30" s="45" customFormat="1" x14ac:dyDescent="0.2">
      <c r="A63" s="95" t="s">
        <v>306</v>
      </c>
      <c r="B63" s="465" t="s">
        <v>307</v>
      </c>
      <c r="C63" s="407"/>
      <c r="D63" s="52"/>
      <c r="E63" s="419"/>
      <c r="F63" s="420"/>
      <c r="G63" s="420"/>
      <c r="H63" s="420"/>
      <c r="I63" s="420"/>
      <c r="J63" s="420"/>
      <c r="K63" s="420"/>
      <c r="L63" s="420"/>
      <c r="M63" s="420"/>
      <c r="N63" s="420"/>
      <c r="O63" s="420"/>
      <c r="P63" s="420"/>
      <c r="Q63" s="420"/>
      <c r="R63" s="420"/>
      <c r="S63" s="420"/>
      <c r="T63" s="421"/>
      <c r="U63" s="421"/>
      <c r="V63" s="421"/>
      <c r="W63" s="421"/>
      <c r="X63" s="421"/>
      <c r="Y63" s="419"/>
      <c r="Z63" s="420"/>
      <c r="AA63" s="419"/>
      <c r="AB63" s="420"/>
      <c r="AC63" s="422"/>
      <c r="AD63" s="423">
        <f t="shared" ref="AD63:AD72" si="11">SUM(C63:AC63)</f>
        <v>0</v>
      </c>
    </row>
    <row r="64" spans="1:30" s="45" customFormat="1" x14ac:dyDescent="0.2">
      <c r="A64" s="95" t="s">
        <v>233</v>
      </c>
      <c r="B64" s="465" t="s">
        <v>308</v>
      </c>
      <c r="C64" s="407"/>
      <c r="D64" s="52"/>
      <c r="E64" s="419"/>
      <c r="F64" s="424"/>
      <c r="G64" s="424"/>
      <c r="H64" s="424"/>
      <c r="I64" s="424"/>
      <c r="J64" s="424"/>
      <c r="K64" s="424"/>
      <c r="L64" s="424"/>
      <c r="M64" s="424"/>
      <c r="N64" s="424"/>
      <c r="O64" s="424"/>
      <c r="P64" s="424"/>
      <c r="Q64" s="424"/>
      <c r="R64" s="424"/>
      <c r="S64" s="424"/>
      <c r="T64" s="421"/>
      <c r="U64" s="421"/>
      <c r="V64" s="421"/>
      <c r="W64" s="421"/>
      <c r="X64" s="421"/>
      <c r="Y64" s="419"/>
      <c r="Z64" s="424"/>
      <c r="AA64" s="419"/>
      <c r="AB64" s="424"/>
      <c r="AC64" s="422"/>
      <c r="AD64" s="423">
        <f t="shared" si="11"/>
        <v>0</v>
      </c>
    </row>
    <row r="65" spans="1:30" s="45" customFormat="1" x14ac:dyDescent="0.2">
      <c r="A65" s="95" t="s">
        <v>234</v>
      </c>
      <c r="B65" s="465" t="s">
        <v>309</v>
      </c>
      <c r="C65" s="407"/>
      <c r="D65" s="52"/>
      <c r="E65" s="419"/>
      <c r="F65" s="424"/>
      <c r="G65" s="424"/>
      <c r="H65" s="424"/>
      <c r="I65" s="424"/>
      <c r="J65" s="424"/>
      <c r="K65" s="424"/>
      <c r="L65" s="424"/>
      <c r="M65" s="424"/>
      <c r="N65" s="424"/>
      <c r="O65" s="424"/>
      <c r="P65" s="424"/>
      <c r="Q65" s="424"/>
      <c r="R65" s="424"/>
      <c r="S65" s="424"/>
      <c r="T65" s="421"/>
      <c r="U65" s="421"/>
      <c r="V65" s="421"/>
      <c r="W65" s="421"/>
      <c r="X65" s="421"/>
      <c r="Y65" s="419"/>
      <c r="Z65" s="424"/>
      <c r="AA65" s="419"/>
      <c r="AB65" s="424"/>
      <c r="AC65" s="422"/>
      <c r="AD65" s="423">
        <f t="shared" si="11"/>
        <v>0</v>
      </c>
    </row>
    <row r="66" spans="1:30" s="45" customFormat="1" x14ac:dyDescent="0.2">
      <c r="A66" s="95" t="s">
        <v>310</v>
      </c>
      <c r="B66" s="465" t="s">
        <v>311</v>
      </c>
      <c r="C66" s="407"/>
      <c r="D66" s="52"/>
      <c r="E66" s="419"/>
      <c r="F66" s="424"/>
      <c r="G66" s="424"/>
      <c r="H66" s="424"/>
      <c r="I66" s="424"/>
      <c r="J66" s="424"/>
      <c r="K66" s="424"/>
      <c r="L66" s="424"/>
      <c r="M66" s="424"/>
      <c r="N66" s="424">
        <f>253674.21/1000</f>
        <v>253.67420999999999</v>
      </c>
      <c r="O66" s="424"/>
      <c r="P66" s="424"/>
      <c r="Q66" s="424"/>
      <c r="R66" s="424">
        <f>17500/1000</f>
        <v>17.5</v>
      </c>
      <c r="S66" s="424"/>
      <c r="T66" s="421"/>
      <c r="U66" s="421"/>
      <c r="V66" s="421"/>
      <c r="W66" s="421"/>
      <c r="X66" s="421"/>
      <c r="Y66" s="419"/>
      <c r="Z66" s="424"/>
      <c r="AA66" s="419"/>
      <c r="AB66" s="424"/>
      <c r="AC66" s="422"/>
      <c r="AD66" s="423">
        <f t="shared" si="11"/>
        <v>271.17421000000002</v>
      </c>
    </row>
    <row r="67" spans="1:30" s="45" customFormat="1" x14ac:dyDescent="0.2">
      <c r="A67" s="95" t="s">
        <v>312</v>
      </c>
      <c r="B67" s="465" t="s">
        <v>313</v>
      </c>
      <c r="C67" s="407"/>
      <c r="D67" s="52"/>
      <c r="E67" s="419"/>
      <c r="F67" s="424"/>
      <c r="G67" s="424"/>
      <c r="H67" s="424"/>
      <c r="I67" s="424"/>
      <c r="J67" s="424"/>
      <c r="K67" s="424"/>
      <c r="L67" s="424"/>
      <c r="M67" s="424"/>
      <c r="N67" s="424"/>
      <c r="O67" s="424"/>
      <c r="P67" s="424"/>
      <c r="Q67" s="424"/>
      <c r="R67" s="424"/>
      <c r="S67" s="424"/>
      <c r="T67" s="421"/>
      <c r="U67" s="421"/>
      <c r="V67" s="421"/>
      <c r="W67" s="421"/>
      <c r="X67" s="421"/>
      <c r="Y67" s="419"/>
      <c r="Z67" s="424"/>
      <c r="AA67" s="419"/>
      <c r="AB67" s="424"/>
      <c r="AC67" s="422"/>
      <c r="AD67" s="423">
        <f t="shared" si="11"/>
        <v>0</v>
      </c>
    </row>
    <row r="68" spans="1:30" s="45" customFormat="1" x14ac:dyDescent="0.2">
      <c r="A68" s="95" t="s">
        <v>314</v>
      </c>
      <c r="B68" s="465" t="s">
        <v>315</v>
      </c>
      <c r="C68" s="407"/>
      <c r="D68" s="52"/>
      <c r="E68" s="419"/>
      <c r="F68" s="424"/>
      <c r="G68" s="424"/>
      <c r="H68" s="424"/>
      <c r="I68" s="424"/>
      <c r="J68" s="424"/>
      <c r="K68" s="424"/>
      <c r="L68" s="424"/>
      <c r="M68" s="424"/>
      <c r="N68" s="424"/>
      <c r="O68" s="424"/>
      <c r="P68" s="424"/>
      <c r="Q68" s="424"/>
      <c r="R68" s="424"/>
      <c r="S68" s="424"/>
      <c r="T68" s="421"/>
      <c r="U68" s="421"/>
      <c r="V68" s="421"/>
      <c r="W68" s="421"/>
      <c r="X68" s="421"/>
      <c r="Y68" s="419"/>
      <c r="Z68" s="424"/>
      <c r="AA68" s="419"/>
      <c r="AB68" s="424"/>
      <c r="AC68" s="422"/>
      <c r="AD68" s="423">
        <f t="shared" si="11"/>
        <v>0</v>
      </c>
    </row>
    <row r="69" spans="1:30" s="45" customFormat="1" x14ac:dyDescent="0.2">
      <c r="A69" s="95" t="s">
        <v>316</v>
      </c>
      <c r="B69" s="465" t="s">
        <v>317</v>
      </c>
      <c r="C69" s="407"/>
      <c r="D69" s="52"/>
      <c r="E69" s="419"/>
      <c r="F69" s="424"/>
      <c r="G69" s="424"/>
      <c r="H69" s="424"/>
      <c r="I69" s="424"/>
      <c r="J69" s="424"/>
      <c r="K69" s="424"/>
      <c r="L69" s="424"/>
      <c r="M69" s="424"/>
      <c r="N69" s="424"/>
      <c r="O69" s="424"/>
      <c r="P69" s="424"/>
      <c r="Q69" s="424"/>
      <c r="R69" s="424">
        <f>107625/1000</f>
        <v>107.625</v>
      </c>
      <c r="S69" s="424"/>
      <c r="T69" s="421"/>
      <c r="U69" s="421"/>
      <c r="V69" s="421"/>
      <c r="W69" s="421"/>
      <c r="X69" s="421"/>
      <c r="Y69" s="419"/>
      <c r="Z69" s="424"/>
      <c r="AA69" s="419"/>
      <c r="AB69" s="424"/>
      <c r="AC69" s="422"/>
      <c r="AD69" s="423">
        <f t="shared" si="11"/>
        <v>107.625</v>
      </c>
    </row>
    <row r="70" spans="1:30" s="45" customFormat="1" x14ac:dyDescent="0.2">
      <c r="A70" s="95" t="s">
        <v>318</v>
      </c>
      <c r="B70" s="465" t="s">
        <v>319</v>
      </c>
      <c r="C70" s="407"/>
      <c r="D70" s="52"/>
      <c r="E70" s="419"/>
      <c r="F70" s="424"/>
      <c r="G70" s="424"/>
      <c r="H70" s="424"/>
      <c r="I70" s="424"/>
      <c r="J70" s="424"/>
      <c r="K70" s="424"/>
      <c r="L70" s="424"/>
      <c r="M70" s="424"/>
      <c r="N70" s="424"/>
      <c r="O70" s="424"/>
      <c r="P70" s="424"/>
      <c r="Q70" s="424"/>
      <c r="R70" s="424"/>
      <c r="S70" s="424"/>
      <c r="T70" s="421"/>
      <c r="U70" s="421"/>
      <c r="V70" s="421"/>
      <c r="W70" s="421"/>
      <c r="X70" s="421"/>
      <c r="Y70" s="419"/>
      <c r="Z70" s="424"/>
      <c r="AA70" s="419"/>
      <c r="AB70" s="424"/>
      <c r="AC70" s="422"/>
      <c r="AD70" s="423">
        <f t="shared" si="11"/>
        <v>0</v>
      </c>
    </row>
    <row r="71" spans="1:30" s="45" customFormat="1" x14ac:dyDescent="0.2">
      <c r="A71" s="95" t="s">
        <v>320</v>
      </c>
      <c r="B71" s="465" t="s">
        <v>321</v>
      </c>
      <c r="C71" s="407"/>
      <c r="D71" s="52"/>
      <c r="E71" s="419"/>
      <c r="F71" s="425"/>
      <c r="G71" s="425"/>
      <c r="H71" s="425"/>
      <c r="I71" s="425"/>
      <c r="J71" s="425"/>
      <c r="K71" s="425"/>
      <c r="L71" s="425"/>
      <c r="M71" s="425"/>
      <c r="N71" s="425"/>
      <c r="O71" s="425"/>
      <c r="P71" s="425"/>
      <c r="Q71" s="425"/>
      <c r="R71" s="425"/>
      <c r="S71" s="425"/>
      <c r="T71" s="421"/>
      <c r="U71" s="421"/>
      <c r="V71" s="421"/>
      <c r="W71" s="421"/>
      <c r="X71" s="421"/>
      <c r="Y71" s="419"/>
      <c r="Z71" s="425"/>
      <c r="AA71" s="419"/>
      <c r="AB71" s="425"/>
      <c r="AC71" s="426"/>
      <c r="AD71" s="427">
        <f t="shared" si="11"/>
        <v>0</v>
      </c>
    </row>
    <row r="72" spans="1:30" s="45" customFormat="1" ht="15" x14ac:dyDescent="0.2">
      <c r="A72" s="508" t="s">
        <v>81</v>
      </c>
      <c r="B72" s="509"/>
      <c r="C72" s="407">
        <f>SUM(C63:C71)</f>
        <v>0</v>
      </c>
      <c r="D72" s="52">
        <f t="shared" ref="D72:AC72" si="12">SUM(D63:D71)</f>
        <v>0</v>
      </c>
      <c r="E72" s="419">
        <f t="shared" si="12"/>
        <v>0</v>
      </c>
      <c r="F72" s="424">
        <f t="shared" si="12"/>
        <v>0</v>
      </c>
      <c r="G72" s="424">
        <f t="shared" si="12"/>
        <v>0</v>
      </c>
      <c r="H72" s="424">
        <f t="shared" si="12"/>
        <v>0</v>
      </c>
      <c r="I72" s="424">
        <f t="shared" si="12"/>
        <v>0</v>
      </c>
      <c r="J72" s="424">
        <f t="shared" si="12"/>
        <v>0</v>
      </c>
      <c r="K72" s="424">
        <f t="shared" si="12"/>
        <v>0</v>
      </c>
      <c r="L72" s="424">
        <f t="shared" si="12"/>
        <v>0</v>
      </c>
      <c r="M72" s="424">
        <f t="shared" si="12"/>
        <v>0</v>
      </c>
      <c r="N72" s="424">
        <f t="shared" si="12"/>
        <v>253.67420999999999</v>
      </c>
      <c r="O72" s="424">
        <f t="shared" si="12"/>
        <v>0</v>
      </c>
      <c r="P72" s="424">
        <f t="shared" si="12"/>
        <v>0</v>
      </c>
      <c r="Q72" s="424">
        <f t="shared" si="12"/>
        <v>0</v>
      </c>
      <c r="R72" s="424">
        <f t="shared" si="12"/>
        <v>125.125</v>
      </c>
      <c r="S72" s="424">
        <f t="shared" si="12"/>
        <v>0</v>
      </c>
      <c r="T72" s="421">
        <f t="shared" si="12"/>
        <v>0</v>
      </c>
      <c r="U72" s="421">
        <f t="shared" si="12"/>
        <v>0</v>
      </c>
      <c r="V72" s="421">
        <f t="shared" si="12"/>
        <v>0</v>
      </c>
      <c r="W72" s="421">
        <f t="shared" si="12"/>
        <v>0</v>
      </c>
      <c r="X72" s="421">
        <f t="shared" si="12"/>
        <v>0</v>
      </c>
      <c r="Y72" s="419">
        <f t="shared" si="12"/>
        <v>0</v>
      </c>
      <c r="Z72" s="424">
        <f t="shared" si="12"/>
        <v>0</v>
      </c>
      <c r="AA72" s="419">
        <f t="shared" si="12"/>
        <v>0</v>
      </c>
      <c r="AB72" s="424">
        <f t="shared" si="12"/>
        <v>0</v>
      </c>
      <c r="AC72" s="422">
        <f t="shared" si="12"/>
        <v>0</v>
      </c>
      <c r="AD72" s="423">
        <f t="shared" si="11"/>
        <v>378.79921000000002</v>
      </c>
    </row>
    <row r="73" spans="1:30" s="45" customFormat="1" x14ac:dyDescent="0.2">
      <c r="A73" s="98"/>
      <c r="B73" s="47"/>
      <c r="C73" s="53"/>
      <c r="D73" s="53"/>
      <c r="E73" s="428"/>
      <c r="F73" s="429"/>
      <c r="G73" s="429"/>
      <c r="H73" s="429"/>
      <c r="I73" s="429"/>
      <c r="J73" s="429"/>
      <c r="K73" s="429"/>
      <c r="L73" s="429"/>
      <c r="M73" s="429"/>
      <c r="N73" s="429"/>
      <c r="O73" s="429"/>
      <c r="P73" s="429"/>
      <c r="Q73" s="429"/>
      <c r="R73" s="429"/>
      <c r="S73" s="429"/>
      <c r="T73" s="428"/>
      <c r="U73" s="428"/>
      <c r="V73" s="428"/>
      <c r="W73" s="428"/>
      <c r="X73" s="428"/>
      <c r="Y73" s="428"/>
      <c r="Z73" s="429"/>
      <c r="AA73" s="428"/>
      <c r="AB73" s="429"/>
      <c r="AC73" s="429"/>
      <c r="AD73" s="430"/>
    </row>
    <row r="74" spans="1:30" s="45" customFormat="1" ht="15" x14ac:dyDescent="0.2">
      <c r="A74" s="100" t="s">
        <v>82</v>
      </c>
      <c r="B74" s="131" t="s">
        <v>79</v>
      </c>
      <c r="C74" s="101"/>
      <c r="D74" s="101"/>
      <c r="E74" s="431"/>
      <c r="F74" s="429"/>
      <c r="G74" s="429"/>
      <c r="H74" s="429"/>
      <c r="I74" s="429"/>
      <c r="J74" s="429"/>
      <c r="K74" s="429"/>
      <c r="L74" s="429"/>
      <c r="M74" s="429"/>
      <c r="N74" s="429"/>
      <c r="O74" s="429"/>
      <c r="P74" s="429"/>
      <c r="Q74" s="429"/>
      <c r="R74" s="429"/>
      <c r="S74" s="429"/>
      <c r="T74" s="431"/>
      <c r="U74" s="431"/>
      <c r="V74" s="431"/>
      <c r="W74" s="431"/>
      <c r="X74" s="431"/>
      <c r="Y74" s="431"/>
      <c r="Z74" s="429"/>
      <c r="AA74" s="431"/>
      <c r="AB74" s="429"/>
      <c r="AC74" s="429"/>
      <c r="AD74" s="430"/>
    </row>
    <row r="75" spans="1:30" s="45" customFormat="1" x14ac:dyDescent="0.2">
      <c r="A75" s="95" t="s">
        <v>322</v>
      </c>
      <c r="B75" s="465" t="s">
        <v>323</v>
      </c>
      <c r="C75" s="407"/>
      <c r="D75" s="52"/>
      <c r="E75" s="419"/>
      <c r="F75" s="420"/>
      <c r="G75" s="420"/>
      <c r="H75" s="420"/>
      <c r="I75" s="420"/>
      <c r="J75" s="420"/>
      <c r="K75" s="420"/>
      <c r="L75" s="420"/>
      <c r="M75" s="420"/>
      <c r="N75" s="420"/>
      <c r="O75" s="420"/>
      <c r="P75" s="420"/>
      <c r="Q75" s="420"/>
      <c r="R75" s="420"/>
      <c r="S75" s="420"/>
      <c r="T75" s="421"/>
      <c r="U75" s="421"/>
      <c r="V75" s="421"/>
      <c r="W75" s="421"/>
      <c r="X75" s="421"/>
      <c r="Y75" s="419"/>
      <c r="Z75" s="420"/>
      <c r="AA75" s="419"/>
      <c r="AB75" s="420"/>
      <c r="AC75" s="422"/>
      <c r="AD75" s="423">
        <f>SUM(C75:AC75)</f>
        <v>0</v>
      </c>
    </row>
    <row r="76" spans="1:30" s="45" customFormat="1" x14ac:dyDescent="0.2">
      <c r="A76" s="95" t="s">
        <v>324</v>
      </c>
      <c r="B76" s="465" t="s">
        <v>80</v>
      </c>
      <c r="C76" s="407"/>
      <c r="D76" s="52"/>
      <c r="E76" s="419"/>
      <c r="F76" s="424"/>
      <c r="G76" s="424">
        <f>118450.68/1000</f>
        <v>118.45067999999999</v>
      </c>
      <c r="H76" s="424">
        <f>8700.35/1000</f>
        <v>8.7003500000000003</v>
      </c>
      <c r="I76" s="424"/>
      <c r="J76" s="424">
        <f>45852.24/1000</f>
        <v>45.852239999999995</v>
      </c>
      <c r="K76" s="424">
        <f>23009/1000</f>
        <v>23.009</v>
      </c>
      <c r="L76" s="424">
        <f>413115.78/1000</f>
        <v>413.11578000000003</v>
      </c>
      <c r="M76" s="424"/>
      <c r="N76" s="424">
        <f>738747.58/1000</f>
        <v>738.74757999999997</v>
      </c>
      <c r="O76" s="424">
        <f>34568.01/1000</f>
        <v>34.568010000000001</v>
      </c>
      <c r="P76" s="424">
        <f>21580/1000</f>
        <v>21.58</v>
      </c>
      <c r="Q76" s="424"/>
      <c r="R76" s="424"/>
      <c r="S76" s="424">
        <f>4370736.74/1000</f>
        <v>4370.7367400000003</v>
      </c>
      <c r="T76" s="421"/>
      <c r="U76" s="421"/>
      <c r="V76" s="421"/>
      <c r="W76" s="421"/>
      <c r="X76" s="476"/>
      <c r="Y76" s="419"/>
      <c r="Z76" s="424"/>
      <c r="AA76" s="419"/>
      <c r="AB76" s="424"/>
      <c r="AC76" s="422"/>
      <c r="AD76" s="423">
        <f>SUM(C76:AC76)</f>
        <v>5774.7603799999997</v>
      </c>
    </row>
    <row r="77" spans="1:30" s="45" customFormat="1" x14ac:dyDescent="0.2">
      <c r="A77" s="95" t="s">
        <v>325</v>
      </c>
      <c r="B77" s="465" t="s">
        <v>326</v>
      </c>
      <c r="C77" s="407"/>
      <c r="D77" s="52"/>
      <c r="E77" s="419"/>
      <c r="F77" s="424"/>
      <c r="G77" s="424"/>
      <c r="H77" s="424"/>
      <c r="I77" s="424"/>
      <c r="J77" s="424"/>
      <c r="K77" s="424"/>
      <c r="L77" s="424"/>
      <c r="M77" s="424"/>
      <c r="N77" s="424">
        <f>4326/1000</f>
        <v>4.3259999999999996</v>
      </c>
      <c r="O77" s="424"/>
      <c r="P77" s="424">
        <f>94040.77/1000</f>
        <v>94.040770000000009</v>
      </c>
      <c r="Q77" s="424"/>
      <c r="R77" s="424">
        <f>6836.03/1000</f>
        <v>6.8360300000000001</v>
      </c>
      <c r="S77" s="424"/>
      <c r="T77" s="421"/>
      <c r="U77" s="421"/>
      <c r="V77" s="421"/>
      <c r="W77" s="421"/>
      <c r="X77" s="421"/>
      <c r="Y77" s="419"/>
      <c r="Z77" s="424"/>
      <c r="AA77" s="419"/>
      <c r="AB77" s="424"/>
      <c r="AC77" s="422"/>
      <c r="AD77" s="423">
        <f>SUM(C77:AC77)</f>
        <v>105.2028</v>
      </c>
    </row>
    <row r="78" spans="1:30" s="45" customFormat="1" x14ac:dyDescent="0.2">
      <c r="A78" s="95" t="s">
        <v>327</v>
      </c>
      <c r="B78" s="465" t="s">
        <v>328</v>
      </c>
      <c r="C78" s="407"/>
      <c r="D78" s="52"/>
      <c r="E78" s="419"/>
      <c r="F78" s="425"/>
      <c r="G78" s="425"/>
      <c r="H78" s="425"/>
      <c r="I78" s="425"/>
      <c r="J78" s="425"/>
      <c r="K78" s="425"/>
      <c r="L78" s="425"/>
      <c r="M78" s="425"/>
      <c r="N78" s="425"/>
      <c r="O78" s="425"/>
      <c r="P78" s="425"/>
      <c r="Q78" s="425"/>
      <c r="R78" s="425"/>
      <c r="S78" s="425"/>
      <c r="T78" s="421"/>
      <c r="U78" s="421"/>
      <c r="V78" s="421"/>
      <c r="W78" s="421"/>
      <c r="X78" s="421"/>
      <c r="Y78" s="419"/>
      <c r="Z78" s="425"/>
      <c r="AA78" s="419"/>
      <c r="AB78" s="425"/>
      <c r="AC78" s="426"/>
      <c r="AD78" s="427">
        <f>SUM(C78:AC78)</f>
        <v>0</v>
      </c>
    </row>
    <row r="79" spans="1:30" s="45" customFormat="1" ht="15" x14ac:dyDescent="0.2">
      <c r="A79" s="508" t="s">
        <v>88</v>
      </c>
      <c r="B79" s="509"/>
      <c r="C79" s="407">
        <f>SUM(C75:C78)</f>
        <v>0</v>
      </c>
      <c r="D79" s="52">
        <f t="shared" ref="D79:AC79" si="13">SUM(D75:D78)</f>
        <v>0</v>
      </c>
      <c r="E79" s="419">
        <f t="shared" si="13"/>
        <v>0</v>
      </c>
      <c r="F79" s="424">
        <f t="shared" si="13"/>
        <v>0</v>
      </c>
      <c r="G79" s="424">
        <f t="shared" si="13"/>
        <v>118.45067999999999</v>
      </c>
      <c r="H79" s="424">
        <f t="shared" si="13"/>
        <v>8.7003500000000003</v>
      </c>
      <c r="I79" s="424">
        <f t="shared" si="13"/>
        <v>0</v>
      </c>
      <c r="J79" s="424">
        <f t="shared" si="13"/>
        <v>45.852239999999995</v>
      </c>
      <c r="K79" s="424">
        <f t="shared" si="13"/>
        <v>23.009</v>
      </c>
      <c r="L79" s="424">
        <f t="shared" si="13"/>
        <v>413.11578000000003</v>
      </c>
      <c r="M79" s="424">
        <f t="shared" si="13"/>
        <v>0</v>
      </c>
      <c r="N79" s="424">
        <f t="shared" si="13"/>
        <v>743.07357999999999</v>
      </c>
      <c r="O79" s="424">
        <f t="shared" si="13"/>
        <v>34.568010000000001</v>
      </c>
      <c r="P79" s="424">
        <f t="shared" si="13"/>
        <v>115.62077000000001</v>
      </c>
      <c r="Q79" s="424">
        <f t="shared" si="13"/>
        <v>0</v>
      </c>
      <c r="R79" s="424">
        <f t="shared" si="13"/>
        <v>6.8360300000000001</v>
      </c>
      <c r="S79" s="424">
        <f t="shared" si="13"/>
        <v>4370.7367400000003</v>
      </c>
      <c r="T79" s="421">
        <f t="shared" si="13"/>
        <v>0</v>
      </c>
      <c r="U79" s="421">
        <f t="shared" si="13"/>
        <v>0</v>
      </c>
      <c r="V79" s="421">
        <f t="shared" si="13"/>
        <v>0</v>
      </c>
      <c r="W79" s="421">
        <f t="shared" si="13"/>
        <v>0</v>
      </c>
      <c r="X79" s="421">
        <f t="shared" si="13"/>
        <v>0</v>
      </c>
      <c r="Y79" s="419">
        <f t="shared" si="13"/>
        <v>0</v>
      </c>
      <c r="Z79" s="424">
        <f t="shared" si="13"/>
        <v>0</v>
      </c>
      <c r="AA79" s="419">
        <f t="shared" si="13"/>
        <v>0</v>
      </c>
      <c r="AB79" s="424">
        <f t="shared" si="13"/>
        <v>0</v>
      </c>
      <c r="AC79" s="422">
        <f t="shared" si="13"/>
        <v>0</v>
      </c>
      <c r="AD79" s="423">
        <f>SUM(C79:AC79)</f>
        <v>5879.9631800000006</v>
      </c>
    </row>
    <row r="80" spans="1:30" s="45" customFormat="1" x14ac:dyDescent="0.2">
      <c r="A80" s="98"/>
      <c r="B80" s="47"/>
      <c r="C80" s="53"/>
      <c r="D80" s="53"/>
      <c r="E80" s="428"/>
      <c r="F80" s="429"/>
      <c r="G80" s="429"/>
      <c r="H80" s="429"/>
      <c r="I80" s="429"/>
      <c r="J80" s="429"/>
      <c r="K80" s="429"/>
      <c r="L80" s="429"/>
      <c r="M80" s="429"/>
      <c r="N80" s="429"/>
      <c r="O80" s="429"/>
      <c r="P80" s="429"/>
      <c r="Q80" s="429"/>
      <c r="R80" s="429"/>
      <c r="S80" s="429"/>
      <c r="T80" s="428"/>
      <c r="U80" s="428"/>
      <c r="V80" s="428"/>
      <c r="W80" s="428"/>
      <c r="X80" s="428"/>
      <c r="Y80" s="428"/>
      <c r="Z80" s="429"/>
      <c r="AA80" s="428"/>
      <c r="AB80" s="429"/>
      <c r="AC80" s="429"/>
      <c r="AD80" s="430"/>
    </row>
    <row r="81" spans="1:30" s="45" customFormat="1" ht="15" x14ac:dyDescent="0.2">
      <c r="A81" s="44" t="s">
        <v>59</v>
      </c>
      <c r="B81" s="132" t="s">
        <v>83</v>
      </c>
      <c r="C81" s="101"/>
      <c r="D81" s="101"/>
      <c r="E81" s="431"/>
      <c r="F81" s="429"/>
      <c r="G81" s="429"/>
      <c r="H81" s="429"/>
      <c r="I81" s="429"/>
      <c r="J81" s="429"/>
      <c r="K81" s="429"/>
      <c r="L81" s="429"/>
      <c r="M81" s="429"/>
      <c r="N81" s="429"/>
      <c r="O81" s="429"/>
      <c r="P81" s="429"/>
      <c r="Q81" s="429"/>
      <c r="R81" s="429"/>
      <c r="S81" s="429"/>
      <c r="T81" s="431"/>
      <c r="U81" s="431"/>
      <c r="V81" s="431"/>
      <c r="W81" s="429"/>
      <c r="X81" s="431"/>
      <c r="Y81" s="431"/>
      <c r="Z81" s="431"/>
      <c r="AA81" s="431"/>
      <c r="AB81" s="429"/>
      <c r="AC81" s="429"/>
      <c r="AD81" s="430"/>
    </row>
    <row r="82" spans="1:30" s="45" customFormat="1" x14ac:dyDescent="0.2">
      <c r="A82" s="95" t="s">
        <v>28</v>
      </c>
      <c r="B82" s="465" t="s">
        <v>84</v>
      </c>
      <c r="C82" s="407"/>
      <c r="D82" s="52"/>
      <c r="E82" s="421"/>
      <c r="F82" s="420"/>
      <c r="G82" s="420"/>
      <c r="H82" s="420"/>
      <c r="I82" s="420"/>
      <c r="J82" s="420"/>
      <c r="K82" s="420"/>
      <c r="L82" s="420"/>
      <c r="M82" s="420"/>
      <c r="N82" s="420"/>
      <c r="O82" s="420"/>
      <c r="P82" s="420"/>
      <c r="Q82" s="420"/>
      <c r="R82" s="420">
        <f>402175.37/1000</f>
        <v>402.17536999999999</v>
      </c>
      <c r="S82" s="420">
        <f>1367865.45/1000</f>
        <v>1367.86545</v>
      </c>
      <c r="T82" s="421"/>
      <c r="U82" s="421"/>
      <c r="V82" s="421"/>
      <c r="W82" s="420"/>
      <c r="X82" s="421"/>
      <c r="Y82" s="421"/>
      <c r="Z82" s="421"/>
      <c r="AA82" s="421"/>
      <c r="AB82" s="420"/>
      <c r="AC82" s="422"/>
      <c r="AD82" s="423">
        <f t="shared" ref="AD82:AD92" si="14">SUM(C82:AC82)</f>
        <v>1770.0408199999999</v>
      </c>
    </row>
    <row r="83" spans="1:30" s="45" customFormat="1" x14ac:dyDescent="0.2">
      <c r="A83" s="95" t="s">
        <v>329</v>
      </c>
      <c r="B83" s="465" t="s">
        <v>86</v>
      </c>
      <c r="C83" s="407"/>
      <c r="D83" s="52"/>
      <c r="E83" s="421"/>
      <c r="F83" s="424"/>
      <c r="G83" s="424"/>
      <c r="H83" s="424"/>
      <c r="I83" s="424"/>
      <c r="J83" s="424"/>
      <c r="K83" s="424"/>
      <c r="L83" s="424"/>
      <c r="M83" s="424"/>
      <c r="N83" s="424"/>
      <c r="O83" s="424"/>
      <c r="P83" s="424"/>
      <c r="Q83" s="424"/>
      <c r="R83" s="424">
        <f>7699421.73/1000</f>
        <v>7699.42173</v>
      </c>
      <c r="S83" s="424">
        <f>(33069903)/1000</f>
        <v>33069.902999999998</v>
      </c>
      <c r="T83" s="421"/>
      <c r="U83" s="421"/>
      <c r="V83" s="424"/>
      <c r="W83" s="424"/>
      <c r="X83" s="421"/>
      <c r="Y83" s="421"/>
      <c r="Z83" s="421"/>
      <c r="AA83" s="421"/>
      <c r="AB83" s="424"/>
      <c r="AC83" s="422"/>
      <c r="AD83" s="423">
        <f t="shared" si="14"/>
        <v>40769.32473</v>
      </c>
    </row>
    <row r="84" spans="1:30" s="45" customFormat="1" x14ac:dyDescent="0.2">
      <c r="A84" s="95" t="s">
        <v>330</v>
      </c>
      <c r="B84" s="465" t="s">
        <v>331</v>
      </c>
      <c r="C84" s="407"/>
      <c r="D84" s="52"/>
      <c r="E84" s="421"/>
      <c r="F84" s="424"/>
      <c r="G84" s="424"/>
      <c r="H84" s="424"/>
      <c r="I84" s="424"/>
      <c r="J84" s="424"/>
      <c r="K84" s="424"/>
      <c r="L84" s="424"/>
      <c r="M84" s="424"/>
      <c r="N84" s="424">
        <f>88440069/1000</f>
        <v>88440.069000000003</v>
      </c>
      <c r="O84" s="424">
        <f>40707.69/1000</f>
        <v>40.707689999999999</v>
      </c>
      <c r="P84" s="424"/>
      <c r="Q84" s="424"/>
      <c r="R84" s="424"/>
      <c r="S84" s="424"/>
      <c r="T84" s="421"/>
      <c r="U84" s="421"/>
      <c r="V84" s="421"/>
      <c r="W84" s="421"/>
      <c r="X84" s="421"/>
      <c r="Y84" s="421"/>
      <c r="Z84" s="421"/>
      <c r="AA84" s="421"/>
      <c r="AB84" s="424"/>
      <c r="AC84" s="422"/>
      <c r="AD84" s="423">
        <f t="shared" si="14"/>
        <v>88480.776689999999</v>
      </c>
    </row>
    <row r="85" spans="1:30" s="45" customFormat="1" x14ac:dyDescent="0.2">
      <c r="A85" s="95" t="s">
        <v>332</v>
      </c>
      <c r="B85" s="133" t="s">
        <v>333</v>
      </c>
      <c r="C85" s="407"/>
      <c r="D85" s="51"/>
      <c r="E85" s="422">
        <f>53611233.49/1000</f>
        <v>53611.233489999999</v>
      </c>
      <c r="F85" s="424"/>
      <c r="G85" s="424"/>
      <c r="H85" s="424"/>
      <c r="I85" s="424"/>
      <c r="J85" s="424"/>
      <c r="K85" s="424"/>
      <c r="L85" s="424"/>
      <c r="M85" s="424"/>
      <c r="N85" s="424"/>
      <c r="O85" s="424"/>
      <c r="P85" s="424"/>
      <c r="Q85" s="424"/>
      <c r="R85" s="424"/>
      <c r="S85" s="424"/>
      <c r="T85" s="421"/>
      <c r="U85" s="421"/>
      <c r="V85" s="421"/>
      <c r="W85" s="421"/>
      <c r="X85" s="421"/>
      <c r="Y85" s="421"/>
      <c r="Z85" s="421"/>
      <c r="AA85" s="421"/>
      <c r="AB85" s="424"/>
      <c r="AC85" s="422"/>
      <c r="AD85" s="423">
        <f t="shared" si="14"/>
        <v>53611.233489999999</v>
      </c>
    </row>
    <row r="86" spans="1:30" s="45" customFormat="1" x14ac:dyDescent="0.2">
      <c r="A86" s="102" t="s">
        <v>334</v>
      </c>
      <c r="B86" s="133" t="s">
        <v>85</v>
      </c>
      <c r="C86" s="407"/>
      <c r="D86" s="52"/>
      <c r="E86" s="421"/>
      <c r="F86" s="424"/>
      <c r="G86" s="424"/>
      <c r="H86" s="424"/>
      <c r="I86" s="424"/>
      <c r="J86" s="424"/>
      <c r="K86" s="424"/>
      <c r="L86" s="424"/>
      <c r="M86" s="424">
        <f>43045.03/1000</f>
        <v>43.045029999999997</v>
      </c>
      <c r="N86" s="424"/>
      <c r="O86" s="424"/>
      <c r="P86" s="424"/>
      <c r="Q86" s="424"/>
      <c r="R86" s="424">
        <f>226375/1000</f>
        <v>226.375</v>
      </c>
      <c r="S86" s="424"/>
      <c r="T86" s="421"/>
      <c r="U86" s="421"/>
      <c r="V86" s="421"/>
      <c r="W86" s="421"/>
      <c r="X86" s="421"/>
      <c r="Y86" s="421"/>
      <c r="Z86" s="424"/>
      <c r="AA86" s="421"/>
      <c r="AB86" s="424"/>
      <c r="AC86" s="426"/>
      <c r="AD86" s="423">
        <f t="shared" si="14"/>
        <v>269.42003</v>
      </c>
    </row>
    <row r="87" spans="1:30" s="45" customFormat="1" x14ac:dyDescent="0.2">
      <c r="A87" s="102" t="s">
        <v>335</v>
      </c>
      <c r="B87" s="133" t="s">
        <v>336</v>
      </c>
      <c r="C87" s="407"/>
      <c r="D87" s="52"/>
      <c r="E87" s="421"/>
      <c r="F87" s="424"/>
      <c r="G87" s="424"/>
      <c r="H87" s="424"/>
      <c r="I87" s="424"/>
      <c r="J87" s="424"/>
      <c r="K87" s="424"/>
      <c r="L87" s="424"/>
      <c r="M87" s="424"/>
      <c r="N87" s="424">
        <f>133194.33/1000</f>
        <v>133.19432999999998</v>
      </c>
      <c r="O87" s="424"/>
      <c r="P87" s="424">
        <f>782999.56/1000</f>
        <v>782.99956000000009</v>
      </c>
      <c r="Q87" s="424"/>
      <c r="R87" s="424"/>
      <c r="S87" s="425"/>
      <c r="T87" s="421"/>
      <c r="U87" s="421"/>
      <c r="V87" s="421"/>
      <c r="W87" s="421"/>
      <c r="X87" s="421"/>
      <c r="Y87" s="421"/>
      <c r="Z87" s="421"/>
      <c r="AA87" s="421"/>
      <c r="AB87" s="424"/>
      <c r="AC87" s="426"/>
      <c r="AD87" s="423">
        <f t="shared" si="14"/>
        <v>916.19389000000001</v>
      </c>
    </row>
    <row r="88" spans="1:30" s="45" customFormat="1" x14ac:dyDescent="0.2">
      <c r="A88" s="102" t="s">
        <v>337</v>
      </c>
      <c r="B88" s="133" t="s">
        <v>87</v>
      </c>
      <c r="C88" s="407"/>
      <c r="D88" s="52"/>
      <c r="E88" s="421"/>
      <c r="F88" s="421"/>
      <c r="G88" s="421"/>
      <c r="H88" s="421"/>
      <c r="I88" s="421"/>
      <c r="J88" s="421"/>
      <c r="K88" s="421"/>
      <c r="L88" s="421"/>
      <c r="M88" s="421"/>
      <c r="N88" s="421"/>
      <c r="O88" s="421"/>
      <c r="P88" s="421"/>
      <c r="Q88" s="421"/>
      <c r="R88" s="421"/>
      <c r="S88" s="424"/>
      <c r="T88" s="421"/>
      <c r="U88" s="421"/>
      <c r="V88" s="421"/>
      <c r="W88" s="421"/>
      <c r="X88" s="421"/>
      <c r="Y88" s="421"/>
      <c r="Z88" s="421"/>
      <c r="AA88" s="421"/>
      <c r="AB88" s="424"/>
      <c r="AC88" s="426"/>
      <c r="AD88" s="423">
        <f t="shared" si="14"/>
        <v>0</v>
      </c>
    </row>
    <row r="89" spans="1:30" s="45" customFormat="1" x14ac:dyDescent="0.2">
      <c r="A89" s="102" t="s">
        <v>338</v>
      </c>
      <c r="B89" s="133" t="s">
        <v>498</v>
      </c>
      <c r="C89" s="407"/>
      <c r="D89" s="52"/>
      <c r="E89" s="421"/>
      <c r="F89" s="421"/>
      <c r="G89" s="421"/>
      <c r="H89" s="421"/>
      <c r="I89" s="421"/>
      <c r="J89" s="421"/>
      <c r="K89" s="421"/>
      <c r="L89" s="421"/>
      <c r="M89" s="421"/>
      <c r="N89" s="421"/>
      <c r="O89" s="421"/>
      <c r="P89" s="421"/>
      <c r="Q89" s="421"/>
      <c r="R89" s="421"/>
      <c r="S89" s="424"/>
      <c r="T89" s="421"/>
      <c r="U89" s="421"/>
      <c r="V89" s="421"/>
      <c r="W89" s="421"/>
      <c r="X89" s="421"/>
      <c r="Y89" s="421"/>
      <c r="Z89" s="421"/>
      <c r="AA89" s="421"/>
      <c r="AB89" s="424"/>
      <c r="AC89" s="426"/>
      <c r="AD89" s="423">
        <f t="shared" si="14"/>
        <v>0</v>
      </c>
    </row>
    <row r="90" spans="1:30" s="45" customFormat="1" x14ac:dyDescent="0.2">
      <c r="A90" s="102" t="s">
        <v>339</v>
      </c>
      <c r="B90" s="134" t="s">
        <v>340</v>
      </c>
      <c r="C90" s="407"/>
      <c r="D90" s="52"/>
      <c r="E90" s="421"/>
      <c r="F90" s="421"/>
      <c r="G90" s="421"/>
      <c r="H90" s="421"/>
      <c r="I90" s="421"/>
      <c r="J90" s="421"/>
      <c r="K90" s="421"/>
      <c r="L90" s="421"/>
      <c r="M90" s="421"/>
      <c r="N90" s="421"/>
      <c r="O90" s="421"/>
      <c r="P90" s="421"/>
      <c r="Q90" s="421"/>
      <c r="R90" s="421"/>
      <c r="S90" s="424">
        <f>197915249.28/1000</f>
        <v>197915.24927999999</v>
      </c>
      <c r="T90" s="421"/>
      <c r="U90" s="421"/>
      <c r="V90" s="421"/>
      <c r="W90" s="421"/>
      <c r="X90" s="421"/>
      <c r="Y90" s="421"/>
      <c r="Z90" s="421"/>
      <c r="AA90" s="421"/>
      <c r="AB90" s="424"/>
      <c r="AC90" s="426"/>
      <c r="AD90" s="423">
        <f t="shared" si="14"/>
        <v>197915.24927999999</v>
      </c>
    </row>
    <row r="91" spans="1:30" s="45" customFormat="1" x14ac:dyDescent="0.2">
      <c r="A91" s="102" t="s">
        <v>341</v>
      </c>
      <c r="B91" s="133" t="s">
        <v>499</v>
      </c>
      <c r="C91" s="407"/>
      <c r="D91" s="52"/>
      <c r="E91" s="421"/>
      <c r="F91" s="421"/>
      <c r="G91" s="421"/>
      <c r="H91" s="421"/>
      <c r="I91" s="421"/>
      <c r="J91" s="421"/>
      <c r="K91" s="421"/>
      <c r="L91" s="421"/>
      <c r="M91" s="421"/>
      <c r="N91" s="421"/>
      <c r="O91" s="421"/>
      <c r="P91" s="421"/>
      <c r="Q91" s="421"/>
      <c r="R91" s="421"/>
      <c r="S91" s="425"/>
      <c r="T91" s="421"/>
      <c r="U91" s="421"/>
      <c r="V91" s="421"/>
      <c r="W91" s="421"/>
      <c r="X91" s="421"/>
      <c r="Y91" s="421"/>
      <c r="Z91" s="421"/>
      <c r="AA91" s="421"/>
      <c r="AB91" s="425"/>
      <c r="AC91" s="426"/>
      <c r="AD91" s="427">
        <f t="shared" si="14"/>
        <v>0</v>
      </c>
    </row>
    <row r="92" spans="1:30" s="45" customFormat="1" ht="15" x14ac:dyDescent="0.2">
      <c r="A92" s="508" t="s">
        <v>61</v>
      </c>
      <c r="B92" s="509"/>
      <c r="C92" s="407">
        <f>SUM(C82:C91)-C89</f>
        <v>0</v>
      </c>
      <c r="D92" s="51">
        <f t="shared" ref="D92:AC92" si="15">SUM(D82:D91)-D89</f>
        <v>0</v>
      </c>
      <c r="E92" s="424">
        <f t="shared" si="15"/>
        <v>53611.233489999999</v>
      </c>
      <c r="F92" s="424">
        <f t="shared" si="15"/>
        <v>0</v>
      </c>
      <c r="G92" s="424">
        <f t="shared" si="15"/>
        <v>0</v>
      </c>
      <c r="H92" s="424">
        <f t="shared" si="15"/>
        <v>0</v>
      </c>
      <c r="I92" s="424">
        <f t="shared" si="15"/>
        <v>0</v>
      </c>
      <c r="J92" s="424">
        <f t="shared" si="15"/>
        <v>0</v>
      </c>
      <c r="K92" s="424">
        <f t="shared" si="15"/>
        <v>0</v>
      </c>
      <c r="L92" s="424">
        <f t="shared" si="15"/>
        <v>0</v>
      </c>
      <c r="M92" s="424">
        <f t="shared" si="15"/>
        <v>43.045029999999997</v>
      </c>
      <c r="N92" s="424">
        <f t="shared" si="15"/>
        <v>88573.263330000002</v>
      </c>
      <c r="O92" s="424">
        <f t="shared" si="15"/>
        <v>40.707689999999999</v>
      </c>
      <c r="P92" s="424">
        <f t="shared" si="15"/>
        <v>782.99956000000009</v>
      </c>
      <c r="Q92" s="424">
        <f t="shared" si="15"/>
        <v>0</v>
      </c>
      <c r="R92" s="424">
        <f t="shared" si="15"/>
        <v>8327.972099999999</v>
      </c>
      <c r="S92" s="424">
        <f t="shared" si="15"/>
        <v>232353.01772999999</v>
      </c>
      <c r="T92" s="421">
        <f t="shared" si="15"/>
        <v>0</v>
      </c>
      <c r="U92" s="421">
        <f t="shared" si="15"/>
        <v>0</v>
      </c>
      <c r="V92" s="424">
        <f t="shared" si="15"/>
        <v>0</v>
      </c>
      <c r="W92" s="424">
        <f t="shared" si="15"/>
        <v>0</v>
      </c>
      <c r="X92" s="421">
        <f t="shared" si="15"/>
        <v>0</v>
      </c>
      <c r="Y92" s="419">
        <f t="shared" si="15"/>
        <v>0</v>
      </c>
      <c r="Z92" s="424">
        <f t="shared" si="15"/>
        <v>0</v>
      </c>
      <c r="AA92" s="419">
        <f t="shared" si="15"/>
        <v>0</v>
      </c>
      <c r="AB92" s="424">
        <f t="shared" si="15"/>
        <v>0</v>
      </c>
      <c r="AC92" s="422">
        <f t="shared" si="15"/>
        <v>0</v>
      </c>
      <c r="AD92" s="423">
        <f t="shared" si="14"/>
        <v>383732.23892999999</v>
      </c>
    </row>
    <row r="93" spans="1:30" s="45" customFormat="1" ht="15" thickBot="1" x14ac:dyDescent="0.25">
      <c r="A93" s="104"/>
      <c r="B93" s="136"/>
      <c r="C93" s="52"/>
      <c r="D93" s="52"/>
      <c r="E93" s="421"/>
      <c r="F93" s="431"/>
      <c r="G93" s="431"/>
      <c r="H93" s="431"/>
      <c r="I93" s="431"/>
      <c r="J93" s="431"/>
      <c r="K93" s="431"/>
      <c r="L93" s="431"/>
      <c r="M93" s="431"/>
      <c r="N93" s="431"/>
      <c r="O93" s="431"/>
      <c r="P93" s="431"/>
      <c r="Q93" s="431"/>
      <c r="R93" s="431"/>
      <c r="S93" s="431"/>
      <c r="T93" s="421"/>
      <c r="U93" s="421"/>
      <c r="V93" s="431"/>
      <c r="W93" s="431"/>
      <c r="X93" s="421"/>
      <c r="Y93" s="421"/>
      <c r="Z93" s="431"/>
      <c r="AA93" s="421"/>
      <c r="AB93" s="431"/>
      <c r="AC93" s="431"/>
      <c r="AD93" s="434"/>
    </row>
    <row r="94" spans="1:30" s="45" customFormat="1" ht="15.75" thickBot="1" x14ac:dyDescent="0.25">
      <c r="A94" s="466" t="s">
        <v>342</v>
      </c>
      <c r="B94" s="141"/>
      <c r="C94" s="409">
        <f>SUM(C14,C20,C28,C37,C47,C53,C60,C72,C79,C92)</f>
        <v>0</v>
      </c>
      <c r="D94" s="123">
        <f t="shared" ref="D94:AC94" si="16">SUM(D14,D20,D28,D37,D47,D53,D60,D72,D79,D92)</f>
        <v>0</v>
      </c>
      <c r="E94" s="435">
        <f t="shared" si="16"/>
        <v>53611.233489999999</v>
      </c>
      <c r="F94" s="435">
        <f t="shared" si="16"/>
        <v>1095.7753299999999</v>
      </c>
      <c r="G94" s="435">
        <f t="shared" si="16"/>
        <v>690.63772999999992</v>
      </c>
      <c r="H94" s="435">
        <f t="shared" si="16"/>
        <v>8.7003500000000003</v>
      </c>
      <c r="I94" s="435">
        <f t="shared" si="16"/>
        <v>0</v>
      </c>
      <c r="J94" s="435">
        <f t="shared" si="16"/>
        <v>281.46801700000003</v>
      </c>
      <c r="K94" s="435">
        <f t="shared" si="16"/>
        <v>94.530389999999997</v>
      </c>
      <c r="L94" s="435">
        <f t="shared" si="16"/>
        <v>12924.273819999999</v>
      </c>
      <c r="M94" s="435">
        <f t="shared" si="16"/>
        <v>27650.194310000003</v>
      </c>
      <c r="N94" s="435">
        <f t="shared" si="16"/>
        <v>182379.25745</v>
      </c>
      <c r="O94" s="435">
        <f t="shared" si="16"/>
        <v>69460.974180000005</v>
      </c>
      <c r="P94" s="435">
        <f t="shared" si="16"/>
        <v>11373.497069999999</v>
      </c>
      <c r="Q94" s="435">
        <f t="shared" si="16"/>
        <v>39.804400000000001</v>
      </c>
      <c r="R94" s="435">
        <f t="shared" si="16"/>
        <v>13917.988079999999</v>
      </c>
      <c r="S94" s="435">
        <f t="shared" si="16"/>
        <v>243346.67343</v>
      </c>
      <c r="T94" s="436">
        <f t="shared" si="16"/>
        <v>0</v>
      </c>
      <c r="U94" s="437">
        <f t="shared" si="16"/>
        <v>0</v>
      </c>
      <c r="V94" s="435">
        <f t="shared" si="16"/>
        <v>0</v>
      </c>
      <c r="W94" s="435">
        <f t="shared" si="16"/>
        <v>0</v>
      </c>
      <c r="X94" s="437">
        <f t="shared" si="16"/>
        <v>0</v>
      </c>
      <c r="Y94" s="438">
        <f t="shared" si="16"/>
        <v>0</v>
      </c>
      <c r="Z94" s="435">
        <f t="shared" si="16"/>
        <v>0</v>
      </c>
      <c r="AA94" s="439">
        <f t="shared" si="16"/>
        <v>0</v>
      </c>
      <c r="AB94" s="435">
        <f t="shared" si="16"/>
        <v>0</v>
      </c>
      <c r="AC94" s="440">
        <f t="shared" si="16"/>
        <v>0</v>
      </c>
      <c r="AD94" s="441">
        <f>SUM(C94:AC94)</f>
        <v>616875.00804700004</v>
      </c>
    </row>
    <row r="95" spans="1:30" s="45" customFormat="1" x14ac:dyDescent="0.2">
      <c r="A95" s="105"/>
      <c r="B95" s="137"/>
      <c r="C95" s="53"/>
      <c r="D95" s="53"/>
      <c r="E95" s="428"/>
      <c r="F95" s="428"/>
      <c r="G95" s="428"/>
      <c r="H95" s="428"/>
      <c r="I95" s="428"/>
      <c r="J95" s="428"/>
      <c r="K95" s="428"/>
      <c r="L95" s="428"/>
      <c r="M95" s="428"/>
      <c r="N95" s="428"/>
      <c r="O95" s="428"/>
      <c r="P95" s="428"/>
      <c r="Q95" s="428"/>
      <c r="R95" s="428"/>
      <c r="S95" s="428"/>
      <c r="T95" s="428"/>
      <c r="U95" s="428"/>
      <c r="V95" s="428"/>
      <c r="W95" s="428"/>
      <c r="X95" s="428"/>
      <c r="Y95" s="428"/>
      <c r="Z95" s="428"/>
      <c r="AA95" s="428"/>
      <c r="AB95" s="428"/>
      <c r="AC95" s="428"/>
      <c r="AD95" s="442"/>
    </row>
    <row r="96" spans="1:30" s="107" customFormat="1" ht="18" x14ac:dyDescent="0.2">
      <c r="A96" s="506" t="s">
        <v>89</v>
      </c>
      <c r="B96" s="507"/>
      <c r="C96" s="125"/>
      <c r="D96" s="125"/>
      <c r="E96" s="443"/>
      <c r="F96" s="443"/>
      <c r="G96" s="443"/>
      <c r="H96" s="443"/>
      <c r="I96" s="443"/>
      <c r="J96" s="443"/>
      <c r="K96" s="443"/>
      <c r="L96" s="443"/>
      <c r="M96" s="443"/>
      <c r="N96" s="443"/>
      <c r="O96" s="443"/>
      <c r="P96" s="443"/>
      <c r="Q96" s="443"/>
      <c r="R96" s="443"/>
      <c r="S96" s="443"/>
      <c r="T96" s="443"/>
      <c r="U96" s="443"/>
      <c r="V96" s="443"/>
      <c r="W96" s="443"/>
      <c r="X96" s="443"/>
      <c r="Y96" s="443"/>
      <c r="Z96" s="443"/>
      <c r="AA96" s="443"/>
      <c r="AB96" s="443"/>
      <c r="AC96" s="443"/>
      <c r="AD96" s="444"/>
    </row>
    <row r="97" spans="1:30" s="45" customFormat="1" x14ac:dyDescent="0.2">
      <c r="A97" s="98"/>
      <c r="B97" s="47"/>
      <c r="C97" s="52"/>
      <c r="D97" s="52"/>
      <c r="E97" s="421"/>
      <c r="F97" s="421"/>
      <c r="G97" s="421"/>
      <c r="H97" s="421"/>
      <c r="I97" s="421"/>
      <c r="J97" s="421"/>
      <c r="K97" s="421"/>
      <c r="L97" s="421"/>
      <c r="M97" s="428"/>
      <c r="N97" s="428"/>
      <c r="O97" s="428"/>
      <c r="P97" s="428"/>
      <c r="Q97" s="428"/>
      <c r="R97" s="428"/>
      <c r="S97" s="428"/>
      <c r="T97" s="421"/>
      <c r="U97" s="421"/>
      <c r="V97" s="421"/>
      <c r="W97" s="421"/>
      <c r="X97" s="421"/>
      <c r="Y97" s="421"/>
      <c r="Z97" s="428"/>
      <c r="AA97" s="421"/>
      <c r="AB97" s="428"/>
      <c r="AC97" s="428"/>
      <c r="AD97" s="442"/>
    </row>
    <row r="98" spans="1:30" s="45" customFormat="1" x14ac:dyDescent="0.2">
      <c r="A98" s="108" t="s">
        <v>481</v>
      </c>
      <c r="B98" s="465" t="s">
        <v>90</v>
      </c>
      <c r="C98" s="407"/>
      <c r="D98" s="52"/>
      <c r="E98" s="421"/>
      <c r="F98" s="421"/>
      <c r="G98" s="421"/>
      <c r="H98" s="421"/>
      <c r="I98" s="421"/>
      <c r="J98" s="421"/>
      <c r="K98" s="421"/>
      <c r="L98" s="421"/>
      <c r="M98" s="420"/>
      <c r="N98" s="420"/>
      <c r="O98" s="420"/>
      <c r="P98" s="420"/>
      <c r="Q98" s="420"/>
      <c r="R98" s="420"/>
      <c r="S98" s="420"/>
      <c r="T98" s="421"/>
      <c r="U98" s="421"/>
      <c r="V98" s="421"/>
      <c r="W98" s="421"/>
      <c r="X98" s="421"/>
      <c r="Y98" s="421"/>
      <c r="Z98" s="420"/>
      <c r="AA98" s="421"/>
      <c r="AB98" s="420"/>
      <c r="AC98" s="422"/>
      <c r="AD98" s="423">
        <f>SUM(C98:AC98)</f>
        <v>0</v>
      </c>
    </row>
    <row r="99" spans="1:30" s="45" customFormat="1" x14ac:dyDescent="0.2">
      <c r="A99" s="108" t="s">
        <v>482</v>
      </c>
      <c r="B99" s="465" t="s">
        <v>91</v>
      </c>
      <c r="C99" s="407"/>
      <c r="D99" s="52"/>
      <c r="E99" s="421"/>
      <c r="F99" s="425">
        <f>350/1000</f>
        <v>0.35</v>
      </c>
      <c r="G99" s="425"/>
      <c r="H99" s="425">
        <f>615.7/1000</f>
        <v>0.61570000000000003</v>
      </c>
      <c r="I99" s="425">
        <f>131199.08/1000</f>
        <v>131.19907999999998</v>
      </c>
      <c r="J99" s="425">
        <f>21929.63/1000</f>
        <v>21.92963</v>
      </c>
      <c r="K99" s="425"/>
      <c r="L99" s="425">
        <f>30337.26/1000</f>
        <v>30.337259999999997</v>
      </c>
      <c r="M99" s="425"/>
      <c r="N99" s="425">
        <f>127465.78/1000</f>
        <v>127.46578</v>
      </c>
      <c r="O99" s="425"/>
      <c r="P99" s="425"/>
      <c r="Q99" s="425"/>
      <c r="R99" s="425"/>
      <c r="S99" s="425">
        <f>953962.9/1000</f>
        <v>953.96289999999999</v>
      </c>
      <c r="T99" s="421"/>
      <c r="U99" s="421"/>
      <c r="V99" s="421"/>
      <c r="W99" s="421"/>
      <c r="X99" s="421"/>
      <c r="Y99" s="421"/>
      <c r="Z99" s="425"/>
      <c r="AA99" s="421"/>
      <c r="AB99" s="425">
        <f>2397082.33/1000</f>
        <v>2397.0823300000002</v>
      </c>
      <c r="AC99" s="422">
        <f>98310423.46/1000</f>
        <v>98310.423459999991</v>
      </c>
      <c r="AD99" s="423">
        <f>SUM(C99:AC99)</f>
        <v>101973.36614</v>
      </c>
    </row>
    <row r="100" spans="1:30" s="45" customFormat="1" ht="15" x14ac:dyDescent="0.2">
      <c r="A100" s="464" t="s">
        <v>92</v>
      </c>
      <c r="B100" s="465"/>
      <c r="C100" s="407">
        <f>SUM(C98:C99)</f>
        <v>0</v>
      </c>
      <c r="D100" s="52">
        <f t="shared" ref="D100:AC100" si="17">SUM(D98:D99)</f>
        <v>0</v>
      </c>
      <c r="E100" s="419">
        <f t="shared" si="17"/>
        <v>0</v>
      </c>
      <c r="F100" s="424">
        <f t="shared" si="17"/>
        <v>0.35</v>
      </c>
      <c r="G100" s="424">
        <f t="shared" si="17"/>
        <v>0</v>
      </c>
      <c r="H100" s="424">
        <f t="shared" si="17"/>
        <v>0.61570000000000003</v>
      </c>
      <c r="I100" s="424">
        <f t="shared" si="17"/>
        <v>131.19907999999998</v>
      </c>
      <c r="J100" s="424">
        <f t="shared" si="17"/>
        <v>21.92963</v>
      </c>
      <c r="K100" s="424">
        <f t="shared" si="17"/>
        <v>0</v>
      </c>
      <c r="L100" s="424">
        <f t="shared" si="17"/>
        <v>30.337259999999997</v>
      </c>
      <c r="M100" s="424">
        <f t="shared" si="17"/>
        <v>0</v>
      </c>
      <c r="N100" s="424">
        <f t="shared" si="17"/>
        <v>127.46578</v>
      </c>
      <c r="O100" s="424">
        <f t="shared" si="17"/>
        <v>0</v>
      </c>
      <c r="P100" s="424">
        <f t="shared" si="17"/>
        <v>0</v>
      </c>
      <c r="Q100" s="424">
        <f t="shared" si="17"/>
        <v>0</v>
      </c>
      <c r="R100" s="424">
        <f t="shared" si="17"/>
        <v>0</v>
      </c>
      <c r="S100" s="424">
        <f t="shared" si="17"/>
        <v>953.96289999999999</v>
      </c>
      <c r="T100" s="432">
        <f t="shared" si="17"/>
        <v>0</v>
      </c>
      <c r="U100" s="421">
        <f t="shared" si="17"/>
        <v>0</v>
      </c>
      <c r="V100" s="421">
        <f t="shared" si="17"/>
        <v>0</v>
      </c>
      <c r="W100" s="421">
        <f t="shared" si="17"/>
        <v>0</v>
      </c>
      <c r="X100" s="421">
        <f t="shared" si="17"/>
        <v>0</v>
      </c>
      <c r="Y100" s="419">
        <f t="shared" si="17"/>
        <v>0</v>
      </c>
      <c r="Z100" s="424">
        <f t="shared" si="17"/>
        <v>0</v>
      </c>
      <c r="AA100" s="433">
        <f t="shared" si="17"/>
        <v>0</v>
      </c>
      <c r="AB100" s="424">
        <f t="shared" si="17"/>
        <v>2397.0823300000002</v>
      </c>
      <c r="AC100" s="422">
        <f t="shared" si="17"/>
        <v>98310.423459999991</v>
      </c>
      <c r="AD100" s="423">
        <f>SUM(C100:AC100)</f>
        <v>101973.36614</v>
      </c>
    </row>
    <row r="101" spans="1:30" s="45" customFormat="1" x14ac:dyDescent="0.2">
      <c r="A101" s="98"/>
      <c r="B101" s="47"/>
      <c r="C101" s="53"/>
      <c r="D101" s="53"/>
      <c r="E101" s="428"/>
      <c r="F101" s="429"/>
      <c r="G101" s="429"/>
      <c r="H101" s="429"/>
      <c r="I101" s="429"/>
      <c r="J101" s="429"/>
      <c r="K101" s="429"/>
      <c r="L101" s="429"/>
      <c r="M101" s="429"/>
      <c r="N101" s="429"/>
      <c r="O101" s="429"/>
      <c r="P101" s="429"/>
      <c r="Q101" s="429"/>
      <c r="R101" s="429"/>
      <c r="S101" s="429"/>
      <c r="T101" s="428"/>
      <c r="U101" s="428"/>
      <c r="V101" s="428"/>
      <c r="W101" s="428"/>
      <c r="X101" s="428"/>
      <c r="Y101" s="428"/>
      <c r="Z101" s="429"/>
      <c r="AA101" s="428"/>
      <c r="AB101" s="429"/>
      <c r="AC101" s="429"/>
      <c r="AD101" s="430"/>
    </row>
    <row r="102" spans="1:30" s="107" customFormat="1" ht="18" x14ac:dyDescent="0.2">
      <c r="A102" s="506" t="s">
        <v>93</v>
      </c>
      <c r="B102" s="507"/>
      <c r="C102" s="125"/>
      <c r="D102" s="125"/>
      <c r="E102" s="443"/>
      <c r="F102" s="443"/>
      <c r="G102" s="443"/>
      <c r="H102" s="443"/>
      <c r="I102" s="443"/>
      <c r="J102" s="443"/>
      <c r="K102" s="443"/>
      <c r="L102" s="443"/>
      <c r="M102" s="443"/>
      <c r="N102" s="443"/>
      <c r="O102" s="443"/>
      <c r="P102" s="443"/>
      <c r="Q102" s="443"/>
      <c r="R102" s="443"/>
      <c r="S102" s="443"/>
      <c r="T102" s="443"/>
      <c r="U102" s="443"/>
      <c r="V102" s="443"/>
      <c r="W102" s="443"/>
      <c r="X102" s="443"/>
      <c r="Y102" s="443"/>
      <c r="Z102" s="443"/>
      <c r="AA102" s="443"/>
      <c r="AB102" s="443"/>
      <c r="AC102" s="443"/>
      <c r="AD102" s="444"/>
    </row>
    <row r="103" spans="1:30" s="45" customFormat="1" x14ac:dyDescent="0.2">
      <c r="A103" s="98"/>
      <c r="B103" s="47"/>
      <c r="C103" s="53"/>
      <c r="D103" s="53"/>
      <c r="E103" s="428"/>
      <c r="F103" s="428"/>
      <c r="G103" s="428"/>
      <c r="H103" s="428"/>
      <c r="I103" s="428"/>
      <c r="J103" s="428"/>
      <c r="K103" s="428"/>
      <c r="L103" s="428"/>
      <c r="M103" s="428"/>
      <c r="N103" s="428"/>
      <c r="O103" s="428"/>
      <c r="P103" s="428"/>
      <c r="Q103" s="428"/>
      <c r="R103" s="428"/>
      <c r="S103" s="428"/>
      <c r="T103" s="428"/>
      <c r="U103" s="428"/>
      <c r="V103" s="428"/>
      <c r="W103" s="428"/>
      <c r="X103" s="428"/>
      <c r="Y103" s="428"/>
      <c r="Z103" s="428"/>
      <c r="AA103" s="428"/>
      <c r="AB103" s="428"/>
      <c r="AC103" s="428"/>
      <c r="AD103" s="442"/>
    </row>
    <row r="104" spans="1:30" s="54" customFormat="1" ht="15" x14ac:dyDescent="0.2">
      <c r="A104" s="516" t="s">
        <v>94</v>
      </c>
      <c r="B104" s="517"/>
      <c r="C104" s="101"/>
      <c r="D104" s="101"/>
      <c r="E104" s="431"/>
      <c r="F104" s="429"/>
      <c r="G104" s="429"/>
      <c r="H104" s="429"/>
      <c r="I104" s="429"/>
      <c r="J104" s="429"/>
      <c r="K104" s="429"/>
      <c r="L104" s="429"/>
      <c r="M104" s="429"/>
      <c r="N104" s="429"/>
      <c r="O104" s="429"/>
      <c r="P104" s="429"/>
      <c r="Q104" s="429"/>
      <c r="R104" s="429"/>
      <c r="S104" s="429"/>
      <c r="T104" s="431"/>
      <c r="U104" s="431"/>
      <c r="V104" s="431"/>
      <c r="W104" s="431"/>
      <c r="X104" s="431"/>
      <c r="Y104" s="431"/>
      <c r="Z104" s="431"/>
      <c r="AA104" s="431"/>
      <c r="AB104" s="429"/>
      <c r="AC104" s="428"/>
      <c r="AD104" s="442"/>
    </row>
    <row r="105" spans="1:30" s="54" customFormat="1" ht="15" x14ac:dyDescent="0.2">
      <c r="A105" s="110" t="s">
        <v>95</v>
      </c>
      <c r="B105" s="133" t="s">
        <v>96</v>
      </c>
      <c r="C105" s="407"/>
      <c r="D105" s="52"/>
      <c r="E105" s="421"/>
      <c r="F105" s="420"/>
      <c r="G105" s="420"/>
      <c r="H105" s="420"/>
      <c r="I105" s="420"/>
      <c r="J105" s="420"/>
      <c r="K105" s="420"/>
      <c r="L105" s="420"/>
      <c r="M105" s="420"/>
      <c r="N105" s="420"/>
      <c r="O105" s="420"/>
      <c r="P105" s="420"/>
      <c r="Q105" s="420"/>
      <c r="R105" s="420"/>
      <c r="S105" s="420"/>
      <c r="T105" s="421"/>
      <c r="U105" s="421"/>
      <c r="V105" s="421"/>
      <c r="W105" s="421"/>
      <c r="X105" s="421"/>
      <c r="Y105" s="421"/>
      <c r="Z105" s="421"/>
      <c r="AA105" s="421"/>
      <c r="AB105" s="420"/>
      <c r="AC105" s="445"/>
      <c r="AD105" s="423">
        <f t="shared" ref="AD105:AD126" si="18">SUM(C105:AC105)</f>
        <v>0</v>
      </c>
    </row>
    <row r="106" spans="1:30" s="54" customFormat="1" ht="15" x14ac:dyDescent="0.2">
      <c r="A106" s="110" t="s">
        <v>97</v>
      </c>
      <c r="B106" s="133" t="s">
        <v>98</v>
      </c>
      <c r="C106" s="407"/>
      <c r="D106" s="52"/>
      <c r="E106" s="421"/>
      <c r="F106" s="424"/>
      <c r="G106" s="424"/>
      <c r="H106" s="424"/>
      <c r="I106" s="424"/>
      <c r="J106" s="424"/>
      <c r="K106" s="424"/>
      <c r="L106" s="424"/>
      <c r="M106" s="424"/>
      <c r="N106" s="424"/>
      <c r="O106" s="424"/>
      <c r="P106" s="424"/>
      <c r="Q106" s="424"/>
      <c r="R106" s="424"/>
      <c r="S106" s="424"/>
      <c r="T106" s="421"/>
      <c r="U106" s="421"/>
      <c r="V106" s="421"/>
      <c r="W106" s="421"/>
      <c r="X106" s="421"/>
      <c r="Y106" s="421"/>
      <c r="Z106" s="421"/>
      <c r="AA106" s="421"/>
      <c r="AB106" s="424"/>
      <c r="AC106" s="422"/>
      <c r="AD106" s="423">
        <f t="shared" si="18"/>
        <v>0</v>
      </c>
    </row>
    <row r="107" spans="1:30" s="54" customFormat="1" ht="15" x14ac:dyDescent="0.2">
      <c r="A107" s="110" t="s">
        <v>99</v>
      </c>
      <c r="B107" s="133" t="s">
        <v>100</v>
      </c>
      <c r="C107" s="407"/>
      <c r="D107" s="52"/>
      <c r="E107" s="421"/>
      <c r="F107" s="424"/>
      <c r="G107" s="424"/>
      <c r="H107" s="424"/>
      <c r="I107" s="424"/>
      <c r="J107" s="424"/>
      <c r="K107" s="424"/>
      <c r="L107" s="424"/>
      <c r="M107" s="424"/>
      <c r="N107" s="424"/>
      <c r="O107" s="424"/>
      <c r="P107" s="424"/>
      <c r="Q107" s="424"/>
      <c r="R107" s="424"/>
      <c r="S107" s="424"/>
      <c r="T107" s="421"/>
      <c r="U107" s="421"/>
      <c r="V107" s="421"/>
      <c r="W107" s="421"/>
      <c r="X107" s="421"/>
      <c r="Y107" s="421"/>
      <c r="Z107" s="421"/>
      <c r="AA107" s="421"/>
      <c r="AB107" s="424"/>
      <c r="AC107" s="422"/>
      <c r="AD107" s="423">
        <f t="shared" si="18"/>
        <v>0</v>
      </c>
    </row>
    <row r="108" spans="1:30" s="54" customFormat="1" ht="15" x14ac:dyDescent="0.2">
      <c r="A108" s="110" t="s">
        <v>101</v>
      </c>
      <c r="B108" s="133" t="s">
        <v>102</v>
      </c>
      <c r="C108" s="407"/>
      <c r="D108" s="52"/>
      <c r="E108" s="421"/>
      <c r="F108" s="424"/>
      <c r="G108" s="424"/>
      <c r="H108" s="424"/>
      <c r="I108" s="424"/>
      <c r="J108" s="424"/>
      <c r="K108" s="424"/>
      <c r="L108" s="424"/>
      <c r="M108" s="424"/>
      <c r="N108" s="424"/>
      <c r="O108" s="424"/>
      <c r="P108" s="424"/>
      <c r="Q108" s="424"/>
      <c r="R108" s="424"/>
      <c r="S108" s="424"/>
      <c r="T108" s="421"/>
      <c r="U108" s="421"/>
      <c r="V108" s="421"/>
      <c r="W108" s="421"/>
      <c r="X108" s="421"/>
      <c r="Y108" s="421"/>
      <c r="Z108" s="421"/>
      <c r="AA108" s="421"/>
      <c r="AB108" s="424"/>
      <c r="AC108" s="422"/>
      <c r="AD108" s="423">
        <f t="shared" si="18"/>
        <v>0</v>
      </c>
    </row>
    <row r="109" spans="1:30" s="54" customFormat="1" ht="15" x14ac:dyDescent="0.2">
      <c r="A109" s="110" t="s">
        <v>103</v>
      </c>
      <c r="B109" s="133" t="s">
        <v>104</v>
      </c>
      <c r="C109" s="407"/>
      <c r="D109" s="52"/>
      <c r="E109" s="421"/>
      <c r="F109" s="424"/>
      <c r="G109" s="424"/>
      <c r="H109" s="424">
        <f>131200/1000</f>
        <v>131.19999999999999</v>
      </c>
      <c r="I109" s="424"/>
      <c r="J109" s="424"/>
      <c r="K109" s="424"/>
      <c r="L109" s="424"/>
      <c r="M109" s="424"/>
      <c r="N109" s="424"/>
      <c r="O109" s="424"/>
      <c r="P109" s="424"/>
      <c r="Q109" s="424"/>
      <c r="R109" s="424"/>
      <c r="S109" s="424">
        <f>(2110117.78+34409.87)/1000</f>
        <v>2144.52765</v>
      </c>
      <c r="T109" s="421"/>
      <c r="U109" s="421"/>
      <c r="V109" s="421"/>
      <c r="W109" s="421"/>
      <c r="X109" s="421"/>
      <c r="Y109" s="421"/>
      <c r="Z109" s="421"/>
      <c r="AA109" s="421"/>
      <c r="AB109" s="424"/>
      <c r="AC109" s="422"/>
      <c r="AD109" s="423">
        <f t="shared" si="18"/>
        <v>2275.7276499999998</v>
      </c>
    </row>
    <row r="110" spans="1:30" s="54" customFormat="1" ht="15" x14ac:dyDescent="0.2">
      <c r="A110" s="110" t="s">
        <v>105</v>
      </c>
      <c r="B110" s="133" t="s">
        <v>106</v>
      </c>
      <c r="C110" s="407"/>
      <c r="D110" s="52"/>
      <c r="E110" s="421"/>
      <c r="F110" s="424"/>
      <c r="G110" s="424">
        <f>3257628.54/1000</f>
        <v>3257.6285400000002</v>
      </c>
      <c r="H110" s="424"/>
      <c r="I110" s="424"/>
      <c r="J110" s="424">
        <f>5850/1000</f>
        <v>5.85</v>
      </c>
      <c r="K110" s="424">
        <f>32845/1000</f>
        <v>32.844999999999999</v>
      </c>
      <c r="L110" s="424">
        <f>422520.75/1000</f>
        <v>422.52075000000002</v>
      </c>
      <c r="M110" s="424"/>
      <c r="N110" s="424">
        <f>2873877.84/1000</f>
        <v>2873.8778399999997</v>
      </c>
      <c r="O110" s="424">
        <f>53756/1000</f>
        <v>53.756</v>
      </c>
      <c r="P110" s="424">
        <f>37932918.81/1000</f>
        <v>37932.918810000003</v>
      </c>
      <c r="Q110" s="424">
        <f>368486.42/1000</f>
        <v>368.48642000000001</v>
      </c>
      <c r="R110" s="424"/>
      <c r="S110" s="424">
        <f>(10626735.44+33455411.42)/1000</f>
        <v>44082.146860000001</v>
      </c>
      <c r="T110" s="421"/>
      <c r="U110" s="421"/>
      <c r="V110" s="421"/>
      <c r="W110" s="421"/>
      <c r="X110" s="421"/>
      <c r="Y110" s="421"/>
      <c r="Z110" s="421"/>
      <c r="AA110" s="421"/>
      <c r="AB110" s="424"/>
      <c r="AC110" s="422"/>
      <c r="AD110" s="423">
        <f t="shared" si="18"/>
        <v>89030.030220000015</v>
      </c>
    </row>
    <row r="111" spans="1:30" s="54" customFormat="1" ht="15" x14ac:dyDescent="0.2">
      <c r="A111" s="110" t="s">
        <v>107</v>
      </c>
      <c r="B111" s="133" t="s">
        <v>108</v>
      </c>
      <c r="C111" s="407"/>
      <c r="D111" s="52"/>
      <c r="E111" s="421"/>
      <c r="F111" s="424"/>
      <c r="G111" s="424"/>
      <c r="H111" s="424"/>
      <c r="I111" s="424"/>
      <c r="J111" s="424"/>
      <c r="K111" s="424"/>
      <c r="L111" s="424"/>
      <c r="M111" s="424"/>
      <c r="N111" s="424"/>
      <c r="O111" s="424"/>
      <c r="P111" s="424"/>
      <c r="Q111" s="424"/>
      <c r="R111" s="424"/>
      <c r="S111" s="424"/>
      <c r="T111" s="421"/>
      <c r="U111" s="421"/>
      <c r="V111" s="421"/>
      <c r="W111" s="421"/>
      <c r="X111" s="421"/>
      <c r="Y111" s="421"/>
      <c r="Z111" s="421"/>
      <c r="AA111" s="421"/>
      <c r="AB111" s="424"/>
      <c r="AC111" s="422"/>
      <c r="AD111" s="423">
        <f t="shared" si="18"/>
        <v>0</v>
      </c>
    </row>
    <row r="112" spans="1:30" s="54" customFormat="1" ht="15" x14ac:dyDescent="0.2">
      <c r="A112" s="110" t="s">
        <v>109</v>
      </c>
      <c r="B112" s="133" t="s">
        <v>110</v>
      </c>
      <c r="C112" s="407"/>
      <c r="D112" s="52"/>
      <c r="E112" s="421"/>
      <c r="F112" s="424"/>
      <c r="G112" s="424"/>
      <c r="H112" s="424"/>
      <c r="I112" s="424"/>
      <c r="J112" s="424"/>
      <c r="K112" s="424"/>
      <c r="L112" s="424"/>
      <c r="M112" s="424"/>
      <c r="N112" s="424"/>
      <c r="O112" s="424"/>
      <c r="P112" s="424"/>
      <c r="Q112" s="424"/>
      <c r="R112" s="424"/>
      <c r="S112" s="424">
        <f>(89237.49)/1000</f>
        <v>89.237490000000008</v>
      </c>
      <c r="T112" s="421"/>
      <c r="U112" s="421"/>
      <c r="V112" s="421"/>
      <c r="W112" s="421"/>
      <c r="X112" s="421"/>
      <c r="Y112" s="421"/>
      <c r="Z112" s="421"/>
      <c r="AA112" s="421"/>
      <c r="AB112" s="424"/>
      <c r="AC112" s="422"/>
      <c r="AD112" s="423">
        <f t="shared" si="18"/>
        <v>89.237490000000008</v>
      </c>
    </row>
    <row r="113" spans="1:30" s="54" customFormat="1" ht="15" x14ac:dyDescent="0.2">
      <c r="A113" s="110" t="s">
        <v>111</v>
      </c>
      <c r="B113" s="133" t="s">
        <v>112</v>
      </c>
      <c r="C113" s="407"/>
      <c r="D113" s="52"/>
      <c r="E113" s="421"/>
      <c r="F113" s="424"/>
      <c r="G113" s="424"/>
      <c r="H113" s="424"/>
      <c r="I113" s="424"/>
      <c r="J113" s="424"/>
      <c r="K113" s="424"/>
      <c r="L113" s="424"/>
      <c r="M113" s="424"/>
      <c r="N113" s="424"/>
      <c r="O113" s="424"/>
      <c r="P113" s="424"/>
      <c r="Q113" s="424"/>
      <c r="R113" s="424"/>
      <c r="S113" s="424"/>
      <c r="T113" s="421"/>
      <c r="U113" s="421"/>
      <c r="V113" s="421"/>
      <c r="W113" s="421"/>
      <c r="X113" s="421"/>
      <c r="Y113" s="421"/>
      <c r="Z113" s="421"/>
      <c r="AA113" s="421"/>
      <c r="AB113" s="424"/>
      <c r="AC113" s="422"/>
      <c r="AD113" s="423">
        <f t="shared" si="18"/>
        <v>0</v>
      </c>
    </row>
    <row r="114" spans="1:30" s="54" customFormat="1" ht="15" x14ac:dyDescent="0.2">
      <c r="A114" s="110" t="s">
        <v>113</v>
      </c>
      <c r="B114" s="133" t="s">
        <v>114</v>
      </c>
      <c r="C114" s="407"/>
      <c r="D114" s="52"/>
      <c r="E114" s="421"/>
      <c r="F114" s="421"/>
      <c r="G114" s="421"/>
      <c r="H114" s="421"/>
      <c r="I114" s="421"/>
      <c r="J114" s="421"/>
      <c r="K114" s="421"/>
      <c r="L114" s="421"/>
      <c r="M114" s="421"/>
      <c r="N114" s="421"/>
      <c r="O114" s="421"/>
      <c r="P114" s="421"/>
      <c r="Q114" s="421"/>
      <c r="R114" s="421"/>
      <c r="S114" s="421"/>
      <c r="T114" s="421"/>
      <c r="U114" s="421"/>
      <c r="V114" s="421"/>
      <c r="W114" s="424"/>
      <c r="X114" s="421"/>
      <c r="Y114" s="421"/>
      <c r="Z114" s="424"/>
      <c r="AA114" s="421"/>
      <c r="AB114" s="421"/>
      <c r="AC114" s="431"/>
      <c r="AD114" s="423">
        <f t="shared" si="18"/>
        <v>0</v>
      </c>
    </row>
    <row r="115" spans="1:30" s="54" customFormat="1" ht="15" x14ac:dyDescent="0.2">
      <c r="A115" s="110" t="s">
        <v>115</v>
      </c>
      <c r="B115" s="133" t="s">
        <v>116</v>
      </c>
      <c r="C115" s="407"/>
      <c r="D115" s="52"/>
      <c r="E115" s="421"/>
      <c r="F115" s="421"/>
      <c r="G115" s="421"/>
      <c r="H115" s="421"/>
      <c r="I115" s="421"/>
      <c r="J115" s="421"/>
      <c r="K115" s="421"/>
      <c r="L115" s="421"/>
      <c r="M115" s="421"/>
      <c r="N115" s="421"/>
      <c r="O115" s="421"/>
      <c r="P115" s="421"/>
      <c r="Q115" s="421"/>
      <c r="R115" s="421"/>
      <c r="S115" s="421"/>
      <c r="T115" s="421"/>
      <c r="U115" s="421"/>
      <c r="V115" s="421"/>
      <c r="W115" s="424"/>
      <c r="X115" s="421"/>
      <c r="Y115" s="424"/>
      <c r="Z115" s="421"/>
      <c r="AA115" s="421"/>
      <c r="AB115" s="421"/>
      <c r="AC115" s="421"/>
      <c r="AD115" s="423">
        <f t="shared" si="18"/>
        <v>0</v>
      </c>
    </row>
    <row r="116" spans="1:30" s="54" customFormat="1" ht="15" x14ac:dyDescent="0.2">
      <c r="A116" s="110" t="s">
        <v>117</v>
      </c>
      <c r="B116" s="133" t="s">
        <v>118</v>
      </c>
      <c r="C116" s="407"/>
      <c r="D116" s="52"/>
      <c r="E116" s="421"/>
      <c r="F116" s="421"/>
      <c r="G116" s="421"/>
      <c r="H116" s="421"/>
      <c r="I116" s="421"/>
      <c r="J116" s="421"/>
      <c r="K116" s="421"/>
      <c r="L116" s="421"/>
      <c r="M116" s="421"/>
      <c r="N116" s="421"/>
      <c r="O116" s="421"/>
      <c r="P116" s="421"/>
      <c r="Q116" s="421"/>
      <c r="R116" s="421"/>
      <c r="S116" s="421"/>
      <c r="T116" s="421"/>
      <c r="U116" s="421"/>
      <c r="V116" s="421"/>
      <c r="W116" s="424"/>
      <c r="X116" s="421"/>
      <c r="Y116" s="424"/>
      <c r="Z116" s="424"/>
      <c r="AA116" s="421"/>
      <c r="AB116" s="421"/>
      <c r="AC116" s="421"/>
      <c r="AD116" s="423">
        <f t="shared" si="18"/>
        <v>0</v>
      </c>
    </row>
    <row r="117" spans="1:30" s="54" customFormat="1" ht="15" x14ac:dyDescent="0.2">
      <c r="A117" s="110" t="s">
        <v>119</v>
      </c>
      <c r="B117" s="133" t="s">
        <v>120</v>
      </c>
      <c r="C117" s="407"/>
      <c r="D117" s="52"/>
      <c r="E117" s="421"/>
      <c r="F117" s="421"/>
      <c r="G117" s="421"/>
      <c r="H117" s="421"/>
      <c r="I117" s="421"/>
      <c r="J117" s="421"/>
      <c r="K117" s="421"/>
      <c r="L117" s="421"/>
      <c r="M117" s="421"/>
      <c r="N117" s="421"/>
      <c r="O117" s="421"/>
      <c r="P117" s="421"/>
      <c r="Q117" s="421"/>
      <c r="R117" s="421"/>
      <c r="S117" s="421"/>
      <c r="T117" s="421"/>
      <c r="U117" s="421"/>
      <c r="V117" s="421"/>
      <c r="W117" s="421"/>
      <c r="X117" s="421"/>
      <c r="Y117" s="421"/>
      <c r="Z117" s="421"/>
      <c r="AA117" s="421"/>
      <c r="AB117" s="421"/>
      <c r="AC117" s="421"/>
      <c r="AD117" s="423">
        <f t="shared" si="18"/>
        <v>0</v>
      </c>
    </row>
    <row r="118" spans="1:30" s="54" customFormat="1" ht="15" x14ac:dyDescent="0.2">
      <c r="A118" s="110" t="s">
        <v>121</v>
      </c>
      <c r="B118" s="133" t="s">
        <v>122</v>
      </c>
      <c r="C118" s="407"/>
      <c r="D118" s="52"/>
      <c r="E118" s="421"/>
      <c r="F118" s="421"/>
      <c r="G118" s="421"/>
      <c r="H118" s="421"/>
      <c r="I118" s="421"/>
      <c r="J118" s="421"/>
      <c r="K118" s="421"/>
      <c r="L118" s="421"/>
      <c r="M118" s="421"/>
      <c r="N118" s="421"/>
      <c r="O118" s="421"/>
      <c r="P118" s="421"/>
      <c r="Q118" s="421"/>
      <c r="R118" s="421"/>
      <c r="S118" s="421"/>
      <c r="T118" s="421"/>
      <c r="U118" s="421"/>
      <c r="V118" s="421"/>
      <c r="W118" s="424"/>
      <c r="X118" s="424"/>
      <c r="Y118" s="424"/>
      <c r="Z118" s="424"/>
      <c r="AA118" s="421"/>
      <c r="AB118" s="421"/>
      <c r="AC118" s="421"/>
      <c r="AD118" s="423">
        <f t="shared" si="18"/>
        <v>0</v>
      </c>
    </row>
    <row r="119" spans="1:30" s="54" customFormat="1" ht="15" x14ac:dyDescent="0.2">
      <c r="A119" s="110" t="s">
        <v>123</v>
      </c>
      <c r="B119" s="133" t="s">
        <v>124</v>
      </c>
      <c r="C119" s="407"/>
      <c r="D119" s="52"/>
      <c r="E119" s="421"/>
      <c r="F119" s="421"/>
      <c r="G119" s="421"/>
      <c r="H119" s="421"/>
      <c r="I119" s="421"/>
      <c r="J119" s="421"/>
      <c r="K119" s="421"/>
      <c r="L119" s="421"/>
      <c r="M119" s="421"/>
      <c r="N119" s="421"/>
      <c r="O119" s="421"/>
      <c r="P119" s="421"/>
      <c r="Q119" s="421"/>
      <c r="R119" s="421"/>
      <c r="S119" s="421"/>
      <c r="T119" s="421"/>
      <c r="U119" s="421"/>
      <c r="V119" s="421"/>
      <c r="W119" s="424"/>
      <c r="X119" s="424"/>
      <c r="Y119" s="424"/>
      <c r="Z119" s="421"/>
      <c r="AA119" s="421"/>
      <c r="AB119" s="421"/>
      <c r="AC119" s="421"/>
      <c r="AD119" s="423">
        <f t="shared" si="18"/>
        <v>0</v>
      </c>
    </row>
    <row r="120" spans="1:30" s="54" customFormat="1" ht="15" x14ac:dyDescent="0.2">
      <c r="A120" s="399" t="s">
        <v>502</v>
      </c>
      <c r="B120" s="134" t="s">
        <v>526</v>
      </c>
      <c r="C120" s="407"/>
      <c r="D120" s="52"/>
      <c r="E120" s="421"/>
      <c r="F120" s="421"/>
      <c r="G120" s="421"/>
      <c r="H120" s="421"/>
      <c r="I120" s="421"/>
      <c r="J120" s="421"/>
      <c r="K120" s="421"/>
      <c r="L120" s="421"/>
      <c r="M120" s="421"/>
      <c r="N120" s="421"/>
      <c r="O120" s="421"/>
      <c r="P120" s="421"/>
      <c r="Q120" s="421"/>
      <c r="R120" s="421"/>
      <c r="S120" s="421"/>
      <c r="T120" s="421"/>
      <c r="U120" s="421"/>
      <c r="V120" s="421"/>
      <c r="W120" s="424"/>
      <c r="X120" s="421"/>
      <c r="Y120" s="424">
        <f>49500000/1000</f>
        <v>49500</v>
      </c>
      <c r="Z120" s="421"/>
      <c r="AA120" s="421"/>
      <c r="AB120" s="421"/>
      <c r="AC120" s="421"/>
      <c r="AD120" s="423">
        <f t="shared" si="18"/>
        <v>49500</v>
      </c>
    </row>
    <row r="121" spans="1:30" s="54" customFormat="1" ht="15" x14ac:dyDescent="0.2">
      <c r="A121" s="399" t="s">
        <v>527</v>
      </c>
      <c r="B121" s="134" t="s">
        <v>125</v>
      </c>
      <c r="C121" s="407"/>
      <c r="D121" s="52"/>
      <c r="E121" s="421"/>
      <c r="F121" s="421"/>
      <c r="G121" s="421"/>
      <c r="H121" s="421"/>
      <c r="I121" s="421"/>
      <c r="J121" s="421"/>
      <c r="K121" s="421"/>
      <c r="L121" s="421"/>
      <c r="M121" s="421"/>
      <c r="N121" s="421"/>
      <c r="O121" s="421"/>
      <c r="P121" s="421"/>
      <c r="Q121" s="421"/>
      <c r="R121" s="421"/>
      <c r="S121" s="421"/>
      <c r="T121" s="421"/>
      <c r="U121" s="421"/>
      <c r="V121" s="421"/>
      <c r="W121" s="424"/>
      <c r="X121" s="421"/>
      <c r="Y121" s="424">
        <f>1091216.43/1000</f>
        <v>1091.2164299999999</v>
      </c>
      <c r="Z121" s="421"/>
      <c r="AA121" s="421"/>
      <c r="AB121" s="421"/>
      <c r="AC121" s="421"/>
      <c r="AD121" s="423">
        <f t="shared" si="18"/>
        <v>1091.2164299999999</v>
      </c>
    </row>
    <row r="122" spans="1:30" s="54" customFormat="1" ht="15" x14ac:dyDescent="0.2">
      <c r="A122" s="399" t="s">
        <v>503</v>
      </c>
      <c r="B122" s="134" t="s">
        <v>528</v>
      </c>
      <c r="C122" s="407"/>
      <c r="D122" s="52"/>
      <c r="E122" s="421"/>
      <c r="F122" s="421"/>
      <c r="G122" s="421"/>
      <c r="H122" s="421"/>
      <c r="I122" s="421"/>
      <c r="J122" s="421"/>
      <c r="K122" s="421"/>
      <c r="L122" s="421"/>
      <c r="M122" s="421"/>
      <c r="N122" s="421"/>
      <c r="O122" s="421"/>
      <c r="P122" s="421"/>
      <c r="Q122" s="421"/>
      <c r="R122" s="421"/>
      <c r="S122" s="421"/>
      <c r="T122" s="421"/>
      <c r="U122" s="421"/>
      <c r="V122" s="424"/>
      <c r="W122" s="424"/>
      <c r="X122" s="421"/>
      <c r="Y122" s="424"/>
      <c r="Z122" s="421"/>
      <c r="AA122" s="421"/>
      <c r="AB122" s="421"/>
      <c r="AC122" s="421"/>
      <c r="AD122" s="423">
        <f t="shared" si="18"/>
        <v>0</v>
      </c>
    </row>
    <row r="123" spans="1:30" s="54" customFormat="1" ht="15" x14ac:dyDescent="0.2">
      <c r="A123" s="399" t="s">
        <v>504</v>
      </c>
      <c r="B123" s="134" t="s">
        <v>529</v>
      </c>
      <c r="C123" s="407"/>
      <c r="D123" s="52"/>
      <c r="E123" s="421"/>
      <c r="F123" s="421"/>
      <c r="G123" s="421"/>
      <c r="H123" s="421"/>
      <c r="I123" s="421"/>
      <c r="J123" s="421"/>
      <c r="K123" s="421"/>
      <c r="L123" s="421"/>
      <c r="M123" s="421"/>
      <c r="N123" s="421"/>
      <c r="O123" s="421"/>
      <c r="P123" s="421"/>
      <c r="Q123" s="421"/>
      <c r="R123" s="421"/>
      <c r="S123" s="421"/>
      <c r="T123" s="421"/>
      <c r="U123" s="421"/>
      <c r="V123" s="424"/>
      <c r="W123" s="424"/>
      <c r="X123" s="421"/>
      <c r="Y123" s="424"/>
      <c r="Z123" s="421"/>
      <c r="AA123" s="421"/>
      <c r="AB123" s="421"/>
      <c r="AC123" s="421"/>
      <c r="AD123" s="423">
        <f t="shared" si="18"/>
        <v>0</v>
      </c>
    </row>
    <row r="124" spans="1:30" s="54" customFormat="1" ht="15" x14ac:dyDescent="0.2">
      <c r="A124" s="399" t="s">
        <v>530</v>
      </c>
      <c r="B124" s="134" t="s">
        <v>531</v>
      </c>
      <c r="C124" s="407"/>
      <c r="D124" s="52"/>
      <c r="E124" s="421"/>
      <c r="F124" s="421"/>
      <c r="G124" s="421"/>
      <c r="H124" s="421"/>
      <c r="I124" s="421"/>
      <c r="J124" s="421"/>
      <c r="K124" s="421"/>
      <c r="L124" s="421"/>
      <c r="M124" s="421"/>
      <c r="N124" s="421"/>
      <c r="O124" s="421"/>
      <c r="P124" s="421"/>
      <c r="Q124" s="421"/>
      <c r="R124" s="421"/>
      <c r="S124" s="421"/>
      <c r="T124" s="421"/>
      <c r="U124" s="421"/>
      <c r="V124" s="424"/>
      <c r="W124" s="424"/>
      <c r="X124" s="421"/>
      <c r="Y124" s="424"/>
      <c r="Z124" s="421"/>
      <c r="AA124" s="421"/>
      <c r="AB124" s="421"/>
      <c r="AC124" s="428"/>
      <c r="AD124" s="423">
        <f t="shared" si="18"/>
        <v>0</v>
      </c>
    </row>
    <row r="125" spans="1:30" s="54" customFormat="1" ht="15" x14ac:dyDescent="0.2">
      <c r="A125" s="110" t="s">
        <v>126</v>
      </c>
      <c r="B125" s="133" t="s">
        <v>127</v>
      </c>
      <c r="C125" s="407"/>
      <c r="D125" s="52"/>
      <c r="E125" s="421"/>
      <c r="F125" s="425"/>
      <c r="G125" s="425"/>
      <c r="H125" s="425"/>
      <c r="I125" s="425"/>
      <c r="J125" s="425"/>
      <c r="K125" s="425"/>
      <c r="L125" s="425"/>
      <c r="M125" s="425"/>
      <c r="N125" s="425"/>
      <c r="O125" s="425"/>
      <c r="P125" s="425"/>
      <c r="Q125" s="425"/>
      <c r="R125" s="425"/>
      <c r="S125" s="425"/>
      <c r="T125" s="421"/>
      <c r="U125" s="421"/>
      <c r="V125" s="421"/>
      <c r="W125" s="421"/>
      <c r="X125" s="421"/>
      <c r="Y125" s="421"/>
      <c r="Z125" s="421"/>
      <c r="AA125" s="421"/>
      <c r="AB125" s="425"/>
      <c r="AC125" s="422"/>
      <c r="AD125" s="423">
        <f t="shared" si="18"/>
        <v>0</v>
      </c>
    </row>
    <row r="126" spans="1:30" s="45" customFormat="1" ht="15.75" x14ac:dyDescent="0.2">
      <c r="A126" s="520" t="s">
        <v>128</v>
      </c>
      <c r="B126" s="521"/>
      <c r="C126" s="407">
        <f>SUM(C105:C125)</f>
        <v>0</v>
      </c>
      <c r="D126" s="52">
        <f t="shared" ref="D126:AC126" si="19">SUM(D105:D125)</f>
        <v>0</v>
      </c>
      <c r="E126" s="419">
        <f t="shared" si="19"/>
        <v>0</v>
      </c>
      <c r="F126" s="424">
        <f t="shared" si="19"/>
        <v>0</v>
      </c>
      <c r="G126" s="424">
        <f t="shared" si="19"/>
        <v>3257.6285400000002</v>
      </c>
      <c r="H126" s="424">
        <f t="shared" si="19"/>
        <v>131.19999999999999</v>
      </c>
      <c r="I126" s="424">
        <f t="shared" si="19"/>
        <v>0</v>
      </c>
      <c r="J126" s="424">
        <f t="shared" si="19"/>
        <v>5.85</v>
      </c>
      <c r="K126" s="424">
        <f t="shared" si="19"/>
        <v>32.844999999999999</v>
      </c>
      <c r="L126" s="424">
        <f t="shared" si="19"/>
        <v>422.52075000000002</v>
      </c>
      <c r="M126" s="424">
        <f t="shared" si="19"/>
        <v>0</v>
      </c>
      <c r="N126" s="424">
        <f t="shared" si="19"/>
        <v>2873.8778399999997</v>
      </c>
      <c r="O126" s="424">
        <f t="shared" si="19"/>
        <v>53.756</v>
      </c>
      <c r="P126" s="424">
        <f t="shared" si="19"/>
        <v>37932.918810000003</v>
      </c>
      <c r="Q126" s="424">
        <f t="shared" si="19"/>
        <v>368.48642000000001</v>
      </c>
      <c r="R126" s="424">
        <f t="shared" si="19"/>
        <v>0</v>
      </c>
      <c r="S126" s="424">
        <f t="shared" si="19"/>
        <v>46315.911999999997</v>
      </c>
      <c r="T126" s="421">
        <f t="shared" si="19"/>
        <v>0</v>
      </c>
      <c r="U126" s="419">
        <f t="shared" si="19"/>
        <v>0</v>
      </c>
      <c r="V126" s="424">
        <f t="shared" si="19"/>
        <v>0</v>
      </c>
      <c r="W126" s="424">
        <f t="shared" si="19"/>
        <v>0</v>
      </c>
      <c r="X126" s="424">
        <f t="shared" si="19"/>
        <v>0</v>
      </c>
      <c r="Y126" s="424">
        <f t="shared" si="19"/>
        <v>50591.21643</v>
      </c>
      <c r="Z126" s="424">
        <f t="shared" si="19"/>
        <v>0</v>
      </c>
      <c r="AA126" s="419">
        <f t="shared" si="19"/>
        <v>0</v>
      </c>
      <c r="AB126" s="424">
        <f t="shared" si="19"/>
        <v>0</v>
      </c>
      <c r="AC126" s="422">
        <f t="shared" si="19"/>
        <v>0</v>
      </c>
      <c r="AD126" s="423">
        <f t="shared" si="18"/>
        <v>141986.21179</v>
      </c>
    </row>
    <row r="127" spans="1:30" s="45" customFormat="1" ht="15" x14ac:dyDescent="0.2">
      <c r="A127" s="46"/>
      <c r="B127" s="47"/>
      <c r="C127" s="53"/>
      <c r="D127" s="53"/>
      <c r="E127" s="428"/>
      <c r="F127" s="429"/>
      <c r="G127" s="429"/>
      <c r="H127" s="429"/>
      <c r="I127" s="429"/>
      <c r="J127" s="429"/>
      <c r="K127" s="429"/>
      <c r="L127" s="429"/>
      <c r="M127" s="429"/>
      <c r="N127" s="429"/>
      <c r="O127" s="429"/>
      <c r="P127" s="429"/>
      <c r="Q127" s="429"/>
      <c r="R127" s="429"/>
      <c r="S127" s="429"/>
      <c r="T127" s="428"/>
      <c r="U127" s="428"/>
      <c r="V127" s="429"/>
      <c r="W127" s="429"/>
      <c r="X127" s="429"/>
      <c r="Y127" s="429"/>
      <c r="Z127" s="429"/>
      <c r="AA127" s="428"/>
      <c r="AB127" s="429"/>
      <c r="AC127" s="429"/>
      <c r="AD127" s="430"/>
    </row>
    <row r="128" spans="1:30" s="45" customFormat="1" ht="15" x14ac:dyDescent="0.2">
      <c r="A128" s="516" t="s">
        <v>129</v>
      </c>
      <c r="B128" s="517"/>
      <c r="C128" s="101"/>
      <c r="D128" s="101"/>
      <c r="E128" s="431"/>
      <c r="F128" s="431"/>
      <c r="G128" s="431"/>
      <c r="H128" s="431"/>
      <c r="I128" s="431"/>
      <c r="J128" s="431"/>
      <c r="K128" s="431"/>
      <c r="L128" s="431"/>
      <c r="M128" s="431"/>
      <c r="N128" s="431"/>
      <c r="O128" s="431"/>
      <c r="P128" s="431"/>
      <c r="Q128" s="431"/>
      <c r="R128" s="431"/>
      <c r="S128" s="431"/>
      <c r="T128" s="431"/>
      <c r="U128" s="431"/>
      <c r="V128" s="431"/>
      <c r="W128" s="431"/>
      <c r="X128" s="431"/>
      <c r="Y128" s="431"/>
      <c r="Z128" s="431"/>
      <c r="AA128" s="431"/>
      <c r="AB128" s="431"/>
      <c r="AC128" s="431"/>
      <c r="AD128" s="430"/>
    </row>
    <row r="129" spans="1:30" s="54" customFormat="1" ht="15" x14ac:dyDescent="0.2">
      <c r="A129" s="110" t="s">
        <v>130</v>
      </c>
      <c r="B129" s="133" t="s">
        <v>131</v>
      </c>
      <c r="C129" s="407"/>
      <c r="D129" s="52"/>
      <c r="E129" s="421"/>
      <c r="F129" s="421"/>
      <c r="G129" s="421"/>
      <c r="H129" s="421"/>
      <c r="I129" s="421"/>
      <c r="J129" s="421"/>
      <c r="K129" s="421"/>
      <c r="L129" s="421"/>
      <c r="M129" s="421"/>
      <c r="N129" s="421"/>
      <c r="O129" s="421"/>
      <c r="P129" s="421"/>
      <c r="Q129" s="421"/>
      <c r="R129" s="421"/>
      <c r="S129" s="421"/>
      <c r="T129" s="421"/>
      <c r="U129" s="421"/>
      <c r="V129" s="421"/>
      <c r="W129" s="421"/>
      <c r="X129" s="421"/>
      <c r="Y129" s="421"/>
      <c r="Z129" s="421"/>
      <c r="AA129" s="421"/>
      <c r="AB129" s="421"/>
      <c r="AC129" s="428"/>
      <c r="AD129" s="423">
        <f t="shared" ref="AD129:AD148" si="20">SUM(C129:AC129)</f>
        <v>0</v>
      </c>
    </row>
    <row r="130" spans="1:30" s="54" customFormat="1" ht="15" x14ac:dyDescent="0.2">
      <c r="A130" s="110" t="s">
        <v>132</v>
      </c>
      <c r="B130" s="133" t="s">
        <v>133</v>
      </c>
      <c r="C130" s="407"/>
      <c r="D130" s="52"/>
      <c r="E130" s="421"/>
      <c r="F130" s="424"/>
      <c r="G130" s="424"/>
      <c r="H130" s="424"/>
      <c r="I130" s="424"/>
      <c r="J130" s="424"/>
      <c r="K130" s="424"/>
      <c r="L130" s="424"/>
      <c r="M130" s="424"/>
      <c r="N130" s="424"/>
      <c r="O130" s="424"/>
      <c r="P130" s="424"/>
      <c r="Q130" s="424"/>
      <c r="R130" s="424"/>
      <c r="S130" s="424"/>
      <c r="T130" s="421"/>
      <c r="U130" s="421"/>
      <c r="V130" s="421"/>
      <c r="W130" s="421"/>
      <c r="X130" s="421"/>
      <c r="Y130" s="421"/>
      <c r="Z130" s="421"/>
      <c r="AA130" s="421"/>
      <c r="AB130" s="424"/>
      <c r="AC130" s="422"/>
      <c r="AD130" s="423">
        <f t="shared" si="20"/>
        <v>0</v>
      </c>
    </row>
    <row r="131" spans="1:30" s="54" customFormat="1" ht="15" x14ac:dyDescent="0.2">
      <c r="A131" s="110" t="s">
        <v>134</v>
      </c>
      <c r="B131" s="133" t="s">
        <v>135</v>
      </c>
      <c r="C131" s="407"/>
      <c r="D131" s="52"/>
      <c r="E131" s="421"/>
      <c r="F131" s="424"/>
      <c r="G131" s="424"/>
      <c r="H131" s="424"/>
      <c r="I131" s="424"/>
      <c r="J131" s="424"/>
      <c r="K131" s="424"/>
      <c r="L131" s="424"/>
      <c r="M131" s="424"/>
      <c r="N131" s="424"/>
      <c r="O131" s="424"/>
      <c r="P131" s="424"/>
      <c r="Q131" s="424"/>
      <c r="R131" s="424"/>
      <c r="S131" s="424"/>
      <c r="T131" s="421"/>
      <c r="U131" s="421"/>
      <c r="V131" s="421"/>
      <c r="W131" s="421"/>
      <c r="X131" s="421"/>
      <c r="Y131" s="421"/>
      <c r="Z131" s="421"/>
      <c r="AA131" s="421"/>
      <c r="AB131" s="424"/>
      <c r="AC131" s="422"/>
      <c r="AD131" s="423">
        <f t="shared" si="20"/>
        <v>0</v>
      </c>
    </row>
    <row r="132" spans="1:30" s="54" customFormat="1" ht="15" x14ac:dyDescent="0.2">
      <c r="A132" s="110" t="s">
        <v>136</v>
      </c>
      <c r="B132" s="133" t="s">
        <v>137</v>
      </c>
      <c r="C132" s="407"/>
      <c r="D132" s="52"/>
      <c r="E132" s="421"/>
      <c r="F132" s="424"/>
      <c r="G132" s="424"/>
      <c r="H132" s="424"/>
      <c r="I132" s="424"/>
      <c r="J132" s="424"/>
      <c r="K132" s="424"/>
      <c r="L132" s="424"/>
      <c r="M132" s="424"/>
      <c r="N132" s="424"/>
      <c r="O132" s="424"/>
      <c r="P132" s="424"/>
      <c r="Q132" s="424"/>
      <c r="R132" s="424"/>
      <c r="S132" s="424"/>
      <c r="T132" s="421"/>
      <c r="U132" s="421"/>
      <c r="V132" s="421"/>
      <c r="W132" s="421"/>
      <c r="X132" s="421"/>
      <c r="Y132" s="421"/>
      <c r="Z132" s="421"/>
      <c r="AA132" s="421"/>
      <c r="AB132" s="424"/>
      <c r="AC132" s="422"/>
      <c r="AD132" s="423">
        <f t="shared" si="20"/>
        <v>0</v>
      </c>
    </row>
    <row r="133" spans="1:30" s="54" customFormat="1" ht="15" x14ac:dyDescent="0.2">
      <c r="A133" s="110" t="s">
        <v>138</v>
      </c>
      <c r="B133" s="133" t="s">
        <v>139</v>
      </c>
      <c r="C133" s="407"/>
      <c r="D133" s="52"/>
      <c r="E133" s="421"/>
      <c r="F133" s="424"/>
      <c r="G133" s="424"/>
      <c r="H133" s="424"/>
      <c r="I133" s="424"/>
      <c r="J133" s="424"/>
      <c r="K133" s="424"/>
      <c r="L133" s="424"/>
      <c r="M133" s="424"/>
      <c r="N133" s="424"/>
      <c r="O133" s="424"/>
      <c r="P133" s="424"/>
      <c r="Q133" s="424"/>
      <c r="R133" s="424"/>
      <c r="S133" s="424"/>
      <c r="T133" s="421"/>
      <c r="U133" s="421"/>
      <c r="V133" s="421"/>
      <c r="W133" s="421"/>
      <c r="X133" s="421"/>
      <c r="Y133" s="421"/>
      <c r="Z133" s="421"/>
      <c r="AA133" s="421"/>
      <c r="AB133" s="424"/>
      <c r="AC133" s="422"/>
      <c r="AD133" s="423">
        <f t="shared" si="20"/>
        <v>0</v>
      </c>
    </row>
    <row r="134" spans="1:30" s="54" customFormat="1" ht="15" x14ac:dyDescent="0.2">
      <c r="A134" s="110" t="s">
        <v>140</v>
      </c>
      <c r="B134" s="133" t="s">
        <v>141</v>
      </c>
      <c r="C134" s="407"/>
      <c r="D134" s="52"/>
      <c r="E134" s="421"/>
      <c r="F134" s="421"/>
      <c r="G134" s="421"/>
      <c r="H134" s="421"/>
      <c r="I134" s="421"/>
      <c r="J134" s="421"/>
      <c r="K134" s="421"/>
      <c r="L134" s="421"/>
      <c r="M134" s="421"/>
      <c r="N134" s="421"/>
      <c r="O134" s="421"/>
      <c r="P134" s="421"/>
      <c r="Q134" s="421"/>
      <c r="R134" s="421"/>
      <c r="S134" s="421"/>
      <c r="T134" s="421"/>
      <c r="U134" s="421"/>
      <c r="V134" s="421"/>
      <c r="W134" s="424"/>
      <c r="X134" s="421"/>
      <c r="Y134" s="421"/>
      <c r="Z134" s="421"/>
      <c r="AA134" s="424">
        <f>50770596.44/1000</f>
        <v>50770.596440000001</v>
      </c>
      <c r="AB134" s="421"/>
      <c r="AC134" s="431"/>
      <c r="AD134" s="423">
        <f t="shared" si="20"/>
        <v>50770.596440000001</v>
      </c>
    </row>
    <row r="135" spans="1:30" s="45" customFormat="1" x14ac:dyDescent="0.2">
      <c r="A135" s="399" t="s">
        <v>505</v>
      </c>
      <c r="B135" s="134" t="s">
        <v>532</v>
      </c>
      <c r="C135" s="407"/>
      <c r="D135" s="52"/>
      <c r="E135" s="421"/>
      <c r="F135" s="421"/>
      <c r="G135" s="421"/>
      <c r="H135" s="421"/>
      <c r="I135" s="421"/>
      <c r="J135" s="421"/>
      <c r="K135" s="421"/>
      <c r="L135" s="421"/>
      <c r="M135" s="421"/>
      <c r="N135" s="421"/>
      <c r="O135" s="421"/>
      <c r="P135" s="421"/>
      <c r="Q135" s="421"/>
      <c r="R135" s="421"/>
      <c r="S135" s="421"/>
      <c r="T135" s="424">
        <f>164300000/1000</f>
        <v>164300</v>
      </c>
      <c r="U135" s="421"/>
      <c r="V135" s="421"/>
      <c r="W135" s="424"/>
      <c r="X135" s="424"/>
      <c r="Y135" s="421"/>
      <c r="Z135" s="421"/>
      <c r="AA135" s="421"/>
      <c r="AB135" s="421"/>
      <c r="AC135" s="421"/>
      <c r="AD135" s="423">
        <f t="shared" si="20"/>
        <v>164300</v>
      </c>
    </row>
    <row r="136" spans="1:30" s="45" customFormat="1" x14ac:dyDescent="0.2">
      <c r="A136" s="399" t="s">
        <v>533</v>
      </c>
      <c r="B136" s="134" t="s">
        <v>534</v>
      </c>
      <c r="C136" s="407"/>
      <c r="D136" s="52"/>
      <c r="E136" s="421"/>
      <c r="F136" s="421"/>
      <c r="G136" s="421"/>
      <c r="H136" s="421"/>
      <c r="I136" s="421"/>
      <c r="J136" s="421"/>
      <c r="K136" s="421"/>
      <c r="L136" s="421"/>
      <c r="M136" s="421"/>
      <c r="N136" s="421"/>
      <c r="O136" s="421"/>
      <c r="P136" s="421"/>
      <c r="Q136" s="421"/>
      <c r="R136" s="421"/>
      <c r="S136" s="421"/>
      <c r="T136" s="424">
        <f>64000000/1000</f>
        <v>64000</v>
      </c>
      <c r="U136" s="421"/>
      <c r="V136" s="421"/>
      <c r="W136" s="424"/>
      <c r="X136" s="424"/>
      <c r="Y136" s="421"/>
      <c r="Z136" s="421"/>
      <c r="AA136" s="421"/>
      <c r="AB136" s="421"/>
      <c r="AC136" s="421"/>
      <c r="AD136" s="423">
        <f t="shared" si="20"/>
        <v>64000</v>
      </c>
    </row>
    <row r="137" spans="1:30" s="45" customFormat="1" x14ac:dyDescent="0.2">
      <c r="A137" s="399" t="s">
        <v>507</v>
      </c>
      <c r="B137" s="134" t="s">
        <v>535</v>
      </c>
      <c r="C137" s="407"/>
      <c r="D137" s="52"/>
      <c r="E137" s="421"/>
      <c r="F137" s="421"/>
      <c r="G137" s="421"/>
      <c r="H137" s="421"/>
      <c r="I137" s="421"/>
      <c r="J137" s="421"/>
      <c r="K137" s="421"/>
      <c r="L137" s="421"/>
      <c r="M137" s="421"/>
      <c r="N137" s="421"/>
      <c r="O137" s="421"/>
      <c r="P137" s="421"/>
      <c r="Q137" s="421"/>
      <c r="R137" s="421"/>
      <c r="S137" s="421"/>
      <c r="T137" s="421"/>
      <c r="U137" s="421"/>
      <c r="V137" s="421"/>
      <c r="W137" s="424"/>
      <c r="X137" s="424">
        <f>-49957147.67/1000</f>
        <v>-49957.147669999998</v>
      </c>
      <c r="Y137" s="421"/>
      <c r="Z137" s="421"/>
      <c r="AA137" s="421"/>
      <c r="AB137" s="421"/>
      <c r="AC137" s="421"/>
      <c r="AD137" s="423">
        <f t="shared" si="20"/>
        <v>-49957.147669999998</v>
      </c>
    </row>
    <row r="138" spans="1:30" s="45" customFormat="1" x14ac:dyDescent="0.2">
      <c r="A138" s="399" t="s">
        <v>536</v>
      </c>
      <c r="B138" s="134" t="s">
        <v>537</v>
      </c>
      <c r="C138" s="407"/>
      <c r="D138" s="52"/>
      <c r="E138" s="421"/>
      <c r="F138" s="421"/>
      <c r="G138" s="421"/>
      <c r="H138" s="421"/>
      <c r="I138" s="421"/>
      <c r="J138" s="421"/>
      <c r="K138" s="421"/>
      <c r="L138" s="421"/>
      <c r="M138" s="421"/>
      <c r="N138" s="421"/>
      <c r="O138" s="421"/>
      <c r="P138" s="421"/>
      <c r="Q138" s="421"/>
      <c r="R138" s="421"/>
      <c r="S138" s="421"/>
      <c r="T138" s="421"/>
      <c r="U138" s="421"/>
      <c r="V138" s="421"/>
      <c r="W138" s="424"/>
      <c r="X138" s="424"/>
      <c r="Y138" s="421"/>
      <c r="Z138" s="421"/>
      <c r="AA138" s="421"/>
      <c r="AB138" s="421"/>
      <c r="AC138" s="421"/>
      <c r="AD138" s="423">
        <f t="shared" si="20"/>
        <v>0</v>
      </c>
    </row>
    <row r="139" spans="1:30" s="45" customFormat="1" x14ac:dyDescent="0.2">
      <c r="A139" s="110" t="s">
        <v>142</v>
      </c>
      <c r="B139" s="133" t="s">
        <v>143</v>
      </c>
      <c r="C139" s="407"/>
      <c r="D139" s="52"/>
      <c r="E139" s="421"/>
      <c r="F139" s="421"/>
      <c r="G139" s="421"/>
      <c r="H139" s="421"/>
      <c r="I139" s="421"/>
      <c r="J139" s="421"/>
      <c r="K139" s="421"/>
      <c r="L139" s="421"/>
      <c r="M139" s="421"/>
      <c r="N139" s="421"/>
      <c r="O139" s="421"/>
      <c r="P139" s="421"/>
      <c r="Q139" s="421"/>
      <c r="R139" s="421"/>
      <c r="S139" s="421"/>
      <c r="T139" s="421"/>
      <c r="U139" s="421"/>
      <c r="V139" s="421"/>
      <c r="W139" s="424"/>
      <c r="X139" s="421"/>
      <c r="Y139" s="421"/>
      <c r="Z139" s="421"/>
      <c r="AA139" s="424">
        <f>2899541.87/1000</f>
        <v>2899.54187</v>
      </c>
      <c r="AB139" s="421"/>
      <c r="AC139" s="421"/>
      <c r="AD139" s="423">
        <f t="shared" si="20"/>
        <v>2899.54187</v>
      </c>
    </row>
    <row r="140" spans="1:30" s="45" customFormat="1" x14ac:dyDescent="0.2">
      <c r="A140" s="399" t="s">
        <v>508</v>
      </c>
      <c r="B140" s="134" t="s">
        <v>538</v>
      </c>
      <c r="C140" s="407"/>
      <c r="D140" s="52"/>
      <c r="E140" s="421"/>
      <c r="F140" s="421"/>
      <c r="G140" s="421"/>
      <c r="H140" s="421"/>
      <c r="I140" s="421"/>
      <c r="J140" s="421"/>
      <c r="K140" s="421"/>
      <c r="L140" s="421"/>
      <c r="M140" s="421"/>
      <c r="N140" s="421"/>
      <c r="O140" s="421"/>
      <c r="P140" s="421"/>
      <c r="Q140" s="421"/>
      <c r="R140" s="421"/>
      <c r="S140" s="421"/>
      <c r="T140" s="421"/>
      <c r="U140" s="424"/>
      <c r="V140" s="421"/>
      <c r="W140" s="424"/>
      <c r="X140" s="421"/>
      <c r="Y140" s="421"/>
      <c r="Z140" s="421"/>
      <c r="AA140" s="421"/>
      <c r="AB140" s="421"/>
      <c r="AC140" s="421"/>
      <c r="AD140" s="423">
        <f t="shared" si="20"/>
        <v>0</v>
      </c>
    </row>
    <row r="141" spans="1:30" s="45" customFormat="1" x14ac:dyDescent="0.2">
      <c r="A141" s="399" t="s">
        <v>509</v>
      </c>
      <c r="B141" s="134" t="s">
        <v>539</v>
      </c>
      <c r="C141" s="407"/>
      <c r="D141" s="52"/>
      <c r="E141" s="421"/>
      <c r="F141" s="421"/>
      <c r="G141" s="421"/>
      <c r="H141" s="421"/>
      <c r="I141" s="421"/>
      <c r="J141" s="421"/>
      <c r="K141" s="421"/>
      <c r="L141" s="421"/>
      <c r="M141" s="421"/>
      <c r="N141" s="421"/>
      <c r="O141" s="421"/>
      <c r="P141" s="421"/>
      <c r="Q141" s="421"/>
      <c r="R141" s="421"/>
      <c r="S141" s="421"/>
      <c r="T141" s="421"/>
      <c r="U141" s="424"/>
      <c r="V141" s="421"/>
      <c r="W141" s="424"/>
      <c r="X141" s="421"/>
      <c r="Y141" s="421"/>
      <c r="Z141" s="421"/>
      <c r="AA141" s="421"/>
      <c r="AB141" s="421"/>
      <c r="AC141" s="421"/>
      <c r="AD141" s="423">
        <f t="shared" si="20"/>
        <v>0</v>
      </c>
    </row>
    <row r="142" spans="1:30" s="45" customFormat="1" x14ac:dyDescent="0.2">
      <c r="A142" s="399" t="s">
        <v>540</v>
      </c>
      <c r="B142" s="134" t="s">
        <v>541</v>
      </c>
      <c r="C142" s="407"/>
      <c r="D142" s="52"/>
      <c r="E142" s="421"/>
      <c r="F142" s="421"/>
      <c r="G142" s="421"/>
      <c r="H142" s="421"/>
      <c r="I142" s="421"/>
      <c r="J142" s="421"/>
      <c r="K142" s="421"/>
      <c r="L142" s="421"/>
      <c r="M142" s="421"/>
      <c r="N142" s="421"/>
      <c r="O142" s="421"/>
      <c r="P142" s="421"/>
      <c r="Q142" s="421"/>
      <c r="R142" s="421"/>
      <c r="S142" s="421"/>
      <c r="T142" s="421"/>
      <c r="U142" s="424"/>
      <c r="V142" s="421"/>
      <c r="W142" s="424"/>
      <c r="X142" s="421"/>
      <c r="Y142" s="421"/>
      <c r="Z142" s="421"/>
      <c r="AA142" s="421"/>
      <c r="AB142" s="421"/>
      <c r="AC142" s="421"/>
      <c r="AD142" s="423">
        <f t="shared" si="20"/>
        <v>0</v>
      </c>
    </row>
    <row r="143" spans="1:30" s="45" customFormat="1" x14ac:dyDescent="0.2">
      <c r="A143" s="110" t="s">
        <v>144</v>
      </c>
      <c r="B143" s="138" t="s">
        <v>542</v>
      </c>
      <c r="C143" s="407"/>
      <c r="D143" s="52"/>
      <c r="E143" s="421"/>
      <c r="F143" s="421"/>
      <c r="G143" s="421"/>
      <c r="H143" s="421"/>
      <c r="I143" s="421"/>
      <c r="J143" s="421"/>
      <c r="K143" s="421"/>
      <c r="L143" s="421"/>
      <c r="M143" s="421"/>
      <c r="N143" s="421"/>
      <c r="O143" s="421"/>
      <c r="P143" s="421"/>
      <c r="Q143" s="421"/>
      <c r="R143" s="421"/>
      <c r="S143" s="421"/>
      <c r="T143" s="424">
        <f>202389.24/1000</f>
        <v>202.38924</v>
      </c>
      <c r="U143" s="421"/>
      <c r="V143" s="421"/>
      <c r="W143" s="424"/>
      <c r="X143" s="421"/>
      <c r="Y143" s="421"/>
      <c r="Z143" s="421"/>
      <c r="AA143" s="421"/>
      <c r="AB143" s="421"/>
      <c r="AC143" s="421"/>
      <c r="AD143" s="423">
        <f t="shared" si="20"/>
        <v>202.38924</v>
      </c>
    </row>
    <row r="144" spans="1:30" s="45" customFormat="1" x14ac:dyDescent="0.2">
      <c r="A144" s="400" t="s">
        <v>543</v>
      </c>
      <c r="B144" s="401" t="s">
        <v>544</v>
      </c>
      <c r="C144" s="407"/>
      <c r="D144" s="52"/>
      <c r="E144" s="421"/>
      <c r="F144" s="421"/>
      <c r="G144" s="421"/>
      <c r="H144" s="421"/>
      <c r="I144" s="421"/>
      <c r="J144" s="421"/>
      <c r="K144" s="421"/>
      <c r="L144" s="421"/>
      <c r="M144" s="421"/>
      <c r="N144" s="421"/>
      <c r="O144" s="421"/>
      <c r="P144" s="421"/>
      <c r="Q144" s="421"/>
      <c r="R144" s="421"/>
      <c r="S144" s="421"/>
      <c r="T144" s="421"/>
      <c r="U144" s="421"/>
      <c r="V144" s="421"/>
      <c r="W144" s="425"/>
      <c r="X144" s="421"/>
      <c r="Y144" s="421"/>
      <c r="Z144" s="421"/>
      <c r="AA144" s="425"/>
      <c r="AB144" s="421"/>
      <c r="AC144" s="421"/>
      <c r="AD144" s="423">
        <f t="shared" si="20"/>
        <v>0</v>
      </c>
    </row>
    <row r="145" spans="1:30" s="45" customFormat="1" x14ac:dyDescent="0.2">
      <c r="A145" s="400" t="s">
        <v>545</v>
      </c>
      <c r="B145" s="401" t="s">
        <v>546</v>
      </c>
      <c r="C145" s="407"/>
      <c r="D145" s="52"/>
      <c r="E145" s="421"/>
      <c r="F145" s="421"/>
      <c r="G145" s="421"/>
      <c r="H145" s="421"/>
      <c r="I145" s="421"/>
      <c r="J145" s="421"/>
      <c r="K145" s="421"/>
      <c r="L145" s="421"/>
      <c r="M145" s="421"/>
      <c r="N145" s="421"/>
      <c r="O145" s="421"/>
      <c r="P145" s="421"/>
      <c r="Q145" s="421"/>
      <c r="R145" s="421"/>
      <c r="S145" s="421"/>
      <c r="T145" s="421"/>
      <c r="U145" s="421"/>
      <c r="V145" s="421"/>
      <c r="W145" s="425"/>
      <c r="X145" s="421"/>
      <c r="Y145" s="421"/>
      <c r="Z145" s="421"/>
      <c r="AA145" s="425"/>
      <c r="AB145" s="421"/>
      <c r="AC145" s="421"/>
      <c r="AD145" s="423">
        <f t="shared" si="20"/>
        <v>0</v>
      </c>
    </row>
    <row r="146" spans="1:30" s="45" customFormat="1" x14ac:dyDescent="0.2">
      <c r="A146" s="400" t="s">
        <v>547</v>
      </c>
      <c r="B146" s="401" t="s">
        <v>548</v>
      </c>
      <c r="C146" s="407"/>
      <c r="D146" s="52"/>
      <c r="E146" s="421"/>
      <c r="F146" s="421"/>
      <c r="G146" s="421"/>
      <c r="H146" s="421"/>
      <c r="I146" s="421"/>
      <c r="J146" s="421"/>
      <c r="K146" s="421"/>
      <c r="L146" s="421"/>
      <c r="M146" s="421"/>
      <c r="N146" s="421"/>
      <c r="O146" s="421"/>
      <c r="P146" s="421"/>
      <c r="Q146" s="421"/>
      <c r="R146" s="421"/>
      <c r="S146" s="421"/>
      <c r="T146" s="421"/>
      <c r="U146" s="421"/>
      <c r="V146" s="421"/>
      <c r="W146" s="425"/>
      <c r="X146" s="421"/>
      <c r="Y146" s="421"/>
      <c r="Z146" s="421"/>
      <c r="AA146" s="425"/>
      <c r="AB146" s="421"/>
      <c r="AC146" s="421"/>
      <c r="AD146" s="423">
        <f t="shared" si="20"/>
        <v>0</v>
      </c>
    </row>
    <row r="147" spans="1:30" s="45" customFormat="1" x14ac:dyDescent="0.2">
      <c r="A147" s="400" t="s">
        <v>549</v>
      </c>
      <c r="B147" s="138" t="s">
        <v>550</v>
      </c>
      <c r="C147" s="407"/>
      <c r="D147" s="52"/>
      <c r="E147" s="421"/>
      <c r="F147" s="421"/>
      <c r="G147" s="421"/>
      <c r="H147" s="421"/>
      <c r="I147" s="421"/>
      <c r="J147" s="421"/>
      <c r="K147" s="421"/>
      <c r="L147" s="421"/>
      <c r="M147" s="421"/>
      <c r="N147" s="421"/>
      <c r="O147" s="421"/>
      <c r="P147" s="421"/>
      <c r="Q147" s="421"/>
      <c r="R147" s="421"/>
      <c r="S147" s="421"/>
      <c r="T147" s="421"/>
      <c r="U147" s="421"/>
      <c r="V147" s="421"/>
      <c r="W147" s="425"/>
      <c r="X147" s="421"/>
      <c r="Y147" s="421"/>
      <c r="Z147" s="421"/>
      <c r="AA147" s="425"/>
      <c r="AB147" s="421"/>
      <c r="AC147" s="421"/>
      <c r="AD147" s="423">
        <f t="shared" si="20"/>
        <v>0</v>
      </c>
    </row>
    <row r="148" spans="1:30" s="45" customFormat="1" ht="15.75" x14ac:dyDescent="0.2">
      <c r="A148" s="467" t="s">
        <v>146</v>
      </c>
      <c r="B148" s="468"/>
      <c r="C148" s="407">
        <f>SUM(C128:C147)</f>
        <v>0</v>
      </c>
      <c r="D148" s="52">
        <f t="shared" ref="D148:AC148" si="21">SUM(D128:D147)</f>
        <v>0</v>
      </c>
      <c r="E148" s="421">
        <f t="shared" si="21"/>
        <v>0</v>
      </c>
      <c r="F148" s="424">
        <f t="shared" si="21"/>
        <v>0</v>
      </c>
      <c r="G148" s="424">
        <f t="shared" si="21"/>
        <v>0</v>
      </c>
      <c r="H148" s="424">
        <f t="shared" si="21"/>
        <v>0</v>
      </c>
      <c r="I148" s="424">
        <f t="shared" si="21"/>
        <v>0</v>
      </c>
      <c r="J148" s="424">
        <f t="shared" si="21"/>
        <v>0</v>
      </c>
      <c r="K148" s="424">
        <f t="shared" si="21"/>
        <v>0</v>
      </c>
      <c r="L148" s="424">
        <f t="shared" si="21"/>
        <v>0</v>
      </c>
      <c r="M148" s="424">
        <f t="shared" si="21"/>
        <v>0</v>
      </c>
      <c r="N148" s="424">
        <f t="shared" si="21"/>
        <v>0</v>
      </c>
      <c r="O148" s="424">
        <f t="shared" si="21"/>
        <v>0</v>
      </c>
      <c r="P148" s="424">
        <f t="shared" si="21"/>
        <v>0</v>
      </c>
      <c r="Q148" s="424">
        <f t="shared" si="21"/>
        <v>0</v>
      </c>
      <c r="R148" s="424">
        <f t="shared" si="21"/>
        <v>0</v>
      </c>
      <c r="S148" s="424">
        <f t="shared" si="21"/>
        <v>0</v>
      </c>
      <c r="T148" s="424">
        <f t="shared" si="21"/>
        <v>228502.38923999999</v>
      </c>
      <c r="U148" s="424">
        <f t="shared" si="21"/>
        <v>0</v>
      </c>
      <c r="V148" s="421">
        <f t="shared" si="21"/>
        <v>0</v>
      </c>
      <c r="W148" s="424">
        <f t="shared" si="21"/>
        <v>0</v>
      </c>
      <c r="X148" s="424">
        <f t="shared" si="21"/>
        <v>-49957.147669999998</v>
      </c>
      <c r="Y148" s="421">
        <f t="shared" si="21"/>
        <v>0</v>
      </c>
      <c r="Z148" s="421">
        <f t="shared" si="21"/>
        <v>0</v>
      </c>
      <c r="AA148" s="424">
        <f t="shared" si="21"/>
        <v>53670.138310000002</v>
      </c>
      <c r="AB148" s="424">
        <f t="shared" si="21"/>
        <v>0</v>
      </c>
      <c r="AC148" s="422">
        <f t="shared" si="21"/>
        <v>0</v>
      </c>
      <c r="AD148" s="423">
        <f t="shared" si="20"/>
        <v>232215.37987999999</v>
      </c>
    </row>
    <row r="149" spans="1:30" s="45" customFormat="1" ht="15" x14ac:dyDescent="0.2">
      <c r="A149" s="46"/>
      <c r="B149" s="47"/>
      <c r="C149" s="53"/>
      <c r="D149" s="53"/>
      <c r="E149" s="428"/>
      <c r="F149" s="429"/>
      <c r="G149" s="429"/>
      <c r="H149" s="429"/>
      <c r="I149" s="429"/>
      <c r="J149" s="429"/>
      <c r="K149" s="429"/>
      <c r="L149" s="429"/>
      <c r="M149" s="429"/>
      <c r="N149" s="429"/>
      <c r="O149" s="429"/>
      <c r="P149" s="429"/>
      <c r="Q149" s="429"/>
      <c r="R149" s="429"/>
      <c r="S149" s="429"/>
      <c r="T149" s="429"/>
      <c r="U149" s="429"/>
      <c r="V149" s="428"/>
      <c r="W149" s="429"/>
      <c r="X149" s="429"/>
      <c r="Y149" s="428"/>
      <c r="Z149" s="428"/>
      <c r="AA149" s="429"/>
      <c r="AB149" s="429"/>
      <c r="AC149" s="428"/>
      <c r="AD149" s="430"/>
    </row>
    <row r="150" spans="1:30" s="45" customFormat="1" ht="15" x14ac:dyDescent="0.25">
      <c r="A150" s="518" t="s">
        <v>147</v>
      </c>
      <c r="B150" s="519"/>
      <c r="C150" s="101"/>
      <c r="D150" s="101"/>
      <c r="E150" s="431"/>
      <c r="F150" s="429"/>
      <c r="G150" s="429"/>
      <c r="H150" s="429"/>
      <c r="I150" s="429"/>
      <c r="J150" s="429"/>
      <c r="K150" s="429"/>
      <c r="L150" s="429"/>
      <c r="M150" s="429"/>
      <c r="N150" s="429"/>
      <c r="O150" s="429"/>
      <c r="P150" s="429"/>
      <c r="Q150" s="429"/>
      <c r="R150" s="429"/>
      <c r="S150" s="429"/>
      <c r="T150" s="431"/>
      <c r="U150" s="431"/>
      <c r="V150" s="431"/>
      <c r="W150" s="431"/>
      <c r="X150" s="431"/>
      <c r="Y150" s="431"/>
      <c r="Z150" s="431"/>
      <c r="AA150" s="431"/>
      <c r="AB150" s="429"/>
      <c r="AC150" s="429"/>
      <c r="AD150" s="442"/>
    </row>
    <row r="151" spans="1:30" s="45" customFormat="1" x14ac:dyDescent="0.2">
      <c r="A151" s="110" t="s">
        <v>148</v>
      </c>
      <c r="B151" s="133" t="s">
        <v>149</v>
      </c>
      <c r="C151" s="407"/>
      <c r="D151" s="52"/>
      <c r="E151" s="421"/>
      <c r="F151" s="420"/>
      <c r="G151" s="420"/>
      <c r="H151" s="420"/>
      <c r="I151" s="420"/>
      <c r="J151" s="420"/>
      <c r="K151" s="420"/>
      <c r="L151" s="420"/>
      <c r="M151" s="420"/>
      <c r="N151" s="420"/>
      <c r="O151" s="420"/>
      <c r="P151" s="420"/>
      <c r="Q151" s="420"/>
      <c r="R151" s="420"/>
      <c r="S151" s="420">
        <f>(50809555)/1000</f>
        <v>50809.555</v>
      </c>
      <c r="T151" s="421"/>
      <c r="U151" s="421"/>
      <c r="V151" s="421"/>
      <c r="W151" s="421"/>
      <c r="X151" s="421"/>
      <c r="Y151" s="421"/>
      <c r="Z151" s="421"/>
      <c r="AA151" s="421"/>
      <c r="AB151" s="420"/>
      <c r="AC151" s="445"/>
      <c r="AD151" s="423">
        <f t="shared" ref="AD151:AD164" si="22">SUM(C151:AC151)</f>
        <v>50809.555</v>
      </c>
    </row>
    <row r="152" spans="1:30" s="45" customFormat="1" x14ac:dyDescent="0.2">
      <c r="A152" s="110" t="s">
        <v>150</v>
      </c>
      <c r="B152" s="133" t="s">
        <v>551</v>
      </c>
      <c r="C152" s="407"/>
      <c r="D152" s="52"/>
      <c r="E152" s="421"/>
      <c r="F152" s="424"/>
      <c r="G152" s="424"/>
      <c r="H152" s="424"/>
      <c r="I152" s="424"/>
      <c r="J152" s="424"/>
      <c r="K152" s="424"/>
      <c r="L152" s="424"/>
      <c r="M152" s="424"/>
      <c r="N152" s="424"/>
      <c r="O152" s="424"/>
      <c r="P152" s="424"/>
      <c r="Q152" s="424"/>
      <c r="R152" s="424"/>
      <c r="S152" s="424">
        <f>43590924.37/1000</f>
        <v>43590.924370000001</v>
      </c>
      <c r="T152" s="421"/>
      <c r="U152" s="421"/>
      <c r="V152" s="421"/>
      <c r="W152" s="421"/>
      <c r="X152" s="421"/>
      <c r="Y152" s="421"/>
      <c r="Z152" s="421"/>
      <c r="AA152" s="421"/>
      <c r="AB152" s="424"/>
      <c r="AC152" s="422"/>
      <c r="AD152" s="423">
        <f t="shared" si="22"/>
        <v>43590.924370000001</v>
      </c>
    </row>
    <row r="153" spans="1:30" s="45" customFormat="1" x14ac:dyDescent="0.2">
      <c r="A153" s="110" t="s">
        <v>151</v>
      </c>
      <c r="B153" s="133" t="s">
        <v>152</v>
      </c>
      <c r="C153" s="407"/>
      <c r="D153" s="52"/>
      <c r="E153" s="421"/>
      <c r="F153" s="424"/>
      <c r="G153" s="424"/>
      <c r="H153" s="424"/>
      <c r="I153" s="424"/>
      <c r="J153" s="424"/>
      <c r="K153" s="424"/>
      <c r="L153" s="424"/>
      <c r="M153" s="424"/>
      <c r="N153" s="424"/>
      <c r="O153" s="424"/>
      <c r="P153" s="424"/>
      <c r="Q153" s="424"/>
      <c r="R153" s="424"/>
      <c r="S153" s="424">
        <f>(5692571.42)/1000</f>
        <v>5692.5714200000002</v>
      </c>
      <c r="T153" s="421"/>
      <c r="U153" s="421"/>
      <c r="V153" s="421"/>
      <c r="W153" s="421"/>
      <c r="X153" s="421"/>
      <c r="Y153" s="421"/>
      <c r="Z153" s="421"/>
      <c r="AA153" s="421"/>
      <c r="AB153" s="424"/>
      <c r="AC153" s="422"/>
      <c r="AD153" s="423">
        <f t="shared" si="22"/>
        <v>5692.5714200000002</v>
      </c>
    </row>
    <row r="154" spans="1:30" s="45" customFormat="1" x14ac:dyDescent="0.2">
      <c r="A154" s="110" t="s">
        <v>153</v>
      </c>
      <c r="B154" s="138" t="s">
        <v>154</v>
      </c>
      <c r="C154" s="407"/>
      <c r="D154" s="52"/>
      <c r="E154" s="421"/>
      <c r="F154" s="424"/>
      <c r="G154" s="424"/>
      <c r="H154" s="424"/>
      <c r="I154" s="424"/>
      <c r="J154" s="424"/>
      <c r="K154" s="424"/>
      <c r="L154" s="424"/>
      <c r="M154" s="424"/>
      <c r="N154" s="424"/>
      <c r="O154" s="424"/>
      <c r="P154" s="424"/>
      <c r="Q154" s="424"/>
      <c r="R154" s="424"/>
      <c r="S154" s="424">
        <f>1158971.8/1000</f>
        <v>1158.9718</v>
      </c>
      <c r="T154" s="421"/>
      <c r="U154" s="421"/>
      <c r="V154" s="421"/>
      <c r="W154" s="421"/>
      <c r="X154" s="421"/>
      <c r="Y154" s="421"/>
      <c r="Z154" s="421"/>
      <c r="AA154" s="421"/>
      <c r="AB154" s="424"/>
      <c r="AC154" s="422"/>
      <c r="AD154" s="423">
        <f t="shared" si="22"/>
        <v>1158.9718</v>
      </c>
    </row>
    <row r="155" spans="1:30" s="45" customFormat="1" x14ac:dyDescent="0.2">
      <c r="A155" s="110" t="s">
        <v>155</v>
      </c>
      <c r="B155" s="133" t="s">
        <v>156</v>
      </c>
      <c r="C155" s="407"/>
      <c r="D155" s="52"/>
      <c r="E155" s="421"/>
      <c r="F155" s="421"/>
      <c r="G155" s="421"/>
      <c r="H155" s="421"/>
      <c r="I155" s="421"/>
      <c r="J155" s="421"/>
      <c r="K155" s="421"/>
      <c r="L155" s="421"/>
      <c r="M155" s="421"/>
      <c r="N155" s="421"/>
      <c r="O155" s="421"/>
      <c r="P155" s="421"/>
      <c r="Q155" s="421"/>
      <c r="R155" s="421"/>
      <c r="S155" s="421"/>
      <c r="T155" s="421"/>
      <c r="U155" s="421"/>
      <c r="V155" s="424"/>
      <c r="W155" s="424"/>
      <c r="X155" s="421"/>
      <c r="Y155" s="421"/>
      <c r="Z155" s="421"/>
      <c r="AA155" s="421"/>
      <c r="AB155" s="421"/>
      <c r="AC155" s="431"/>
      <c r="AD155" s="423">
        <f t="shared" si="22"/>
        <v>0</v>
      </c>
    </row>
    <row r="156" spans="1:30" s="45" customFormat="1" x14ac:dyDescent="0.2">
      <c r="A156" s="110" t="s">
        <v>157</v>
      </c>
      <c r="B156" s="133" t="s">
        <v>158</v>
      </c>
      <c r="C156" s="407"/>
      <c r="D156" s="52"/>
      <c r="E156" s="421"/>
      <c r="F156" s="421"/>
      <c r="G156" s="421"/>
      <c r="H156" s="421"/>
      <c r="I156" s="421"/>
      <c r="J156" s="421"/>
      <c r="K156" s="421"/>
      <c r="L156" s="421"/>
      <c r="M156" s="421"/>
      <c r="N156" s="421"/>
      <c r="O156" s="421"/>
      <c r="P156" s="421"/>
      <c r="Q156" s="421"/>
      <c r="R156" s="421"/>
      <c r="S156" s="421"/>
      <c r="T156" s="421"/>
      <c r="U156" s="421"/>
      <c r="V156" s="421"/>
      <c r="W156" s="424"/>
      <c r="X156" s="421"/>
      <c r="Y156" s="424"/>
      <c r="Z156" s="421"/>
      <c r="AA156" s="421"/>
      <c r="AB156" s="421"/>
      <c r="AC156" s="421"/>
      <c r="AD156" s="423">
        <f t="shared" si="22"/>
        <v>0</v>
      </c>
    </row>
    <row r="157" spans="1:30" s="45" customFormat="1" x14ac:dyDescent="0.2">
      <c r="A157" s="110" t="s">
        <v>159</v>
      </c>
      <c r="B157" s="133" t="s">
        <v>160</v>
      </c>
      <c r="C157" s="407"/>
      <c r="D157" s="52"/>
      <c r="E157" s="421"/>
      <c r="F157" s="421"/>
      <c r="G157" s="421"/>
      <c r="H157" s="421"/>
      <c r="I157" s="421"/>
      <c r="J157" s="421"/>
      <c r="K157" s="421"/>
      <c r="L157" s="421"/>
      <c r="M157" s="421"/>
      <c r="N157" s="421"/>
      <c r="O157" s="421"/>
      <c r="P157" s="421"/>
      <c r="Q157" s="421"/>
      <c r="R157" s="421"/>
      <c r="S157" s="421"/>
      <c r="T157" s="421"/>
      <c r="U157" s="421"/>
      <c r="V157" s="421"/>
      <c r="W157" s="424"/>
      <c r="X157" s="421"/>
      <c r="Y157" s="424"/>
      <c r="Z157" s="421"/>
      <c r="AA157" s="421"/>
      <c r="AB157" s="421"/>
      <c r="AC157" s="421"/>
      <c r="AD157" s="423">
        <f t="shared" si="22"/>
        <v>0</v>
      </c>
    </row>
    <row r="158" spans="1:30" s="45" customFormat="1" x14ac:dyDescent="0.2">
      <c r="A158" s="110" t="s">
        <v>161</v>
      </c>
      <c r="B158" s="133" t="s">
        <v>162</v>
      </c>
      <c r="C158" s="407"/>
      <c r="D158" s="52"/>
      <c r="E158" s="421"/>
      <c r="F158" s="421"/>
      <c r="G158" s="421"/>
      <c r="H158" s="421"/>
      <c r="I158" s="421"/>
      <c r="J158" s="421"/>
      <c r="K158" s="421"/>
      <c r="L158" s="421"/>
      <c r="M158" s="421"/>
      <c r="N158" s="421"/>
      <c r="O158" s="421"/>
      <c r="P158" s="421"/>
      <c r="Q158" s="421"/>
      <c r="R158" s="421"/>
      <c r="S158" s="421"/>
      <c r="T158" s="421"/>
      <c r="U158" s="421"/>
      <c r="V158" s="421"/>
      <c r="W158" s="424"/>
      <c r="X158" s="421"/>
      <c r="Y158" s="424"/>
      <c r="Z158" s="421"/>
      <c r="AA158" s="421"/>
      <c r="AB158" s="421"/>
      <c r="AC158" s="421"/>
      <c r="AD158" s="423">
        <f t="shared" si="22"/>
        <v>0</v>
      </c>
    </row>
    <row r="159" spans="1:30" s="45" customFormat="1" x14ac:dyDescent="0.2">
      <c r="A159" s="399" t="s">
        <v>510</v>
      </c>
      <c r="B159" s="134" t="s">
        <v>552</v>
      </c>
      <c r="C159" s="407"/>
      <c r="D159" s="52"/>
      <c r="E159" s="421"/>
      <c r="F159" s="421"/>
      <c r="G159" s="421"/>
      <c r="H159" s="421"/>
      <c r="I159" s="421"/>
      <c r="J159" s="421"/>
      <c r="K159" s="421"/>
      <c r="L159" s="421"/>
      <c r="M159" s="421"/>
      <c r="N159" s="421"/>
      <c r="O159" s="421"/>
      <c r="P159" s="421"/>
      <c r="Q159" s="421"/>
      <c r="R159" s="421"/>
      <c r="S159" s="421"/>
      <c r="T159" s="421"/>
      <c r="U159" s="421"/>
      <c r="V159" s="421"/>
      <c r="W159" s="424"/>
      <c r="X159" s="421"/>
      <c r="Y159" s="424"/>
      <c r="Z159" s="421"/>
      <c r="AA159" s="421"/>
      <c r="AB159" s="421"/>
      <c r="AC159" s="421"/>
      <c r="AD159" s="423">
        <f t="shared" si="22"/>
        <v>0</v>
      </c>
    </row>
    <row r="160" spans="1:30" s="45" customFormat="1" x14ac:dyDescent="0.2">
      <c r="A160" s="399" t="s">
        <v>553</v>
      </c>
      <c r="B160" s="134" t="s">
        <v>163</v>
      </c>
      <c r="C160" s="407"/>
      <c r="D160" s="52"/>
      <c r="E160" s="421"/>
      <c r="F160" s="421"/>
      <c r="G160" s="421"/>
      <c r="H160" s="421"/>
      <c r="I160" s="421"/>
      <c r="J160" s="421"/>
      <c r="K160" s="421"/>
      <c r="L160" s="421"/>
      <c r="M160" s="421"/>
      <c r="N160" s="421"/>
      <c r="O160" s="421"/>
      <c r="P160" s="421"/>
      <c r="Q160" s="421"/>
      <c r="R160" s="421"/>
      <c r="S160" s="421"/>
      <c r="T160" s="421"/>
      <c r="U160" s="421"/>
      <c r="V160" s="421"/>
      <c r="W160" s="424"/>
      <c r="X160" s="421"/>
      <c r="Y160" s="424"/>
      <c r="Z160" s="421"/>
      <c r="AA160" s="421"/>
      <c r="AB160" s="421"/>
      <c r="AC160" s="421"/>
      <c r="AD160" s="423">
        <f t="shared" si="22"/>
        <v>0</v>
      </c>
    </row>
    <row r="161" spans="1:30" s="45" customFormat="1" x14ac:dyDescent="0.2">
      <c r="A161" s="110" t="s">
        <v>164</v>
      </c>
      <c r="B161" s="133" t="s">
        <v>554</v>
      </c>
      <c r="C161" s="407"/>
      <c r="D161" s="52"/>
      <c r="E161" s="421"/>
      <c r="F161" s="421"/>
      <c r="G161" s="421"/>
      <c r="H161" s="421"/>
      <c r="I161" s="421"/>
      <c r="J161" s="421"/>
      <c r="K161" s="421"/>
      <c r="L161" s="421"/>
      <c r="M161" s="421"/>
      <c r="N161" s="421"/>
      <c r="O161" s="421"/>
      <c r="P161" s="421"/>
      <c r="Q161" s="421"/>
      <c r="R161" s="421"/>
      <c r="S161" s="421"/>
      <c r="T161" s="421"/>
      <c r="U161" s="421"/>
      <c r="V161" s="421"/>
      <c r="W161" s="424"/>
      <c r="X161" s="421"/>
      <c r="Y161" s="424"/>
      <c r="Z161" s="421"/>
      <c r="AA161" s="421"/>
      <c r="AB161" s="421"/>
      <c r="AC161" s="421"/>
      <c r="AD161" s="423">
        <f t="shared" si="22"/>
        <v>0</v>
      </c>
    </row>
    <row r="162" spans="1:30" s="45" customFormat="1" x14ac:dyDescent="0.2">
      <c r="A162" s="110" t="s">
        <v>165</v>
      </c>
      <c r="B162" s="133" t="s">
        <v>166</v>
      </c>
      <c r="C162" s="407"/>
      <c r="D162" s="52"/>
      <c r="E162" s="421"/>
      <c r="F162" s="421"/>
      <c r="G162" s="421"/>
      <c r="H162" s="421"/>
      <c r="I162" s="421"/>
      <c r="J162" s="421"/>
      <c r="K162" s="421"/>
      <c r="L162" s="421"/>
      <c r="M162" s="421"/>
      <c r="N162" s="421"/>
      <c r="O162" s="421"/>
      <c r="P162" s="421"/>
      <c r="Q162" s="421"/>
      <c r="R162" s="421"/>
      <c r="S162" s="421"/>
      <c r="T162" s="421"/>
      <c r="U162" s="421"/>
      <c r="V162" s="421"/>
      <c r="W162" s="424"/>
      <c r="X162" s="421"/>
      <c r="Y162" s="424"/>
      <c r="Z162" s="421"/>
      <c r="AA162" s="421"/>
      <c r="AB162" s="421"/>
      <c r="AC162" s="421"/>
      <c r="AD162" s="423">
        <f t="shared" si="22"/>
        <v>0</v>
      </c>
    </row>
    <row r="163" spans="1:30" s="45" customFormat="1" x14ac:dyDescent="0.2">
      <c r="A163" s="110" t="s">
        <v>167</v>
      </c>
      <c r="B163" s="133" t="s">
        <v>555</v>
      </c>
      <c r="C163" s="407"/>
      <c r="D163" s="52"/>
      <c r="E163" s="421"/>
      <c r="F163" s="421"/>
      <c r="G163" s="421"/>
      <c r="H163" s="421"/>
      <c r="I163" s="421"/>
      <c r="J163" s="421"/>
      <c r="K163" s="421"/>
      <c r="L163" s="421"/>
      <c r="M163" s="421"/>
      <c r="N163" s="421"/>
      <c r="O163" s="421"/>
      <c r="P163" s="421"/>
      <c r="Q163" s="421"/>
      <c r="R163" s="421"/>
      <c r="S163" s="421"/>
      <c r="T163" s="421"/>
      <c r="U163" s="421"/>
      <c r="V163" s="421"/>
      <c r="W163" s="425"/>
      <c r="X163" s="421"/>
      <c r="Y163" s="425"/>
      <c r="Z163" s="421"/>
      <c r="AA163" s="421"/>
      <c r="AB163" s="421"/>
      <c r="AC163" s="428"/>
      <c r="AD163" s="423">
        <f t="shared" si="22"/>
        <v>0</v>
      </c>
    </row>
    <row r="164" spans="1:30" s="45" customFormat="1" ht="15.75" x14ac:dyDescent="0.2">
      <c r="A164" s="467" t="s">
        <v>169</v>
      </c>
      <c r="B164" s="468"/>
      <c r="C164" s="407">
        <f t="shared" ref="C164:AC164" si="23">SUM(C151:C163)</f>
        <v>0</v>
      </c>
      <c r="D164" s="52">
        <f t="shared" si="23"/>
        <v>0</v>
      </c>
      <c r="E164" s="421">
        <f t="shared" si="23"/>
        <v>0</v>
      </c>
      <c r="F164" s="424">
        <f t="shared" si="23"/>
        <v>0</v>
      </c>
      <c r="G164" s="424">
        <f t="shared" si="23"/>
        <v>0</v>
      </c>
      <c r="H164" s="424">
        <f t="shared" si="23"/>
        <v>0</v>
      </c>
      <c r="I164" s="424">
        <f t="shared" si="23"/>
        <v>0</v>
      </c>
      <c r="J164" s="424">
        <f t="shared" si="23"/>
        <v>0</v>
      </c>
      <c r="K164" s="424">
        <f t="shared" si="23"/>
        <v>0</v>
      </c>
      <c r="L164" s="424">
        <f t="shared" si="23"/>
        <v>0</v>
      </c>
      <c r="M164" s="424">
        <f t="shared" si="23"/>
        <v>0</v>
      </c>
      <c r="N164" s="424">
        <f t="shared" si="23"/>
        <v>0</v>
      </c>
      <c r="O164" s="424">
        <f t="shared" si="23"/>
        <v>0</v>
      </c>
      <c r="P164" s="424">
        <f t="shared" si="23"/>
        <v>0</v>
      </c>
      <c r="Q164" s="424">
        <f t="shared" si="23"/>
        <v>0</v>
      </c>
      <c r="R164" s="424">
        <f t="shared" si="23"/>
        <v>0</v>
      </c>
      <c r="S164" s="424">
        <f t="shared" si="23"/>
        <v>101252.02259000001</v>
      </c>
      <c r="T164" s="421">
        <f t="shared" si="23"/>
        <v>0</v>
      </c>
      <c r="U164" s="421">
        <f t="shared" si="23"/>
        <v>0</v>
      </c>
      <c r="V164" s="424">
        <f t="shared" si="23"/>
        <v>0</v>
      </c>
      <c r="W164" s="424">
        <f t="shared" si="23"/>
        <v>0</v>
      </c>
      <c r="X164" s="421">
        <f t="shared" si="23"/>
        <v>0</v>
      </c>
      <c r="Y164" s="424">
        <f t="shared" si="23"/>
        <v>0</v>
      </c>
      <c r="Z164" s="421">
        <f t="shared" si="23"/>
        <v>0</v>
      </c>
      <c r="AA164" s="421">
        <f t="shared" si="23"/>
        <v>0</v>
      </c>
      <c r="AB164" s="424">
        <f t="shared" si="23"/>
        <v>0</v>
      </c>
      <c r="AC164" s="422">
        <f t="shared" si="23"/>
        <v>0</v>
      </c>
      <c r="AD164" s="423">
        <f t="shared" si="22"/>
        <v>101252.02259000001</v>
      </c>
    </row>
    <row r="165" spans="1:30" s="45" customFormat="1" ht="15" x14ac:dyDescent="0.2">
      <c r="A165" s="46"/>
      <c r="B165" s="47"/>
      <c r="C165" s="53"/>
      <c r="D165" s="53"/>
      <c r="E165" s="428"/>
      <c r="F165" s="429"/>
      <c r="G165" s="429"/>
      <c r="H165" s="429"/>
      <c r="I165" s="429"/>
      <c r="J165" s="429"/>
      <c r="K165" s="429"/>
      <c r="L165" s="429"/>
      <c r="M165" s="429"/>
      <c r="N165" s="429"/>
      <c r="O165" s="429"/>
      <c r="P165" s="429"/>
      <c r="Q165" s="429"/>
      <c r="R165" s="429"/>
      <c r="S165" s="429"/>
      <c r="T165" s="428"/>
      <c r="U165" s="428"/>
      <c r="V165" s="429"/>
      <c r="W165" s="429"/>
      <c r="X165" s="428"/>
      <c r="Y165" s="429"/>
      <c r="Z165" s="428"/>
      <c r="AA165" s="428"/>
      <c r="AB165" s="428"/>
      <c r="AC165" s="428"/>
      <c r="AD165" s="430"/>
    </row>
    <row r="166" spans="1:30" s="45" customFormat="1" ht="15" x14ac:dyDescent="0.2">
      <c r="A166" s="516" t="s">
        <v>170</v>
      </c>
      <c r="B166" s="517"/>
      <c r="C166" s="101"/>
      <c r="D166" s="101"/>
      <c r="E166" s="431"/>
      <c r="F166" s="431"/>
      <c r="G166" s="431"/>
      <c r="H166" s="431"/>
      <c r="I166" s="431"/>
      <c r="J166" s="431"/>
      <c r="K166" s="431"/>
      <c r="L166" s="431"/>
      <c r="M166" s="431"/>
      <c r="N166" s="431"/>
      <c r="O166" s="431"/>
      <c r="P166" s="431"/>
      <c r="Q166" s="431"/>
      <c r="R166" s="431"/>
      <c r="S166" s="431"/>
      <c r="T166" s="431"/>
      <c r="U166" s="431"/>
      <c r="V166" s="431"/>
      <c r="W166" s="431"/>
      <c r="X166" s="429"/>
      <c r="Y166" s="431"/>
      <c r="Z166" s="431"/>
      <c r="AA166" s="431"/>
      <c r="AB166" s="431"/>
      <c r="AC166" s="431"/>
      <c r="AD166" s="430"/>
    </row>
    <row r="167" spans="1:30" s="45" customFormat="1" x14ac:dyDescent="0.2">
      <c r="A167" s="399" t="s">
        <v>511</v>
      </c>
      <c r="B167" s="134" t="s">
        <v>556</v>
      </c>
      <c r="C167" s="407"/>
      <c r="D167" s="52"/>
      <c r="E167" s="421"/>
      <c r="F167" s="421"/>
      <c r="G167" s="421"/>
      <c r="H167" s="421"/>
      <c r="I167" s="421"/>
      <c r="J167" s="421"/>
      <c r="K167" s="421"/>
      <c r="L167" s="421"/>
      <c r="M167" s="421"/>
      <c r="N167" s="421"/>
      <c r="O167" s="421"/>
      <c r="P167" s="421"/>
      <c r="Q167" s="421"/>
      <c r="R167" s="421"/>
      <c r="S167" s="421"/>
      <c r="T167" s="421"/>
      <c r="U167" s="421"/>
      <c r="V167" s="421"/>
      <c r="W167" s="421"/>
      <c r="X167" s="424"/>
      <c r="Y167" s="421"/>
      <c r="Z167" s="421"/>
      <c r="AA167" s="421"/>
      <c r="AB167" s="421"/>
      <c r="AC167" s="421"/>
      <c r="AD167" s="423">
        <f t="shared" ref="AD167:AD175" si="24">SUM(C167:AC167)</f>
        <v>0</v>
      </c>
    </row>
    <row r="168" spans="1:30" s="45" customFormat="1" x14ac:dyDescent="0.2">
      <c r="A168" s="399" t="s">
        <v>557</v>
      </c>
      <c r="B168" s="134" t="s">
        <v>558</v>
      </c>
      <c r="C168" s="407"/>
      <c r="D168" s="52"/>
      <c r="E168" s="421"/>
      <c r="F168" s="421"/>
      <c r="G168" s="421"/>
      <c r="H168" s="421"/>
      <c r="I168" s="421"/>
      <c r="J168" s="421"/>
      <c r="K168" s="421"/>
      <c r="L168" s="421"/>
      <c r="M168" s="421"/>
      <c r="N168" s="421"/>
      <c r="O168" s="421"/>
      <c r="P168" s="421"/>
      <c r="Q168" s="421"/>
      <c r="R168" s="421"/>
      <c r="S168" s="421"/>
      <c r="T168" s="421"/>
      <c r="U168" s="421"/>
      <c r="V168" s="421"/>
      <c r="W168" s="421"/>
      <c r="X168" s="420"/>
      <c r="Y168" s="421"/>
      <c r="Z168" s="421"/>
      <c r="AA168" s="421"/>
      <c r="AB168" s="421"/>
      <c r="AC168" s="421"/>
      <c r="AD168" s="423">
        <f t="shared" si="24"/>
        <v>0</v>
      </c>
    </row>
    <row r="169" spans="1:30" s="45" customFormat="1" x14ac:dyDescent="0.2">
      <c r="A169" s="110" t="s">
        <v>171</v>
      </c>
      <c r="B169" s="133" t="s">
        <v>513</v>
      </c>
      <c r="C169" s="407"/>
      <c r="D169" s="52"/>
      <c r="E169" s="421"/>
      <c r="F169" s="421"/>
      <c r="G169" s="421"/>
      <c r="H169" s="421"/>
      <c r="I169" s="421"/>
      <c r="J169" s="421"/>
      <c r="K169" s="421"/>
      <c r="L169" s="421"/>
      <c r="M169" s="421"/>
      <c r="N169" s="421"/>
      <c r="O169" s="421"/>
      <c r="P169" s="421"/>
      <c r="Q169" s="421"/>
      <c r="R169" s="421"/>
      <c r="S169" s="421"/>
      <c r="T169" s="421"/>
      <c r="U169" s="421"/>
      <c r="V169" s="421"/>
      <c r="W169" s="421"/>
      <c r="X169" s="424"/>
      <c r="Y169" s="421"/>
      <c r="Z169" s="421"/>
      <c r="AA169" s="421"/>
      <c r="AB169" s="421"/>
      <c r="AC169" s="421"/>
      <c r="AD169" s="423">
        <f t="shared" si="24"/>
        <v>0</v>
      </c>
    </row>
    <row r="170" spans="1:30" s="45" customFormat="1" x14ac:dyDescent="0.2">
      <c r="A170" s="110" t="s">
        <v>172</v>
      </c>
      <c r="B170" s="133" t="s">
        <v>173</v>
      </c>
      <c r="C170" s="407"/>
      <c r="D170" s="52"/>
      <c r="E170" s="421"/>
      <c r="F170" s="421"/>
      <c r="G170" s="421"/>
      <c r="H170" s="421"/>
      <c r="I170" s="421"/>
      <c r="J170" s="421"/>
      <c r="K170" s="421"/>
      <c r="L170" s="421"/>
      <c r="M170" s="421"/>
      <c r="N170" s="421"/>
      <c r="O170" s="421"/>
      <c r="P170" s="421"/>
      <c r="Q170" s="421"/>
      <c r="R170" s="421"/>
      <c r="S170" s="421"/>
      <c r="T170" s="421"/>
      <c r="U170" s="421"/>
      <c r="V170" s="421"/>
      <c r="W170" s="424"/>
      <c r="X170" s="424">
        <f>156124431.86/1000</f>
        <v>156124.43186000001</v>
      </c>
      <c r="Y170" s="421"/>
      <c r="Z170" s="421"/>
      <c r="AA170" s="424">
        <f>103994229.24/1000</f>
        <v>103994.22924</v>
      </c>
      <c r="AB170" s="421"/>
      <c r="AC170" s="421"/>
      <c r="AD170" s="423">
        <f t="shared" si="24"/>
        <v>260118.66110000003</v>
      </c>
    </row>
    <row r="171" spans="1:30" s="45" customFormat="1" x14ac:dyDescent="0.2">
      <c r="A171" s="400" t="s">
        <v>559</v>
      </c>
      <c r="B171" s="401" t="s">
        <v>560</v>
      </c>
      <c r="C171" s="407"/>
      <c r="D171" s="52"/>
      <c r="E171" s="421"/>
      <c r="F171" s="421"/>
      <c r="G171" s="421"/>
      <c r="H171" s="421"/>
      <c r="I171" s="421"/>
      <c r="J171" s="421"/>
      <c r="K171" s="421"/>
      <c r="L171" s="421"/>
      <c r="M171" s="421"/>
      <c r="N171" s="421"/>
      <c r="O171" s="421"/>
      <c r="P171" s="421"/>
      <c r="Q171" s="421"/>
      <c r="R171" s="421"/>
      <c r="S171" s="421"/>
      <c r="T171" s="421"/>
      <c r="U171" s="421"/>
      <c r="V171" s="421"/>
      <c r="W171" s="421"/>
      <c r="X171" s="421"/>
      <c r="Y171" s="421"/>
      <c r="Z171" s="421"/>
      <c r="AA171" s="425">
        <f>689683.3/1000</f>
        <v>689.68330000000003</v>
      </c>
      <c r="AB171" s="421"/>
      <c r="AC171" s="421"/>
      <c r="AD171" s="423">
        <f t="shared" si="24"/>
        <v>689.68330000000003</v>
      </c>
    </row>
    <row r="172" spans="1:30" s="45" customFormat="1" x14ac:dyDescent="0.2">
      <c r="A172" s="400" t="s">
        <v>561</v>
      </c>
      <c r="B172" s="401" t="s">
        <v>562</v>
      </c>
      <c r="C172" s="407"/>
      <c r="D172" s="52"/>
      <c r="E172" s="421"/>
      <c r="F172" s="421"/>
      <c r="G172" s="421"/>
      <c r="H172" s="421"/>
      <c r="I172" s="421"/>
      <c r="J172" s="421"/>
      <c r="K172" s="421"/>
      <c r="L172" s="421"/>
      <c r="M172" s="421"/>
      <c r="N172" s="421"/>
      <c r="O172" s="421"/>
      <c r="P172" s="421"/>
      <c r="Q172" s="421"/>
      <c r="R172" s="421"/>
      <c r="S172" s="421"/>
      <c r="T172" s="421"/>
      <c r="U172" s="421"/>
      <c r="V172" s="421"/>
      <c r="W172" s="421"/>
      <c r="X172" s="421"/>
      <c r="Y172" s="421"/>
      <c r="Z172" s="421"/>
      <c r="AA172" s="425">
        <f>-16694767.84/1000</f>
        <v>-16694.76784</v>
      </c>
      <c r="AB172" s="421"/>
      <c r="AC172" s="421"/>
      <c r="AD172" s="423">
        <f t="shared" si="24"/>
        <v>-16694.76784</v>
      </c>
    </row>
    <row r="173" spans="1:30" s="45" customFormat="1" x14ac:dyDescent="0.2">
      <c r="A173" s="400" t="s">
        <v>563</v>
      </c>
      <c r="B173" s="401" t="s">
        <v>564</v>
      </c>
      <c r="C173" s="407"/>
      <c r="D173" s="52"/>
      <c r="E173" s="421"/>
      <c r="F173" s="421"/>
      <c r="G173" s="421"/>
      <c r="H173" s="421"/>
      <c r="I173" s="421"/>
      <c r="J173" s="421"/>
      <c r="K173" s="421"/>
      <c r="L173" s="421"/>
      <c r="M173" s="421"/>
      <c r="N173" s="421"/>
      <c r="O173" s="421"/>
      <c r="P173" s="421"/>
      <c r="Q173" s="421"/>
      <c r="R173" s="421"/>
      <c r="S173" s="421"/>
      <c r="T173" s="421"/>
      <c r="U173" s="421"/>
      <c r="V173" s="421"/>
      <c r="W173" s="421"/>
      <c r="X173" s="421"/>
      <c r="Y173" s="421"/>
      <c r="Z173" s="421"/>
      <c r="AA173" s="425">
        <f>75636066.95/1000</f>
        <v>75636.066950000008</v>
      </c>
      <c r="AB173" s="421"/>
      <c r="AC173" s="421"/>
      <c r="AD173" s="423">
        <f t="shared" si="24"/>
        <v>75636.066950000008</v>
      </c>
    </row>
    <row r="174" spans="1:30" s="45" customFormat="1" x14ac:dyDescent="0.2">
      <c r="A174" s="400" t="s">
        <v>565</v>
      </c>
      <c r="B174" s="401" t="s">
        <v>566</v>
      </c>
      <c r="C174" s="407"/>
      <c r="D174" s="52"/>
      <c r="E174" s="421"/>
      <c r="F174" s="421"/>
      <c r="G174" s="421"/>
      <c r="H174" s="421"/>
      <c r="I174" s="421"/>
      <c r="J174" s="421"/>
      <c r="K174" s="421"/>
      <c r="L174" s="421"/>
      <c r="M174" s="421"/>
      <c r="N174" s="421"/>
      <c r="O174" s="421"/>
      <c r="P174" s="421"/>
      <c r="Q174" s="421"/>
      <c r="R174" s="421"/>
      <c r="S174" s="421"/>
      <c r="T174" s="421"/>
      <c r="U174" s="421"/>
      <c r="V174" s="421"/>
      <c r="W174" s="421"/>
      <c r="X174" s="421"/>
      <c r="Y174" s="421"/>
      <c r="Z174" s="421"/>
      <c r="AA174" s="425">
        <f>-101829.39/1000</f>
        <v>-101.82939</v>
      </c>
      <c r="AB174" s="421"/>
      <c r="AC174" s="421"/>
      <c r="AD174" s="423">
        <f t="shared" si="24"/>
        <v>-101.82939</v>
      </c>
    </row>
    <row r="175" spans="1:30" s="45" customFormat="1" ht="15.75" x14ac:dyDescent="0.2">
      <c r="A175" s="467" t="s">
        <v>175</v>
      </c>
      <c r="B175" s="468"/>
      <c r="C175" s="407">
        <f>SUM(C167:C174)</f>
        <v>0</v>
      </c>
      <c r="D175" s="52">
        <f>SUM(D167:D174)</f>
        <v>0</v>
      </c>
      <c r="E175" s="421">
        <f t="shared" ref="E175:AC175" si="25">SUM(E167:E174)</f>
        <v>0</v>
      </c>
      <c r="F175" s="421">
        <f t="shared" si="25"/>
        <v>0</v>
      </c>
      <c r="G175" s="421">
        <f t="shared" si="25"/>
        <v>0</v>
      </c>
      <c r="H175" s="421">
        <f t="shared" si="25"/>
        <v>0</v>
      </c>
      <c r="I175" s="421">
        <f t="shared" si="25"/>
        <v>0</v>
      </c>
      <c r="J175" s="421">
        <f t="shared" si="25"/>
        <v>0</v>
      </c>
      <c r="K175" s="421">
        <f t="shared" si="25"/>
        <v>0</v>
      </c>
      <c r="L175" s="421">
        <f t="shared" si="25"/>
        <v>0</v>
      </c>
      <c r="M175" s="421">
        <f t="shared" si="25"/>
        <v>0</v>
      </c>
      <c r="N175" s="421">
        <f t="shared" si="25"/>
        <v>0</v>
      </c>
      <c r="O175" s="421">
        <f t="shared" si="25"/>
        <v>0</v>
      </c>
      <c r="P175" s="421">
        <f t="shared" si="25"/>
        <v>0</v>
      </c>
      <c r="Q175" s="421">
        <f t="shared" si="25"/>
        <v>0</v>
      </c>
      <c r="R175" s="421">
        <f t="shared" si="25"/>
        <v>0</v>
      </c>
      <c r="S175" s="421">
        <f t="shared" si="25"/>
        <v>0</v>
      </c>
      <c r="T175" s="421">
        <f t="shared" si="25"/>
        <v>0</v>
      </c>
      <c r="U175" s="421">
        <f t="shared" si="25"/>
        <v>0</v>
      </c>
      <c r="V175" s="421">
        <f t="shared" si="25"/>
        <v>0</v>
      </c>
      <c r="W175" s="424">
        <f t="shared" si="25"/>
        <v>0</v>
      </c>
      <c r="X175" s="424">
        <f t="shared" si="25"/>
        <v>156124.43186000001</v>
      </c>
      <c r="Y175" s="421">
        <f t="shared" si="25"/>
        <v>0</v>
      </c>
      <c r="Z175" s="421">
        <f t="shared" si="25"/>
        <v>0</v>
      </c>
      <c r="AA175" s="424">
        <f t="shared" si="25"/>
        <v>163523.38226000001</v>
      </c>
      <c r="AB175" s="421">
        <f t="shared" si="25"/>
        <v>0</v>
      </c>
      <c r="AC175" s="446">
        <f t="shared" si="25"/>
        <v>0</v>
      </c>
      <c r="AD175" s="423">
        <f t="shared" si="24"/>
        <v>319647.81412</v>
      </c>
    </row>
    <row r="176" spans="1:30" s="45" customFormat="1" ht="15" thickBot="1" x14ac:dyDescent="0.25">
      <c r="A176" s="49"/>
      <c r="B176" s="50"/>
      <c r="C176" s="52"/>
      <c r="D176" s="52"/>
      <c r="E176" s="421"/>
      <c r="F176" s="421"/>
      <c r="G176" s="421"/>
      <c r="H176" s="421"/>
      <c r="I176" s="421"/>
      <c r="J176" s="421"/>
      <c r="K176" s="421"/>
      <c r="L176" s="421"/>
      <c r="M176" s="421"/>
      <c r="N176" s="421"/>
      <c r="O176" s="421"/>
      <c r="P176" s="421"/>
      <c r="Q176" s="421"/>
      <c r="R176" s="421"/>
      <c r="S176" s="421"/>
      <c r="T176" s="421"/>
      <c r="U176" s="421"/>
      <c r="V176" s="421"/>
      <c r="W176" s="431"/>
      <c r="X176" s="431"/>
      <c r="Y176" s="421"/>
      <c r="Z176" s="421"/>
      <c r="AA176" s="431"/>
      <c r="AB176" s="421"/>
      <c r="AC176" s="421"/>
      <c r="AD176" s="434"/>
    </row>
    <row r="177" spans="1:30" s="45" customFormat="1" ht="15.75" thickBot="1" x14ac:dyDescent="0.25">
      <c r="A177" s="111" t="s">
        <v>176</v>
      </c>
      <c r="B177" s="139"/>
      <c r="C177" s="408">
        <f>SUM(C126,C148,C164,C175)</f>
        <v>0</v>
      </c>
      <c r="D177" s="124">
        <f t="shared" ref="D177:AC177" si="26">SUM(D126,D148,D164,D175)</f>
        <v>0</v>
      </c>
      <c r="E177" s="438">
        <f t="shared" si="26"/>
        <v>0</v>
      </c>
      <c r="F177" s="435">
        <f t="shared" si="26"/>
        <v>0</v>
      </c>
      <c r="G177" s="435">
        <f t="shared" si="26"/>
        <v>3257.6285400000002</v>
      </c>
      <c r="H177" s="435">
        <f t="shared" si="26"/>
        <v>131.19999999999999</v>
      </c>
      <c r="I177" s="435">
        <f t="shared" si="26"/>
        <v>0</v>
      </c>
      <c r="J177" s="435">
        <f t="shared" si="26"/>
        <v>5.85</v>
      </c>
      <c r="K177" s="435">
        <f t="shared" si="26"/>
        <v>32.844999999999999</v>
      </c>
      <c r="L177" s="435">
        <f t="shared" si="26"/>
        <v>422.52075000000002</v>
      </c>
      <c r="M177" s="435">
        <f t="shared" si="26"/>
        <v>0</v>
      </c>
      <c r="N177" s="435">
        <f t="shared" si="26"/>
        <v>2873.8778399999997</v>
      </c>
      <c r="O177" s="435">
        <f t="shared" si="26"/>
        <v>53.756</v>
      </c>
      <c r="P177" s="435">
        <f t="shared" si="26"/>
        <v>37932.918810000003</v>
      </c>
      <c r="Q177" s="435">
        <f t="shared" si="26"/>
        <v>368.48642000000001</v>
      </c>
      <c r="R177" s="435">
        <f t="shared" si="26"/>
        <v>0</v>
      </c>
      <c r="S177" s="435">
        <f t="shared" si="26"/>
        <v>147567.93459000002</v>
      </c>
      <c r="T177" s="435">
        <f t="shared" si="26"/>
        <v>228502.38923999999</v>
      </c>
      <c r="U177" s="435">
        <f t="shared" si="26"/>
        <v>0</v>
      </c>
      <c r="V177" s="435">
        <f t="shared" si="26"/>
        <v>0</v>
      </c>
      <c r="W177" s="435">
        <f t="shared" si="26"/>
        <v>0</v>
      </c>
      <c r="X177" s="435">
        <f t="shared" si="26"/>
        <v>106167.28419000001</v>
      </c>
      <c r="Y177" s="435">
        <f t="shared" si="26"/>
        <v>50591.21643</v>
      </c>
      <c r="Z177" s="435">
        <f t="shared" si="26"/>
        <v>0</v>
      </c>
      <c r="AA177" s="435">
        <f t="shared" si="26"/>
        <v>217193.52057000002</v>
      </c>
      <c r="AB177" s="447">
        <f t="shared" si="26"/>
        <v>0</v>
      </c>
      <c r="AC177" s="440">
        <f t="shared" si="26"/>
        <v>0</v>
      </c>
      <c r="AD177" s="441">
        <f>SUM(C177:AC177)</f>
        <v>795101.42838000006</v>
      </c>
    </row>
    <row r="178" spans="1:30" s="45" customFormat="1" ht="15" thickBot="1" x14ac:dyDescent="0.25">
      <c r="A178" s="105"/>
      <c r="B178" s="137"/>
      <c r="C178" s="53"/>
      <c r="D178" s="53"/>
      <c r="E178" s="428"/>
      <c r="F178" s="428"/>
      <c r="G178" s="428"/>
      <c r="H178" s="428"/>
      <c r="I178" s="428"/>
      <c r="J178" s="428"/>
      <c r="K178" s="428"/>
      <c r="L178" s="428"/>
      <c r="M178" s="428"/>
      <c r="N178" s="428"/>
      <c r="O178" s="428"/>
      <c r="P178" s="428"/>
      <c r="Q178" s="428"/>
      <c r="R178" s="428"/>
      <c r="S178" s="428"/>
      <c r="T178" s="428"/>
      <c r="U178" s="428"/>
      <c r="V178" s="428"/>
      <c r="W178" s="428"/>
      <c r="X178" s="428"/>
      <c r="Y178" s="428"/>
      <c r="Z178" s="428"/>
      <c r="AA178" s="428"/>
      <c r="AB178" s="428"/>
      <c r="AC178" s="428"/>
      <c r="AD178" s="442"/>
    </row>
    <row r="179" spans="1:30" s="115" customFormat="1" ht="15.75" thickBot="1" x14ac:dyDescent="0.25">
      <c r="A179" s="112" t="s">
        <v>187</v>
      </c>
      <c r="B179" s="140"/>
      <c r="C179" s="408">
        <f>+SUM(C94,C100,C177)</f>
        <v>0</v>
      </c>
      <c r="D179" s="123">
        <f t="shared" ref="D179:AC179" si="27">+SUM(D94,D100,D177)</f>
        <v>0</v>
      </c>
      <c r="E179" s="435">
        <f t="shared" si="27"/>
        <v>53611.233489999999</v>
      </c>
      <c r="F179" s="435">
        <f t="shared" si="27"/>
        <v>1096.1253299999998</v>
      </c>
      <c r="G179" s="435">
        <f t="shared" si="27"/>
        <v>3948.2662700000001</v>
      </c>
      <c r="H179" s="435">
        <f t="shared" si="27"/>
        <v>140.51604999999998</v>
      </c>
      <c r="I179" s="435">
        <f t="shared" si="27"/>
        <v>131.19907999999998</v>
      </c>
      <c r="J179" s="435">
        <f t="shared" si="27"/>
        <v>309.24764700000003</v>
      </c>
      <c r="K179" s="435">
        <f t="shared" si="27"/>
        <v>127.37539</v>
      </c>
      <c r="L179" s="435">
        <f t="shared" si="27"/>
        <v>13377.131829999998</v>
      </c>
      <c r="M179" s="435">
        <f t="shared" si="27"/>
        <v>27650.194310000003</v>
      </c>
      <c r="N179" s="435">
        <f t="shared" si="27"/>
        <v>185380.60107</v>
      </c>
      <c r="O179" s="435">
        <f t="shared" si="27"/>
        <v>69514.730179999999</v>
      </c>
      <c r="P179" s="435">
        <f t="shared" si="27"/>
        <v>49306.41588</v>
      </c>
      <c r="Q179" s="435">
        <f t="shared" si="27"/>
        <v>408.29082</v>
      </c>
      <c r="R179" s="435">
        <f t="shared" si="27"/>
        <v>13917.988079999999</v>
      </c>
      <c r="S179" s="435">
        <f t="shared" si="27"/>
        <v>391868.57092000003</v>
      </c>
      <c r="T179" s="435">
        <f t="shared" si="27"/>
        <v>228502.38923999999</v>
      </c>
      <c r="U179" s="435">
        <f t="shared" si="27"/>
        <v>0</v>
      </c>
      <c r="V179" s="435">
        <f t="shared" si="27"/>
        <v>0</v>
      </c>
      <c r="W179" s="435">
        <f t="shared" si="27"/>
        <v>0</v>
      </c>
      <c r="X179" s="435">
        <f t="shared" si="27"/>
        <v>106167.28419000001</v>
      </c>
      <c r="Y179" s="435">
        <f t="shared" si="27"/>
        <v>50591.21643</v>
      </c>
      <c r="Z179" s="435">
        <f t="shared" si="27"/>
        <v>0</v>
      </c>
      <c r="AA179" s="435">
        <f t="shared" si="27"/>
        <v>217193.52057000002</v>
      </c>
      <c r="AB179" s="435">
        <f t="shared" si="27"/>
        <v>2397.0823300000002</v>
      </c>
      <c r="AC179" s="440">
        <f t="shared" si="27"/>
        <v>98310.423459999991</v>
      </c>
      <c r="AD179" s="441">
        <f>SUM(C179:AC179)</f>
        <v>1513949.8025669998</v>
      </c>
    </row>
    <row r="180" spans="1:30" x14ac:dyDescent="0.2">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c r="AA180" s="165"/>
      <c r="AB180" s="165"/>
      <c r="AC180" s="166"/>
      <c r="AD180" s="166"/>
    </row>
    <row r="181" spans="1:30" x14ac:dyDescent="0.2">
      <c r="A181" s="45" t="s">
        <v>209</v>
      </c>
      <c r="C181" s="165"/>
      <c r="D181" s="165"/>
      <c r="E181" s="165"/>
      <c r="F181" s="165"/>
      <c r="G181" s="167"/>
      <c r="H181" s="165"/>
      <c r="I181" s="165"/>
      <c r="J181" s="165"/>
      <c r="K181" s="165"/>
      <c r="L181" s="165"/>
      <c r="M181" s="165"/>
      <c r="N181" s="165"/>
      <c r="O181" s="165"/>
      <c r="P181" s="165"/>
      <c r="Q181" s="165"/>
      <c r="R181" s="165"/>
      <c r="S181" s="165"/>
      <c r="T181" s="165"/>
      <c r="U181" s="165"/>
      <c r="V181" s="165"/>
      <c r="W181" s="165"/>
      <c r="X181" s="165"/>
      <c r="Y181" s="165"/>
      <c r="Z181" s="165"/>
      <c r="AA181" s="165"/>
      <c r="AB181" s="165"/>
      <c r="AC181" s="166"/>
      <c r="AD181" s="463"/>
    </row>
    <row r="182" spans="1:30" x14ac:dyDescent="0.2">
      <c r="A182" s="45" t="s">
        <v>210</v>
      </c>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c r="AA182" s="165"/>
      <c r="AB182" s="165"/>
      <c r="AC182" s="166"/>
      <c r="AD182" s="463"/>
    </row>
    <row r="183" spans="1:30" x14ac:dyDescent="0.2">
      <c r="A183" s="45"/>
      <c r="C183" s="165"/>
      <c r="D183" s="165"/>
      <c r="E183" s="165"/>
      <c r="F183" s="165"/>
      <c r="G183" s="165"/>
      <c r="H183" s="165"/>
      <c r="I183" s="165"/>
      <c r="J183" s="165"/>
      <c r="K183" s="165"/>
      <c r="L183" s="165"/>
      <c r="M183" s="165"/>
      <c r="N183" s="165"/>
      <c r="O183" s="165"/>
      <c r="P183" s="165"/>
      <c r="Q183" s="165"/>
      <c r="R183" s="165"/>
      <c r="S183" s="469"/>
      <c r="T183" s="165"/>
      <c r="U183" s="165"/>
      <c r="V183" s="165"/>
      <c r="W183" s="165"/>
      <c r="X183" s="165"/>
      <c r="Y183" s="165"/>
      <c r="Z183" s="165"/>
      <c r="AA183" s="165"/>
      <c r="AB183" s="165"/>
      <c r="AC183" s="166"/>
      <c r="AD183" s="166"/>
    </row>
    <row r="184" spans="1:30" x14ac:dyDescent="0.2">
      <c r="A184" s="45" t="s">
        <v>357</v>
      </c>
      <c r="C184" s="165"/>
      <c r="D184" s="165"/>
      <c r="E184" s="165"/>
      <c r="F184" s="165"/>
      <c r="G184" s="165"/>
      <c r="H184" s="165"/>
      <c r="I184" s="165"/>
      <c r="J184" s="165"/>
      <c r="K184" s="165"/>
      <c r="L184" s="165"/>
      <c r="M184" s="165"/>
      <c r="N184" s="165"/>
      <c r="O184" s="165"/>
      <c r="P184" s="165"/>
      <c r="Q184" s="165"/>
      <c r="R184" s="165"/>
      <c r="S184" s="469"/>
      <c r="T184" s="165"/>
      <c r="U184" s="165"/>
      <c r="V184" s="165"/>
      <c r="W184" s="165"/>
      <c r="X184" s="165"/>
      <c r="Y184" s="165"/>
      <c r="Z184" s="165"/>
      <c r="AA184" s="165"/>
      <c r="AB184" s="165"/>
      <c r="AC184" s="166"/>
      <c r="AD184" s="166"/>
    </row>
    <row r="185" spans="1:30" x14ac:dyDescent="0.2">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c r="AA185" s="165"/>
      <c r="AB185" s="165"/>
      <c r="AC185" s="166"/>
      <c r="AD185" s="166"/>
    </row>
    <row r="186" spans="1:30" ht="20.25" x14ac:dyDescent="0.2">
      <c r="A186" s="177"/>
    </row>
  </sheetData>
  <sheetProtection formatCells="0" formatColumns="0" formatRows="0"/>
  <mergeCells count="17">
    <mergeCell ref="A53:B53"/>
    <mergeCell ref="A47:B47"/>
    <mergeCell ref="A166:B166"/>
    <mergeCell ref="A128:B128"/>
    <mergeCell ref="A150:B150"/>
    <mergeCell ref="A14:B14"/>
    <mergeCell ref="A96:B96"/>
    <mergeCell ref="A102:B102"/>
    <mergeCell ref="A126:B126"/>
    <mergeCell ref="A104:B104"/>
    <mergeCell ref="A92:B92"/>
    <mergeCell ref="A79:B79"/>
    <mergeCell ref="A37:B37"/>
    <mergeCell ref="A28:B28"/>
    <mergeCell ref="A20:B20"/>
    <mergeCell ref="A72:B72"/>
    <mergeCell ref="A60:B60"/>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89"/>
  <sheetViews>
    <sheetView showGridLines="0" showZeros="0" zoomScaleNormal="100" zoomScaleSheetLayoutView="100" workbookViewId="0">
      <pane xSplit="5" ySplit="3" topLeftCell="F43" activePane="bottomRight" state="frozen"/>
      <selection pane="topRight" activeCell="F1" sqref="F1"/>
      <selection pane="bottomLeft" activeCell="A4" sqref="A4"/>
      <selection pane="bottomRight" activeCell="L89" sqref="L89"/>
    </sheetView>
  </sheetViews>
  <sheetFormatPr defaultRowHeight="11.25" x14ac:dyDescent="0.2"/>
  <cols>
    <col min="1" max="1" width="1.42578125" style="5" customWidth="1"/>
    <col min="2" max="2" width="69.7109375" style="5" bestFit="1" customWidth="1"/>
    <col min="3" max="3" width="1.42578125" style="5" customWidth="1"/>
    <col min="4" max="4" width="5.5703125" style="86"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56" customFormat="1" ht="18" customHeight="1" x14ac:dyDescent="0.2">
      <c r="A1" s="55"/>
      <c r="B1" s="522" t="str">
        <f>"Balansstandenoverzicht provincie "&amp;+'[1]4.Informatie'!C5&amp;" ("&amp;'[1]4.Informatie'!C6&amp;"): "&amp;"jaar "&amp;'[1]4.Informatie'!C7 &amp;" periode "&amp;'[1]4.Informatie'!C8</f>
        <v>Balansstandenoverzicht provincie Groningen (0001): jaar 2015 periode 3</v>
      </c>
      <c r="C1" s="522"/>
      <c r="D1" s="522"/>
      <c r="E1" s="522"/>
      <c r="F1" s="522"/>
      <c r="G1" s="522"/>
      <c r="H1" s="522"/>
      <c r="I1" s="522"/>
    </row>
    <row r="2" spans="1:12" s="59" customFormat="1" ht="18" customHeight="1" x14ac:dyDescent="0.2">
      <c r="A2" s="57"/>
      <c r="B2" s="311" t="s">
        <v>190</v>
      </c>
      <c r="C2" s="57"/>
      <c r="D2" s="58"/>
      <c r="E2" s="58"/>
      <c r="F2" s="58"/>
    </row>
    <row r="3" spans="1:12" ht="12.75" customHeight="1" x14ac:dyDescent="0.2">
      <c r="A3" s="60"/>
      <c r="B3" s="60"/>
      <c r="C3" s="61"/>
      <c r="D3" s="62" t="s">
        <v>188</v>
      </c>
      <c r="E3" s="63"/>
      <c r="F3" s="64">
        <v>42005</v>
      </c>
      <c r="G3" s="27"/>
      <c r="H3" s="64" t="s">
        <v>429</v>
      </c>
      <c r="I3" s="65"/>
    </row>
    <row r="4" spans="1:12" ht="12" customHeight="1" x14ac:dyDescent="0.2">
      <c r="A4" s="32"/>
      <c r="B4" s="34" t="s">
        <v>189</v>
      </c>
      <c r="C4" s="32"/>
      <c r="D4" s="32"/>
      <c r="E4" s="66"/>
      <c r="F4" s="31"/>
      <c r="G4" s="67"/>
      <c r="H4" s="31"/>
      <c r="I4" s="67"/>
    </row>
    <row r="5" spans="1:12" ht="19.5" customHeight="1" x14ac:dyDescent="0.2">
      <c r="A5" s="60"/>
      <c r="B5" s="68" t="s">
        <v>191</v>
      </c>
      <c r="C5" s="69"/>
      <c r="D5" s="70"/>
      <c r="E5" s="71"/>
      <c r="F5" s="72"/>
      <c r="G5" s="73"/>
      <c r="H5" s="72"/>
      <c r="I5" s="73"/>
    </row>
    <row r="6" spans="1:12" ht="19.5" hidden="1" customHeight="1" x14ac:dyDescent="0.2">
      <c r="A6" s="60"/>
      <c r="B6" s="142" t="s">
        <v>365</v>
      </c>
      <c r="C6" s="143"/>
      <c r="D6" s="70"/>
      <c r="E6" s="144"/>
      <c r="F6" s="72"/>
      <c r="G6" s="73"/>
      <c r="H6" s="72"/>
      <c r="I6" s="73"/>
    </row>
    <row r="7" spans="1:12" ht="12.75" hidden="1" x14ac:dyDescent="0.2">
      <c r="A7" s="60"/>
      <c r="B7" s="122" t="s">
        <v>366</v>
      </c>
      <c r="C7" s="75"/>
      <c r="D7" s="402" t="s">
        <v>95</v>
      </c>
      <c r="E7" s="119"/>
      <c r="F7" s="77"/>
      <c r="G7" s="73"/>
      <c r="H7" s="77"/>
      <c r="I7" s="73"/>
      <c r="J7" s="299" t="s">
        <v>473</v>
      </c>
      <c r="L7" s="145"/>
    </row>
    <row r="8" spans="1:12" ht="12.75" hidden="1" x14ac:dyDescent="0.2">
      <c r="A8" s="60"/>
      <c r="B8" s="122" t="s">
        <v>367</v>
      </c>
      <c r="C8" s="75"/>
      <c r="D8" s="402" t="s">
        <v>97</v>
      </c>
      <c r="E8" s="119"/>
      <c r="F8" s="77"/>
      <c r="G8" s="73"/>
      <c r="H8" s="77"/>
      <c r="I8" s="73"/>
      <c r="J8" s="299" t="s">
        <v>473</v>
      </c>
    </row>
    <row r="9" spans="1:12" ht="19.5" hidden="1" customHeight="1" x14ac:dyDescent="0.2">
      <c r="A9" s="60"/>
      <c r="B9" s="74" t="s">
        <v>368</v>
      </c>
      <c r="C9" s="75"/>
      <c r="D9" s="402"/>
      <c r="E9" s="119"/>
      <c r="F9" s="120"/>
      <c r="G9" s="73"/>
      <c r="H9" s="120"/>
      <c r="I9" s="73"/>
    </row>
    <row r="10" spans="1:12" ht="12.75" hidden="1" x14ac:dyDescent="0.2">
      <c r="A10" s="60"/>
      <c r="B10" s="76" t="s">
        <v>369</v>
      </c>
      <c r="C10" s="75"/>
      <c r="D10" s="402" t="s">
        <v>99</v>
      </c>
      <c r="E10" s="119"/>
      <c r="F10" s="77"/>
      <c r="G10" s="73"/>
      <c r="H10" s="77"/>
      <c r="I10" s="73"/>
      <c r="J10" s="299" t="s">
        <v>473</v>
      </c>
    </row>
    <row r="11" spans="1:12" ht="12.75" hidden="1" x14ac:dyDescent="0.2">
      <c r="A11" s="60"/>
      <c r="B11" s="76" t="s">
        <v>370</v>
      </c>
      <c r="C11" s="75"/>
      <c r="D11" s="402" t="s">
        <v>101</v>
      </c>
      <c r="E11" s="119"/>
      <c r="F11" s="77"/>
      <c r="G11" s="73"/>
      <c r="H11" s="77"/>
      <c r="I11" s="73"/>
      <c r="J11" s="299" t="s">
        <v>473</v>
      </c>
    </row>
    <row r="12" spans="1:12" ht="12.75" hidden="1" x14ac:dyDescent="0.2">
      <c r="A12" s="60"/>
      <c r="B12" s="76" t="s">
        <v>371</v>
      </c>
      <c r="C12" s="75"/>
      <c r="D12" s="402" t="s">
        <v>103</v>
      </c>
      <c r="E12" s="119"/>
      <c r="F12" s="77"/>
      <c r="G12" s="73"/>
      <c r="H12" s="77"/>
      <c r="I12" s="73"/>
      <c r="J12" s="299" t="s">
        <v>473</v>
      </c>
    </row>
    <row r="13" spans="1:12" ht="12.75" hidden="1" x14ac:dyDescent="0.2">
      <c r="A13" s="60"/>
      <c r="B13" s="76" t="s">
        <v>372</v>
      </c>
      <c r="C13" s="75"/>
      <c r="D13" s="402" t="s">
        <v>105</v>
      </c>
      <c r="E13" s="119"/>
      <c r="F13" s="78"/>
      <c r="G13" s="73"/>
      <c r="H13" s="78"/>
      <c r="I13" s="73"/>
      <c r="J13" s="299" t="s">
        <v>473</v>
      </c>
    </row>
    <row r="14" spans="1:12" ht="12.75" hidden="1" x14ac:dyDescent="0.2">
      <c r="A14" s="60"/>
      <c r="B14" s="76" t="s">
        <v>373</v>
      </c>
      <c r="C14" s="75"/>
      <c r="D14" s="402" t="s">
        <v>107</v>
      </c>
      <c r="E14" s="119"/>
      <c r="F14" s="77"/>
      <c r="G14" s="73"/>
      <c r="H14" s="77"/>
      <c r="I14" s="73"/>
      <c r="J14" s="299" t="s">
        <v>473</v>
      </c>
    </row>
    <row r="15" spans="1:12" ht="12.75" hidden="1" x14ac:dyDescent="0.2">
      <c r="A15" s="60"/>
      <c r="B15" s="76" t="s">
        <v>374</v>
      </c>
      <c r="C15" s="75"/>
      <c r="D15" s="402" t="s">
        <v>109</v>
      </c>
      <c r="E15" s="119"/>
      <c r="F15" s="77"/>
      <c r="G15" s="73"/>
      <c r="H15" s="77"/>
      <c r="I15" s="73"/>
      <c r="J15" s="299" t="s">
        <v>473</v>
      </c>
    </row>
    <row r="16" spans="1:12" ht="12.75" hidden="1" x14ac:dyDescent="0.2">
      <c r="A16" s="60"/>
      <c r="B16" s="76" t="s">
        <v>375</v>
      </c>
      <c r="C16" s="75"/>
      <c r="D16" s="402" t="s">
        <v>111</v>
      </c>
      <c r="E16" s="119"/>
      <c r="F16" s="77"/>
      <c r="G16" s="73"/>
      <c r="H16" s="77"/>
      <c r="I16" s="73"/>
      <c r="J16" s="299" t="s">
        <v>473</v>
      </c>
    </row>
    <row r="17" spans="1:13" ht="19.5" customHeight="1" x14ac:dyDescent="0.2">
      <c r="A17" s="60"/>
      <c r="B17" s="74" t="s">
        <v>192</v>
      </c>
      <c r="C17" s="75"/>
      <c r="D17" s="402"/>
      <c r="E17" s="119"/>
      <c r="F17" s="120"/>
      <c r="G17" s="73"/>
      <c r="H17" s="120"/>
      <c r="I17" s="73"/>
    </row>
    <row r="18" spans="1:13" ht="12.75" x14ac:dyDescent="0.2">
      <c r="A18" s="60"/>
      <c r="B18" s="76" t="s">
        <v>193</v>
      </c>
      <c r="C18" s="75"/>
      <c r="D18" s="402" t="s">
        <v>113</v>
      </c>
      <c r="E18" s="119"/>
      <c r="F18" s="77">
        <f>2283630.21/1000</f>
        <v>2283.6302099999998</v>
      </c>
      <c r="G18" s="73"/>
      <c r="H18" s="77">
        <f>7918630.21/1000</f>
        <v>7918.6302100000003</v>
      </c>
      <c r="I18" s="73"/>
    </row>
    <row r="19" spans="1:13" ht="12.75" x14ac:dyDescent="0.2">
      <c r="A19" s="60"/>
      <c r="B19" s="76" t="s">
        <v>194</v>
      </c>
      <c r="C19" s="75"/>
      <c r="D19" s="402" t="s">
        <v>115</v>
      </c>
      <c r="E19" s="119"/>
      <c r="F19" s="77"/>
      <c r="G19" s="73"/>
      <c r="H19" s="77"/>
      <c r="I19" s="73"/>
    </row>
    <row r="20" spans="1:13" ht="12.75" x14ac:dyDescent="0.2">
      <c r="A20" s="60"/>
      <c r="B20" s="76" t="s">
        <v>195</v>
      </c>
      <c r="C20" s="75"/>
      <c r="D20" s="402" t="s">
        <v>117</v>
      </c>
      <c r="E20" s="119"/>
      <c r="F20" s="77"/>
      <c r="G20" s="73"/>
      <c r="H20" s="77"/>
      <c r="I20" s="73"/>
    </row>
    <row r="21" spans="1:13" ht="12.75" x14ac:dyDescent="0.2">
      <c r="A21" s="60"/>
      <c r="B21" s="76" t="s">
        <v>196</v>
      </c>
      <c r="C21" s="75"/>
      <c r="D21" s="402" t="s">
        <v>119</v>
      </c>
      <c r="E21" s="119"/>
      <c r="F21" s="77"/>
      <c r="G21" s="73"/>
      <c r="H21" s="77"/>
      <c r="I21" s="73"/>
      <c r="M21" s="33"/>
    </row>
    <row r="22" spans="1:13" ht="12.75" x14ac:dyDescent="0.2">
      <c r="A22" s="60"/>
      <c r="B22" s="76" t="s">
        <v>197</v>
      </c>
      <c r="C22" s="75"/>
      <c r="D22" s="402" t="s">
        <v>121</v>
      </c>
      <c r="E22" s="119"/>
      <c r="F22" s="77">
        <f>77668119.96/1000</f>
        <v>77668.119959999996</v>
      </c>
      <c r="G22" s="73"/>
      <c r="H22" s="77">
        <f>127668119.96/1000</f>
        <v>127668.11996</v>
      </c>
      <c r="I22" s="73"/>
    </row>
    <row r="23" spans="1:13" ht="12.75" x14ac:dyDescent="0.2">
      <c r="A23" s="60"/>
      <c r="B23" s="76" t="s">
        <v>198</v>
      </c>
      <c r="C23" s="75"/>
      <c r="D23" s="402" t="s">
        <v>123</v>
      </c>
      <c r="E23" s="119"/>
      <c r="F23" s="77"/>
      <c r="G23" s="73"/>
      <c r="H23" s="77"/>
      <c r="I23" s="73"/>
    </row>
    <row r="24" spans="1:13" ht="12.75" x14ac:dyDescent="0.2">
      <c r="A24" s="60"/>
      <c r="B24" s="76" t="s">
        <v>567</v>
      </c>
      <c r="C24" s="75"/>
      <c r="D24" s="403" t="s">
        <v>502</v>
      </c>
      <c r="E24" s="119"/>
      <c r="F24" s="77">
        <f>269500000/1000</f>
        <v>269500</v>
      </c>
      <c r="G24" s="73"/>
      <c r="H24" s="77">
        <f>255000000/1000</f>
        <v>255000</v>
      </c>
      <c r="I24" s="73"/>
    </row>
    <row r="25" spans="1:13" ht="12.75" x14ac:dyDescent="0.2">
      <c r="A25" s="60"/>
      <c r="B25" s="76" t="s">
        <v>199</v>
      </c>
      <c r="C25" s="75"/>
      <c r="D25" s="403" t="s">
        <v>527</v>
      </c>
      <c r="E25" s="119"/>
      <c r="F25" s="77">
        <f>7914507.76/1000</f>
        <v>7914.5077599999995</v>
      </c>
      <c r="G25" s="73"/>
      <c r="H25" s="77">
        <f>67588093.33/1000</f>
        <v>67588.093330000003</v>
      </c>
      <c r="I25" s="73"/>
    </row>
    <row r="26" spans="1:13" ht="12.75" x14ac:dyDescent="0.2">
      <c r="A26" s="60"/>
      <c r="B26" s="404" t="s">
        <v>568</v>
      </c>
      <c r="C26" s="75"/>
      <c r="D26" s="403" t="s">
        <v>503</v>
      </c>
      <c r="E26" s="119"/>
      <c r="F26" s="77">
        <f>25000000/1000</f>
        <v>25000</v>
      </c>
      <c r="G26" s="73"/>
      <c r="H26" s="77">
        <f>25000000/1000</f>
        <v>25000</v>
      </c>
      <c r="I26" s="73"/>
    </row>
    <row r="27" spans="1:13" ht="12.75" x14ac:dyDescent="0.2">
      <c r="A27" s="60"/>
      <c r="B27" s="404" t="s">
        <v>569</v>
      </c>
      <c r="C27" s="75"/>
      <c r="D27" s="403" t="s">
        <v>504</v>
      </c>
      <c r="E27" s="119"/>
      <c r="F27" s="77"/>
      <c r="G27" s="73"/>
      <c r="H27" s="77"/>
      <c r="I27" s="73"/>
    </row>
    <row r="28" spans="1:13" ht="12.75" x14ac:dyDescent="0.2">
      <c r="A28" s="60"/>
      <c r="B28" s="404" t="s">
        <v>570</v>
      </c>
      <c r="C28" s="75"/>
      <c r="D28" s="403" t="s">
        <v>530</v>
      </c>
      <c r="E28" s="119"/>
      <c r="F28" s="77">
        <f>106512125.44/1000</f>
        <v>106512.12544</v>
      </c>
      <c r="G28" s="73"/>
      <c r="H28" s="77">
        <f>107005773.78/1000</f>
        <v>107005.77378</v>
      </c>
      <c r="I28" s="73"/>
    </row>
    <row r="29" spans="1:13" ht="12.75" hidden="1" x14ac:dyDescent="0.2">
      <c r="A29" s="60"/>
      <c r="B29" s="76" t="s">
        <v>376</v>
      </c>
      <c r="C29" s="75"/>
      <c r="D29" s="402" t="s">
        <v>126</v>
      </c>
      <c r="E29" s="119"/>
      <c r="F29" s="77"/>
      <c r="G29" s="73"/>
      <c r="H29" s="77"/>
      <c r="I29" s="73"/>
      <c r="J29" s="299" t="s">
        <v>473</v>
      </c>
    </row>
    <row r="30" spans="1:13" ht="19.5" customHeight="1" x14ac:dyDescent="0.2">
      <c r="A30" s="60"/>
      <c r="B30" s="470" t="s">
        <v>129</v>
      </c>
      <c r="C30" s="75"/>
      <c r="D30" s="471"/>
      <c r="E30" s="119"/>
      <c r="F30" s="410"/>
      <c r="G30" s="73"/>
      <c r="H30" s="410"/>
      <c r="I30" s="73"/>
    </row>
    <row r="31" spans="1:13" ht="19.5" hidden="1" customHeight="1" x14ac:dyDescent="0.2">
      <c r="A31" s="60"/>
      <c r="B31" s="85" t="s">
        <v>377</v>
      </c>
      <c r="C31" s="75"/>
      <c r="D31" s="471"/>
      <c r="E31" s="119"/>
      <c r="F31" s="410"/>
      <c r="G31" s="73"/>
      <c r="H31" s="410"/>
      <c r="I31" s="73"/>
    </row>
    <row r="32" spans="1:13" ht="12.75" hidden="1" x14ac:dyDescent="0.2">
      <c r="A32" s="60"/>
      <c r="B32" s="76" t="s">
        <v>378</v>
      </c>
      <c r="C32" s="75"/>
      <c r="D32" s="402" t="s">
        <v>130</v>
      </c>
      <c r="E32" s="119"/>
      <c r="F32" s="77"/>
      <c r="G32" s="73"/>
      <c r="H32" s="77"/>
      <c r="I32" s="73"/>
      <c r="J32" s="299" t="s">
        <v>473</v>
      </c>
    </row>
    <row r="33" spans="1:10" ht="12.75" hidden="1" x14ac:dyDescent="0.2">
      <c r="A33" s="60"/>
      <c r="B33" s="76" t="s">
        <v>379</v>
      </c>
      <c r="C33" s="75"/>
      <c r="D33" s="402" t="s">
        <v>132</v>
      </c>
      <c r="E33" s="119"/>
      <c r="F33" s="77"/>
      <c r="G33" s="73"/>
      <c r="H33" s="77"/>
      <c r="I33" s="73"/>
      <c r="J33" s="299" t="s">
        <v>473</v>
      </c>
    </row>
    <row r="34" spans="1:10" ht="12.75" hidden="1" x14ac:dyDescent="0.2">
      <c r="A34" s="60"/>
      <c r="B34" s="76" t="s">
        <v>380</v>
      </c>
      <c r="C34" s="75"/>
      <c r="D34" s="402" t="s">
        <v>134</v>
      </c>
      <c r="E34" s="119"/>
      <c r="F34" s="77"/>
      <c r="G34" s="73"/>
      <c r="H34" s="77"/>
      <c r="I34" s="73"/>
      <c r="J34" s="299" t="s">
        <v>473</v>
      </c>
    </row>
    <row r="35" spans="1:10" ht="12.75" hidden="1" x14ac:dyDescent="0.2">
      <c r="A35" s="60"/>
      <c r="B35" s="76" t="s">
        <v>381</v>
      </c>
      <c r="C35" s="75"/>
      <c r="D35" s="402" t="s">
        <v>136</v>
      </c>
      <c r="E35" s="119"/>
      <c r="F35" s="77"/>
      <c r="G35" s="73"/>
      <c r="H35" s="77"/>
      <c r="I35" s="73"/>
      <c r="J35" s="299" t="s">
        <v>473</v>
      </c>
    </row>
    <row r="36" spans="1:10" ht="12.75" hidden="1" x14ac:dyDescent="0.2">
      <c r="A36" s="60"/>
      <c r="B36" s="76" t="s">
        <v>382</v>
      </c>
      <c r="C36" s="75"/>
      <c r="D36" s="402" t="s">
        <v>138</v>
      </c>
      <c r="E36" s="119"/>
      <c r="F36" s="77"/>
      <c r="G36" s="73"/>
      <c r="H36" s="77"/>
      <c r="I36" s="73"/>
      <c r="J36" s="299" t="s">
        <v>473</v>
      </c>
    </row>
    <row r="37" spans="1:10" ht="19.5" customHeight="1" x14ac:dyDescent="0.2">
      <c r="A37" s="60"/>
      <c r="B37" s="74" t="s">
        <v>200</v>
      </c>
      <c r="C37" s="75"/>
      <c r="D37" s="471"/>
      <c r="E37" s="119"/>
      <c r="F37" s="410"/>
      <c r="G37" s="73"/>
      <c r="H37" s="410"/>
      <c r="I37" s="73"/>
    </row>
    <row r="38" spans="1:10" ht="12.75" x14ac:dyDescent="0.2">
      <c r="A38" s="60"/>
      <c r="B38" s="76" t="s">
        <v>474</v>
      </c>
      <c r="C38" s="75"/>
      <c r="D38" s="402" t="s">
        <v>140</v>
      </c>
      <c r="E38" s="119"/>
      <c r="F38" s="77">
        <f>49339176.02/1000</f>
        <v>49339.176020000006</v>
      </c>
      <c r="G38" s="73"/>
      <c r="H38" s="77">
        <f>51051100.19/1000</f>
        <v>51051.100189999997</v>
      </c>
      <c r="I38" s="73"/>
    </row>
    <row r="39" spans="1:10" ht="12.75" x14ac:dyDescent="0.2">
      <c r="A39" s="60"/>
      <c r="B39" s="76" t="s">
        <v>571</v>
      </c>
      <c r="C39" s="75"/>
      <c r="D39" s="403" t="s">
        <v>505</v>
      </c>
      <c r="E39" s="119"/>
      <c r="F39" s="77">
        <f>164300000/1000</f>
        <v>164300</v>
      </c>
      <c r="G39" s="73"/>
      <c r="H39" s="77">
        <f>20000000/1000</f>
        <v>20000</v>
      </c>
      <c r="I39" s="73"/>
    </row>
    <row r="40" spans="1:10" ht="12.75" x14ac:dyDescent="0.2">
      <c r="A40" s="60"/>
      <c r="B40" s="76" t="s">
        <v>572</v>
      </c>
      <c r="C40" s="75"/>
      <c r="D40" s="403" t="s">
        <v>533</v>
      </c>
      <c r="E40" s="119"/>
      <c r="F40" s="77">
        <f>16000000/1000</f>
        <v>16000</v>
      </c>
      <c r="G40" s="73"/>
      <c r="H40" s="77">
        <f>16000000/1000</f>
        <v>16000</v>
      </c>
      <c r="I40" s="73"/>
    </row>
    <row r="41" spans="1:10" ht="12.75" x14ac:dyDescent="0.2">
      <c r="A41" s="60"/>
      <c r="B41" s="76" t="s">
        <v>506</v>
      </c>
      <c r="C41" s="75"/>
      <c r="D41" s="403" t="s">
        <v>507</v>
      </c>
      <c r="E41" s="119"/>
      <c r="F41" s="77">
        <f>515564094.46/1000</f>
        <v>515564.09445999999</v>
      </c>
      <c r="G41" s="73"/>
      <c r="H41" s="77">
        <f>565521242.13/1000</f>
        <v>565521.24213000003</v>
      </c>
      <c r="I41" s="73"/>
    </row>
    <row r="42" spans="1:10" ht="12.75" x14ac:dyDescent="0.2">
      <c r="A42" s="60"/>
      <c r="B42" s="76" t="s">
        <v>573</v>
      </c>
      <c r="C42" s="75"/>
      <c r="D42" s="403" t="s">
        <v>536</v>
      </c>
      <c r="E42" s="119"/>
      <c r="F42" s="77"/>
      <c r="G42" s="73"/>
      <c r="H42" s="77"/>
      <c r="I42" s="73"/>
    </row>
    <row r="43" spans="1:10" ht="12.75" x14ac:dyDescent="0.2">
      <c r="A43" s="60"/>
      <c r="B43" s="76" t="s">
        <v>201</v>
      </c>
      <c r="C43" s="75"/>
      <c r="D43" s="402" t="s">
        <v>142</v>
      </c>
      <c r="E43" s="119"/>
      <c r="F43" s="77">
        <f>6302988.43/1000</f>
        <v>6302.9884299999994</v>
      </c>
      <c r="G43" s="73"/>
      <c r="H43" s="77">
        <f>5304997.98/1000</f>
        <v>5304.9979800000001</v>
      </c>
      <c r="I43" s="73"/>
    </row>
    <row r="44" spans="1:10" ht="12.75" x14ac:dyDescent="0.2">
      <c r="A44" s="60"/>
      <c r="B44" s="404" t="s">
        <v>574</v>
      </c>
      <c r="C44" s="75"/>
      <c r="D44" s="403" t="s">
        <v>508</v>
      </c>
      <c r="E44" s="119"/>
      <c r="F44" s="77"/>
      <c r="G44" s="73"/>
      <c r="H44" s="77"/>
      <c r="I44" s="73"/>
    </row>
    <row r="45" spans="1:10" ht="12.75" x14ac:dyDescent="0.2">
      <c r="A45" s="60"/>
      <c r="B45" s="404" t="s">
        <v>575</v>
      </c>
      <c r="C45" s="75"/>
      <c r="D45" s="403" t="s">
        <v>509</v>
      </c>
      <c r="E45" s="119"/>
      <c r="F45" s="77"/>
      <c r="G45" s="73"/>
      <c r="H45" s="77"/>
      <c r="I45" s="73"/>
    </row>
    <row r="46" spans="1:10" ht="12.75" x14ac:dyDescent="0.2">
      <c r="A46" s="60"/>
      <c r="B46" s="76" t="s">
        <v>576</v>
      </c>
      <c r="C46" s="75"/>
      <c r="D46" s="403" t="s">
        <v>540</v>
      </c>
      <c r="E46" s="119"/>
      <c r="F46" s="77"/>
      <c r="G46" s="73"/>
      <c r="H46" s="77"/>
      <c r="I46" s="73"/>
    </row>
    <row r="47" spans="1:10" ht="12.75" x14ac:dyDescent="0.2">
      <c r="A47" s="60"/>
      <c r="B47" s="76"/>
      <c r="C47" s="75"/>
      <c r="D47" s="403"/>
      <c r="E47" s="119"/>
      <c r="F47" s="410"/>
      <c r="G47" s="73"/>
      <c r="H47" s="410"/>
      <c r="I47" s="73"/>
    </row>
    <row r="48" spans="1:10" ht="12.75" x14ac:dyDescent="0.2">
      <c r="A48" s="60"/>
      <c r="B48" s="79" t="s">
        <v>542</v>
      </c>
      <c r="C48" s="75"/>
      <c r="D48" s="402" t="s">
        <v>144</v>
      </c>
      <c r="E48" s="119"/>
      <c r="F48" s="77">
        <f>394669.75/1000</f>
        <v>394.66975000000002</v>
      </c>
      <c r="G48" s="73"/>
      <c r="H48" s="77">
        <f>263156.9/1000</f>
        <v>263.15690000000001</v>
      </c>
      <c r="I48" s="73"/>
    </row>
    <row r="49" spans="1:10" ht="19.5" customHeight="1" x14ac:dyDescent="0.2">
      <c r="A49" s="60"/>
      <c r="B49" s="74" t="s">
        <v>145</v>
      </c>
      <c r="C49" s="73"/>
      <c r="D49" s="403"/>
      <c r="E49" s="73"/>
      <c r="F49" s="411"/>
      <c r="G49" s="334"/>
      <c r="H49" s="411"/>
      <c r="I49" s="73"/>
    </row>
    <row r="50" spans="1:10" ht="12.75" x14ac:dyDescent="0.2">
      <c r="A50" s="60"/>
      <c r="B50" s="405" t="s">
        <v>577</v>
      </c>
      <c r="C50" s="75"/>
      <c r="D50" s="403" t="s">
        <v>543</v>
      </c>
      <c r="E50" s="119"/>
      <c r="F50" s="77"/>
      <c r="G50" s="73"/>
      <c r="H50" s="77"/>
      <c r="I50" s="73"/>
    </row>
    <row r="51" spans="1:10" ht="12.75" x14ac:dyDescent="0.2">
      <c r="A51" s="60"/>
      <c r="B51" s="405" t="s">
        <v>578</v>
      </c>
      <c r="C51" s="75"/>
      <c r="D51" s="403" t="s">
        <v>545</v>
      </c>
      <c r="E51" s="119"/>
      <c r="F51" s="77"/>
      <c r="G51" s="73"/>
      <c r="H51" s="77"/>
      <c r="I51" s="73"/>
    </row>
    <row r="52" spans="1:10" ht="12.75" x14ac:dyDescent="0.2">
      <c r="A52" s="60"/>
      <c r="B52" s="405" t="s">
        <v>579</v>
      </c>
      <c r="C52" s="75"/>
      <c r="D52" s="403" t="s">
        <v>547</v>
      </c>
      <c r="E52" s="119"/>
      <c r="F52" s="77"/>
      <c r="G52" s="73"/>
      <c r="H52" s="77"/>
      <c r="I52" s="73"/>
    </row>
    <row r="53" spans="1:10" ht="12.75" x14ac:dyDescent="0.2">
      <c r="A53" s="60"/>
      <c r="B53" s="79" t="s">
        <v>580</v>
      </c>
      <c r="C53" s="75"/>
      <c r="D53" s="403" t="s">
        <v>549</v>
      </c>
      <c r="E53" s="119"/>
      <c r="F53" s="77"/>
      <c r="G53" s="73"/>
      <c r="H53" s="77"/>
      <c r="I53" s="73"/>
    </row>
    <row r="54" spans="1:10" s="33" customFormat="1" x14ac:dyDescent="0.2">
      <c r="A54" s="80"/>
      <c r="B54" s="81"/>
      <c r="C54" s="73"/>
      <c r="D54" s="70"/>
      <c r="E54" s="73"/>
      <c r="F54" s="412"/>
      <c r="G54" s="73"/>
      <c r="H54" s="412"/>
      <c r="I54" s="73"/>
    </row>
    <row r="55" spans="1:10" ht="12.75" x14ac:dyDescent="0.2">
      <c r="A55" s="32"/>
      <c r="B55" s="34" t="s">
        <v>202</v>
      </c>
      <c r="C55" s="32"/>
      <c r="D55" s="32"/>
      <c r="E55" s="66"/>
      <c r="F55" s="413"/>
      <c r="G55" s="67"/>
      <c r="H55" s="413"/>
      <c r="I55" s="67"/>
    </row>
    <row r="56" spans="1:10" ht="19.5" customHeight="1" x14ac:dyDescent="0.2">
      <c r="A56" s="82"/>
      <c r="B56" s="83" t="s">
        <v>147</v>
      </c>
      <c r="C56" s="73"/>
      <c r="D56" s="70"/>
      <c r="E56" s="84"/>
      <c r="F56" s="414"/>
      <c r="G56" s="73"/>
      <c r="H56" s="414"/>
      <c r="I56" s="73"/>
    </row>
    <row r="57" spans="1:10" ht="19.5" hidden="1" customHeight="1" x14ac:dyDescent="0.2">
      <c r="A57" s="82"/>
      <c r="B57" s="146" t="s">
        <v>383</v>
      </c>
      <c r="C57" s="73"/>
      <c r="D57" s="70"/>
      <c r="E57" s="84"/>
      <c r="F57" s="414"/>
      <c r="G57" s="73"/>
      <c r="H57" s="414"/>
      <c r="I57" s="73"/>
    </row>
    <row r="58" spans="1:10" ht="12.75" hidden="1" x14ac:dyDescent="0.2">
      <c r="A58" s="82"/>
      <c r="B58" s="76" t="s">
        <v>384</v>
      </c>
      <c r="C58" s="73"/>
      <c r="D58" s="402" t="s">
        <v>148</v>
      </c>
      <c r="E58" s="73"/>
      <c r="F58" s="77"/>
      <c r="G58" s="73"/>
      <c r="H58" s="77"/>
      <c r="I58" s="73"/>
      <c r="J58" s="299" t="s">
        <v>473</v>
      </c>
    </row>
    <row r="59" spans="1:10" ht="12.75" hidden="1" x14ac:dyDescent="0.2">
      <c r="A59" s="82"/>
      <c r="B59" s="76" t="s">
        <v>385</v>
      </c>
      <c r="C59" s="73"/>
      <c r="D59" s="402" t="s">
        <v>150</v>
      </c>
      <c r="E59" s="73"/>
      <c r="F59" s="77"/>
      <c r="G59" s="73"/>
      <c r="H59" s="77"/>
      <c r="I59" s="73"/>
      <c r="J59" s="299" t="s">
        <v>473</v>
      </c>
    </row>
    <row r="60" spans="1:10" ht="12.75" hidden="1" x14ac:dyDescent="0.2">
      <c r="A60" s="82"/>
      <c r="B60" s="76" t="s">
        <v>386</v>
      </c>
      <c r="C60" s="73"/>
      <c r="D60" s="402" t="s">
        <v>151</v>
      </c>
      <c r="E60" s="73"/>
      <c r="F60" s="77"/>
      <c r="G60" s="73"/>
      <c r="H60" s="77"/>
      <c r="I60" s="73"/>
      <c r="J60" s="299" t="s">
        <v>473</v>
      </c>
    </row>
    <row r="61" spans="1:10" ht="12.75" hidden="1" x14ac:dyDescent="0.2">
      <c r="A61" s="82"/>
      <c r="B61" s="76"/>
      <c r="C61" s="73"/>
      <c r="D61" s="402"/>
      <c r="E61" s="73"/>
      <c r="F61" s="120"/>
      <c r="G61" s="73"/>
      <c r="H61" s="120"/>
      <c r="I61" s="73"/>
    </row>
    <row r="62" spans="1:10" ht="12.75" hidden="1" x14ac:dyDescent="0.2">
      <c r="A62" s="82"/>
      <c r="B62" s="79" t="s">
        <v>154</v>
      </c>
      <c r="C62" s="73"/>
      <c r="D62" s="402" t="s">
        <v>153</v>
      </c>
      <c r="E62" s="73"/>
      <c r="F62" s="77"/>
      <c r="G62" s="73"/>
      <c r="H62" s="77"/>
      <c r="I62" s="73"/>
      <c r="J62" s="299" t="s">
        <v>473</v>
      </c>
    </row>
    <row r="63" spans="1:10" ht="19.5" customHeight="1" x14ac:dyDescent="0.2">
      <c r="A63" s="82"/>
      <c r="B63" s="85" t="s">
        <v>203</v>
      </c>
      <c r="C63" s="73"/>
      <c r="D63" s="402"/>
      <c r="E63" s="73"/>
      <c r="F63" s="412"/>
      <c r="G63" s="73"/>
      <c r="H63" s="412"/>
      <c r="I63" s="73"/>
    </row>
    <row r="64" spans="1:10" ht="12.75" x14ac:dyDescent="0.2">
      <c r="A64" s="82"/>
      <c r="B64" s="76" t="s">
        <v>204</v>
      </c>
      <c r="C64" s="73"/>
      <c r="D64" s="402" t="s">
        <v>155</v>
      </c>
      <c r="E64" s="73"/>
      <c r="F64" s="77"/>
      <c r="G64" s="73"/>
      <c r="H64" s="77"/>
      <c r="I64" s="73"/>
    </row>
    <row r="65" spans="1:12" ht="12.75" x14ac:dyDescent="0.2">
      <c r="A65" s="82"/>
      <c r="B65" s="76" t="s">
        <v>358</v>
      </c>
      <c r="C65" s="73"/>
      <c r="D65" s="402" t="s">
        <v>157</v>
      </c>
      <c r="E65" s="73"/>
      <c r="F65" s="77"/>
      <c r="G65" s="73"/>
      <c r="H65" s="77"/>
      <c r="I65" s="73"/>
    </row>
    <row r="66" spans="1:12" ht="12.75" x14ac:dyDescent="0.2">
      <c r="A66" s="82"/>
      <c r="B66" s="76" t="s">
        <v>359</v>
      </c>
      <c r="C66" s="73"/>
      <c r="D66" s="402" t="s">
        <v>159</v>
      </c>
      <c r="E66" s="73"/>
      <c r="F66" s="77"/>
      <c r="G66" s="73"/>
      <c r="H66" s="77"/>
      <c r="I66" s="73"/>
    </row>
    <row r="67" spans="1:12" ht="12.75" x14ac:dyDescent="0.2">
      <c r="A67" s="82"/>
      <c r="B67" s="76" t="s">
        <v>360</v>
      </c>
      <c r="C67" s="73"/>
      <c r="D67" s="402" t="s">
        <v>161</v>
      </c>
      <c r="E67" s="73"/>
      <c r="F67" s="77"/>
      <c r="G67" s="73"/>
      <c r="H67" s="77"/>
      <c r="I67" s="73"/>
    </row>
    <row r="68" spans="1:12" ht="12.75" x14ac:dyDescent="0.2">
      <c r="A68" s="82"/>
      <c r="B68" s="76" t="s">
        <v>581</v>
      </c>
      <c r="C68" s="73"/>
      <c r="D68" s="403" t="s">
        <v>510</v>
      </c>
      <c r="E68" s="73"/>
      <c r="F68" s="77"/>
      <c r="G68" s="73"/>
      <c r="H68" s="77"/>
      <c r="I68" s="73"/>
    </row>
    <row r="69" spans="1:12" ht="12.75" x14ac:dyDescent="0.2">
      <c r="A69" s="82"/>
      <c r="B69" s="76" t="s">
        <v>205</v>
      </c>
      <c r="C69" s="73"/>
      <c r="D69" s="403" t="s">
        <v>553</v>
      </c>
      <c r="E69" s="73"/>
      <c r="F69" s="77"/>
      <c r="G69" s="73"/>
      <c r="H69" s="77"/>
      <c r="I69" s="73"/>
    </row>
    <row r="70" spans="1:12" ht="12.75" x14ac:dyDescent="0.2">
      <c r="A70" s="82"/>
      <c r="B70" s="404" t="s">
        <v>582</v>
      </c>
      <c r="C70" s="73"/>
      <c r="D70" s="402" t="s">
        <v>164</v>
      </c>
      <c r="E70" s="73"/>
      <c r="F70" s="77"/>
      <c r="G70" s="73"/>
      <c r="H70" s="77"/>
      <c r="I70" s="73"/>
    </row>
    <row r="71" spans="1:12" ht="12.75" x14ac:dyDescent="0.2">
      <c r="A71" s="82"/>
      <c r="B71" s="76" t="s">
        <v>206</v>
      </c>
      <c r="C71" s="73"/>
      <c r="D71" s="402" t="s">
        <v>165</v>
      </c>
      <c r="E71" s="73"/>
      <c r="F71" s="77"/>
      <c r="G71" s="73"/>
      <c r="H71" s="77"/>
      <c r="I71" s="73"/>
    </row>
    <row r="72" spans="1:12" ht="12.75" x14ac:dyDescent="0.2">
      <c r="A72" s="82"/>
      <c r="B72" s="76" t="s">
        <v>168</v>
      </c>
      <c r="C72" s="73"/>
      <c r="D72" s="402" t="s">
        <v>167</v>
      </c>
      <c r="E72" s="73"/>
      <c r="F72" s="77">
        <f>21342.03/1000</f>
        <v>21.342029999999998</v>
      </c>
      <c r="G72" s="73"/>
      <c r="H72" s="77">
        <f>20842.03/1000</f>
        <v>20.842029999999998</v>
      </c>
      <c r="I72" s="73"/>
    </row>
    <row r="73" spans="1:12" ht="19.5" customHeight="1" x14ac:dyDescent="0.2">
      <c r="A73" s="82"/>
      <c r="B73" s="470" t="s">
        <v>170</v>
      </c>
      <c r="C73" s="73"/>
      <c r="D73" s="472"/>
      <c r="E73" s="73"/>
      <c r="F73" s="412"/>
      <c r="G73" s="73"/>
      <c r="H73" s="412"/>
      <c r="I73" s="73"/>
      <c r="J73" s="147"/>
      <c r="K73" s="147"/>
      <c r="L73" s="147"/>
    </row>
    <row r="74" spans="1:12" ht="19.5" customHeight="1" x14ac:dyDescent="0.2">
      <c r="A74" s="82"/>
      <c r="B74" s="85" t="s">
        <v>207</v>
      </c>
      <c r="C74" s="73"/>
      <c r="D74" s="472"/>
      <c r="E74" s="73"/>
      <c r="F74" s="412"/>
      <c r="G74" s="73"/>
      <c r="H74" s="412"/>
      <c r="I74" s="73"/>
      <c r="J74" s="147"/>
      <c r="K74" s="147"/>
      <c r="L74" s="147"/>
    </row>
    <row r="75" spans="1:12" ht="12.75" x14ac:dyDescent="0.2">
      <c r="A75" s="82"/>
      <c r="B75" s="76" t="s">
        <v>583</v>
      </c>
      <c r="C75" s="73"/>
      <c r="D75" s="403" t="s">
        <v>511</v>
      </c>
      <c r="E75" s="73"/>
      <c r="F75" s="77"/>
      <c r="G75" s="73"/>
      <c r="H75" s="77"/>
      <c r="I75" s="73"/>
    </row>
    <row r="76" spans="1:12" ht="12.75" x14ac:dyDescent="0.2">
      <c r="A76" s="82"/>
      <c r="B76" s="76" t="s">
        <v>584</v>
      </c>
      <c r="C76" s="73"/>
      <c r="D76" s="403" t="s">
        <v>557</v>
      </c>
      <c r="E76" s="73"/>
      <c r="F76" s="77"/>
      <c r="G76" s="73"/>
      <c r="H76" s="77"/>
      <c r="I76" s="73"/>
    </row>
    <row r="77" spans="1:12" ht="12.75" x14ac:dyDescent="0.2">
      <c r="A77" s="82"/>
      <c r="B77" s="404" t="s">
        <v>512</v>
      </c>
      <c r="C77" s="73"/>
      <c r="D77" s="402" t="s">
        <v>171</v>
      </c>
      <c r="E77" s="73"/>
      <c r="F77" s="77"/>
      <c r="G77" s="73"/>
      <c r="H77" s="77"/>
      <c r="I77" s="73"/>
    </row>
    <row r="78" spans="1:12" ht="12.75" x14ac:dyDescent="0.2">
      <c r="A78" s="82"/>
      <c r="B78" s="76" t="s">
        <v>208</v>
      </c>
      <c r="C78" s="73"/>
      <c r="D78" s="402" t="s">
        <v>172</v>
      </c>
      <c r="E78" s="73"/>
      <c r="F78" s="77">
        <f>214012972.35/1000</f>
        <v>214012.97235</v>
      </c>
      <c r="G78" s="73"/>
      <c r="H78" s="77">
        <f>229089184.66/1000</f>
        <v>229089.18466</v>
      </c>
      <c r="I78" s="73"/>
    </row>
    <row r="79" spans="1:12" ht="20.25" customHeight="1" x14ac:dyDescent="0.2">
      <c r="A79" s="82"/>
      <c r="B79" s="74" t="s">
        <v>174</v>
      </c>
      <c r="C79" s="73"/>
      <c r="D79" s="403"/>
      <c r="E79" s="73"/>
      <c r="F79" s="411"/>
      <c r="G79" s="334"/>
      <c r="H79" s="411"/>
      <c r="I79" s="73"/>
    </row>
    <row r="80" spans="1:12" ht="12.75" x14ac:dyDescent="0.2">
      <c r="A80" s="82"/>
      <c r="B80" s="76" t="s">
        <v>585</v>
      </c>
      <c r="C80" s="73"/>
      <c r="D80" s="403" t="s">
        <v>559</v>
      </c>
      <c r="E80" s="73"/>
      <c r="F80" s="77">
        <f>-206931.27/1000</f>
        <v>-206.93126999999998</v>
      </c>
      <c r="G80" s="73"/>
      <c r="H80" s="77">
        <f>689683.3/1000</f>
        <v>689.68330000000003</v>
      </c>
      <c r="I80" s="73"/>
    </row>
    <row r="81" spans="1:12" ht="12.75" x14ac:dyDescent="0.2">
      <c r="A81" s="82"/>
      <c r="B81" s="76" t="s">
        <v>586</v>
      </c>
      <c r="C81" s="73"/>
      <c r="D81" s="403" t="s">
        <v>561</v>
      </c>
      <c r="E81" s="73"/>
      <c r="F81" s="77">
        <f>251091090.73/1000</f>
        <v>251091.09073</v>
      </c>
      <c r="G81" s="73"/>
      <c r="H81" s="77">
        <f>219111358.8/1000</f>
        <v>219111.35880000002</v>
      </c>
      <c r="I81" s="73"/>
    </row>
    <row r="82" spans="1:12" ht="12.75" x14ac:dyDescent="0.2">
      <c r="A82" s="82"/>
      <c r="B82" s="76" t="s">
        <v>587</v>
      </c>
      <c r="C82" s="73"/>
      <c r="D82" s="403" t="s">
        <v>563</v>
      </c>
      <c r="E82" s="73"/>
      <c r="F82" s="77">
        <f>545009.41/1000</f>
        <v>545.00941</v>
      </c>
      <c r="G82" s="73"/>
      <c r="H82" s="77">
        <f>75948165.23/1000</f>
        <v>75948.165229999999</v>
      </c>
      <c r="I82" s="73"/>
    </row>
    <row r="83" spans="1:12" ht="12.75" x14ac:dyDescent="0.2">
      <c r="A83" s="82"/>
      <c r="B83" s="79" t="s">
        <v>588</v>
      </c>
      <c r="C83" s="73"/>
      <c r="D83" s="403" t="s">
        <v>565</v>
      </c>
      <c r="E83" s="73"/>
      <c r="F83" s="77">
        <f>149067.35/1000</f>
        <v>149.06735</v>
      </c>
      <c r="G83" s="73"/>
      <c r="H83" s="77">
        <f>30994.09/1000</f>
        <v>30.99409</v>
      </c>
      <c r="I83" s="73"/>
    </row>
    <row r="84" spans="1:12" s="33" customFormat="1" x14ac:dyDescent="0.2">
      <c r="A84" s="80"/>
      <c r="B84" s="81"/>
      <c r="C84" s="73"/>
      <c r="D84" s="70"/>
      <c r="E84" s="73"/>
      <c r="F84" s="334"/>
      <c r="G84" s="334"/>
      <c r="H84" s="411"/>
      <c r="I84" s="73"/>
    </row>
    <row r="85" spans="1:12" ht="13.5" hidden="1" thickBot="1" x14ac:dyDescent="0.25">
      <c r="A85" s="148"/>
      <c r="B85" s="149" t="s">
        <v>387</v>
      </c>
      <c r="C85" s="150"/>
      <c r="D85" s="151"/>
      <c r="E85" s="152"/>
      <c r="F85" s="153"/>
      <c r="G85" s="154"/>
      <c r="H85" s="153"/>
      <c r="I85" s="154"/>
    </row>
    <row r="86" spans="1:12" ht="12.75" hidden="1" x14ac:dyDescent="0.2">
      <c r="A86" s="60"/>
      <c r="B86" s="155" t="s">
        <v>388</v>
      </c>
      <c r="C86" s="75"/>
      <c r="D86" s="403" t="s">
        <v>390</v>
      </c>
      <c r="E86" s="473"/>
      <c r="F86" s="335">
        <f>SUM(F7:F8,F10:F16,F18:F29,F32:F36,F38:F46,F48,F50:F53)</f>
        <v>1240779.3120299999</v>
      </c>
      <c r="G86" s="334"/>
      <c r="H86" s="335">
        <f>SUM(H7:H8,H10:H16,H18:H29,H32:H36,H38:H46,H48,H50:H53)</f>
        <v>1248321.1144800002</v>
      </c>
      <c r="I86" s="73"/>
      <c r="J86" s="5" t="s">
        <v>473</v>
      </c>
      <c r="K86" s="299"/>
      <c r="L86" s="145"/>
    </row>
    <row r="87" spans="1:12" ht="13.5" hidden="1" thickBot="1" x14ac:dyDescent="0.25">
      <c r="A87" s="148"/>
      <c r="B87" s="156" t="s">
        <v>389</v>
      </c>
      <c r="C87" s="154"/>
      <c r="D87" s="474" t="s">
        <v>391</v>
      </c>
      <c r="E87" s="475"/>
      <c r="F87" s="336">
        <f>SUM(F58:F60,F62,F64:F72,F75:F78,F80:F83)</f>
        <v>465612.55060000002</v>
      </c>
      <c r="G87" s="337"/>
      <c r="H87" s="336">
        <f>SUM(H58:H60,H62,H64:H72,H75:H78,H80:H83)</f>
        <v>524890.22811000014</v>
      </c>
      <c r="I87" s="154"/>
      <c r="J87" s="5" t="s">
        <v>473</v>
      </c>
      <c r="K87" s="299"/>
    </row>
    <row r="88" spans="1:12" ht="12.75" hidden="1" x14ac:dyDescent="0.2">
      <c r="C88" s="75"/>
      <c r="D88" s="403"/>
      <c r="E88" s="473"/>
      <c r="F88" s="338"/>
      <c r="G88" s="334"/>
      <c r="H88" s="338"/>
      <c r="I88" s="73"/>
    </row>
    <row r="89" spans="1:12" x14ac:dyDescent="0.2">
      <c r="D89" s="5"/>
    </row>
  </sheetData>
  <sheetProtection formatCells="0" formatColumns="0" formatRows="0"/>
  <mergeCells count="1">
    <mergeCell ref="B1:I1"/>
  </mergeCells>
  <phoneticPr fontId="0" type="noConversion"/>
  <printOptions horizontalCentered="1"/>
  <pageMargins left="0.15748031496062992" right="0.15748031496062992" top="0.6692913385826772" bottom="0.39370078740157483" header="0.51181102362204722" footer="0.39370078740157483"/>
  <pageSetup paperSize="9" scale="79" orientation="portrait"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x14ac:dyDescent="0.2"/>
  <cols>
    <col min="1" max="1" width="3.28515625" style="180" customWidth="1"/>
    <col min="2" max="2" width="80.5703125" customWidth="1"/>
  </cols>
  <sheetData>
    <row r="1" spans="1:2" ht="15.75" x14ac:dyDescent="0.25">
      <c r="A1" s="524" t="str">
        <f>"Verklaring Iv3 bij kwartaalrapportage 2015, provincie " &amp; '4.Informatie'!C5</f>
        <v>Verklaring Iv3 bij kwartaalrapportage 2015, provincie Groningen</v>
      </c>
      <c r="B1" s="525"/>
    </row>
    <row r="2" spans="1:2" s="168" customFormat="1" x14ac:dyDescent="0.2">
      <c r="A2" s="18"/>
    </row>
    <row r="3" spans="1:2" x14ac:dyDescent="0.2">
      <c r="A3" s="18"/>
    </row>
    <row r="4" spans="1:2" x14ac:dyDescent="0.2">
      <c r="A4" s="178" t="s">
        <v>11</v>
      </c>
      <c r="B4" s="121"/>
    </row>
    <row r="5" spans="1:2" x14ac:dyDescent="0.2">
      <c r="A5" s="178"/>
    </row>
    <row r="6" spans="1:2" x14ac:dyDescent="0.2">
      <c r="A6" s="178"/>
      <c r="B6" s="179"/>
    </row>
    <row r="7" spans="1:2" ht="12.75" customHeight="1" x14ac:dyDescent="0.2">
      <c r="A7" s="477" t="s">
        <v>490</v>
      </c>
      <c r="B7" s="477"/>
    </row>
    <row r="8" spans="1:2" x14ac:dyDescent="0.2">
      <c r="A8" s="477"/>
      <c r="B8" s="477"/>
    </row>
    <row r="9" spans="1:2" x14ac:dyDescent="0.2">
      <c r="A9" s="477"/>
      <c r="B9" s="477"/>
    </row>
    <row r="10" spans="1:2" x14ac:dyDescent="0.2">
      <c r="A10" s="477"/>
      <c r="B10" s="477"/>
    </row>
    <row r="11" spans="1:2" x14ac:dyDescent="0.2">
      <c r="A11" s="523" t="s">
        <v>1</v>
      </c>
      <c r="B11" s="523"/>
    </row>
    <row r="12" spans="1:2" x14ac:dyDescent="0.2">
      <c r="A12" s="523"/>
      <c r="B12" s="523"/>
    </row>
    <row r="13" spans="1:2" x14ac:dyDescent="0.2">
      <c r="A13" s="523"/>
      <c r="B13" s="523"/>
    </row>
    <row r="14" spans="1:2" x14ac:dyDescent="0.2">
      <c r="B14" s="526" t="s">
        <v>393</v>
      </c>
    </row>
    <row r="15" spans="1:2" ht="12.75" customHeight="1" x14ac:dyDescent="0.2">
      <c r="A15" s="181" t="s">
        <v>12</v>
      </c>
      <c r="B15" s="526"/>
    </row>
    <row r="16" spans="1:2" x14ac:dyDescent="0.2">
      <c r="A16" s="181"/>
      <c r="B16" s="526"/>
    </row>
    <row r="17" spans="1:2" x14ac:dyDescent="0.2">
      <c r="A17"/>
      <c r="B17" s="523" t="s">
        <v>2</v>
      </c>
    </row>
    <row r="18" spans="1:2" ht="12.75" customHeight="1" x14ac:dyDescent="0.2">
      <c r="A18" s="181" t="s">
        <v>12</v>
      </c>
      <c r="B18" s="523"/>
    </row>
    <row r="19" spans="1:2" x14ac:dyDescent="0.2">
      <c r="A19" s="181"/>
      <c r="B19" s="523"/>
    </row>
    <row r="20" spans="1:2" x14ac:dyDescent="0.2">
      <c r="A20"/>
      <c r="B20" s="523" t="s">
        <v>3</v>
      </c>
    </row>
    <row r="21" spans="1:2" ht="12.75" customHeight="1" x14ac:dyDescent="0.2">
      <c r="A21" s="181" t="s">
        <v>12</v>
      </c>
      <c r="B21" s="523"/>
    </row>
    <row r="22" spans="1:2" x14ac:dyDescent="0.2">
      <c r="A22"/>
      <c r="B22" s="523"/>
    </row>
    <row r="23" spans="1:2" x14ac:dyDescent="0.2">
      <c r="A23"/>
    </row>
    <row r="24" spans="1:2" x14ac:dyDescent="0.2">
      <c r="A24"/>
    </row>
    <row r="25" spans="1:2" s="122" customFormat="1" x14ac:dyDescent="0.2">
      <c r="A25" s="122" t="s">
        <v>362</v>
      </c>
    </row>
    <row r="26" spans="1:2" s="122" customFormat="1" ht="22.5" customHeight="1" x14ac:dyDescent="0.2">
      <c r="A26" s="122" t="s">
        <v>219</v>
      </c>
    </row>
    <row r="27" spans="1:2" x14ac:dyDescent="0.2">
      <c r="A27"/>
    </row>
    <row r="28" spans="1:2" x14ac:dyDescent="0.2">
      <c r="A28"/>
    </row>
    <row r="29" spans="1:2" x14ac:dyDescent="0.2">
      <c r="A29"/>
    </row>
    <row r="30" spans="1:2" x14ac:dyDescent="0.2">
      <c r="A30"/>
    </row>
    <row r="31" spans="1:2" x14ac:dyDescent="0.2">
      <c r="A31"/>
    </row>
    <row r="32" spans="1:2" x14ac:dyDescent="0.2">
      <c r="A32" s="168"/>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55"/>
  <sheetViews>
    <sheetView defaultGridColor="0" topLeftCell="A118" colorId="22" workbookViewId="0">
      <selection activeCell="I159" sqref="I159"/>
    </sheetView>
  </sheetViews>
  <sheetFormatPr defaultColWidth="8.7109375" defaultRowHeight="12.75" x14ac:dyDescent="0.2"/>
  <cols>
    <col min="1" max="1" width="41.42578125" style="6" customWidth="1"/>
    <col min="2" max="2" width="12.85546875" style="6" bestFit="1" customWidth="1"/>
    <col min="3" max="5" width="11.140625" style="6" customWidth="1"/>
    <col min="6" max="6" width="13.28515625" style="7"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x14ac:dyDescent="0.25">
      <c r="A1" s="182" t="s">
        <v>476</v>
      </c>
      <c r="B1" s="183"/>
      <c r="C1" s="184"/>
    </row>
    <row r="2" spans="1:14" ht="7.5" customHeight="1" x14ac:dyDescent="0.25">
      <c r="A2" s="182"/>
      <c r="B2" s="183"/>
      <c r="C2" s="185"/>
      <c r="D2" s="186"/>
    </row>
    <row r="3" spans="1:14" ht="54" customHeight="1" x14ac:dyDescent="0.2">
      <c r="A3" s="528" t="s">
        <v>477</v>
      </c>
      <c r="B3" s="528"/>
      <c r="C3" s="528"/>
      <c r="D3" s="528"/>
    </row>
    <row r="4" spans="1:14" ht="6" customHeight="1" x14ac:dyDescent="0.2">
      <c r="A4" s="297"/>
      <c r="B4" s="297"/>
      <c r="C4" s="297"/>
      <c r="D4" s="297"/>
    </row>
    <row r="5" spans="1:14" ht="25.5" customHeight="1" x14ac:dyDescent="0.2">
      <c r="A5" s="528" t="s">
        <v>478</v>
      </c>
      <c r="B5" s="528"/>
      <c r="C5" s="528"/>
      <c r="D5" s="528"/>
      <c r="G5" s="187"/>
    </row>
    <row r="6" spans="1:14" ht="6" customHeight="1" x14ac:dyDescent="0.2">
      <c r="A6" s="297"/>
      <c r="B6" s="297"/>
      <c r="C6" s="297"/>
      <c r="D6" s="297"/>
      <c r="G6" s="187"/>
    </row>
    <row r="7" spans="1:14" ht="54.75" customHeight="1" x14ac:dyDescent="0.2">
      <c r="A7" s="529" t="s">
        <v>479</v>
      </c>
      <c r="B7" s="529"/>
      <c r="C7" s="529"/>
      <c r="D7" s="529"/>
    </row>
    <row r="8" spans="1:14" ht="12.75" customHeight="1" x14ac:dyDescent="0.2">
      <c r="A8" s="297"/>
      <c r="B8" s="186"/>
      <c r="C8" s="186"/>
      <c r="D8" s="186"/>
      <c r="G8" s="7"/>
      <c r="H8" s="7"/>
      <c r="I8" s="7"/>
      <c r="J8" s="7"/>
      <c r="K8" s="7"/>
      <c r="L8" s="7"/>
    </row>
    <row r="9" spans="1:14" ht="15.75" x14ac:dyDescent="0.25">
      <c r="A9" s="312" t="s">
        <v>400</v>
      </c>
      <c r="B9" s="186"/>
      <c r="C9" s="186"/>
      <c r="D9" s="186"/>
      <c r="G9" s="7"/>
      <c r="H9" s="7"/>
      <c r="I9" s="7"/>
      <c r="J9" s="7"/>
      <c r="K9" s="7"/>
      <c r="L9" s="7"/>
    </row>
    <row r="10" spans="1:14" ht="13.5" thickBot="1" x14ac:dyDescent="0.25">
      <c r="A10" s="297"/>
      <c r="B10" s="186"/>
      <c r="C10" s="186"/>
      <c r="D10" s="186"/>
      <c r="F10" s="530" t="s">
        <v>401</v>
      </c>
      <c r="G10" s="530"/>
      <c r="H10" s="530"/>
      <c r="I10" s="527" t="s">
        <v>444</v>
      </c>
      <c r="J10" s="527"/>
    </row>
    <row r="11" spans="1:14" s="189" customFormat="1" ht="12" customHeight="1" thickTop="1" x14ac:dyDescent="0.2">
      <c r="A11" s="313" t="s">
        <v>402</v>
      </c>
      <c r="B11" s="314" t="s">
        <v>403</v>
      </c>
      <c r="C11" s="315" t="s">
        <v>404</v>
      </c>
      <c r="D11" s="316"/>
      <c r="E11" s="6"/>
      <c r="F11" s="188"/>
      <c r="G11" s="188"/>
      <c r="H11" s="188"/>
      <c r="I11" s="527"/>
      <c r="J11" s="527"/>
      <c r="K11" s="6"/>
      <c r="L11" s="6"/>
      <c r="M11" s="6"/>
      <c r="N11" s="6"/>
    </row>
    <row r="12" spans="1:14" s="189" customFormat="1" ht="12.75" customHeight="1" x14ac:dyDescent="0.2">
      <c r="A12" s="317" t="s">
        <v>405</v>
      </c>
      <c r="B12" s="318">
        <f>IF(ISERROR(+$B$32),"",+$B$32)</f>
        <v>7.4364521096396082E-11</v>
      </c>
      <c r="C12" s="319" t="str">
        <f>IF(ISERROR(+$B$33),"",+$B$33)</f>
        <v>voldoende</v>
      </c>
      <c r="D12" s="6"/>
      <c r="F12" s="190"/>
      <c r="G12" s="188">
        <f>IF(C12="onvoldoende",1,0)</f>
        <v>0</v>
      </c>
      <c r="H12" s="191"/>
      <c r="I12" s="527"/>
      <c r="J12" s="527"/>
    </row>
    <row r="13" spans="1:14" s="189" customFormat="1" ht="25.5" x14ac:dyDescent="0.2">
      <c r="A13" s="317" t="s">
        <v>406</v>
      </c>
      <c r="B13" s="318">
        <f>IF(ISERROR($B$83),"",$B$83)</f>
        <v>0</v>
      </c>
      <c r="C13" s="319" t="str">
        <f>IF(ISERROR($B$84),"",$B$84)</f>
        <v>voldoende</v>
      </c>
      <c r="D13" s="6"/>
      <c r="F13" s="191"/>
      <c r="G13" s="188">
        <f>IF(C13="onvoldoende",1,0)</f>
        <v>0</v>
      </c>
      <c r="H13" s="191"/>
      <c r="I13" s="527"/>
      <c r="J13" s="527"/>
    </row>
    <row r="14" spans="1:14" ht="25.5" x14ac:dyDescent="0.2">
      <c r="A14" s="317" t="s">
        <v>407</v>
      </c>
      <c r="B14" s="320">
        <f>IF(ISERROR($B$134),"",$B$134)</f>
        <v>3.5632015413888692E-10</v>
      </c>
      <c r="C14" s="319" t="str">
        <f>IF(ISERROR($B$135),"",$B$135)</f>
        <v>voldoende</v>
      </c>
      <c r="F14" s="192"/>
      <c r="G14" s="188">
        <f>IF(C14="onvoldoende",1,0)</f>
        <v>0</v>
      </c>
      <c r="H14" s="192"/>
      <c r="I14" s="527"/>
      <c r="J14" s="527"/>
      <c r="K14" s="189"/>
      <c r="L14" s="189"/>
      <c r="M14" s="189"/>
      <c r="N14" s="189"/>
    </row>
    <row r="15" spans="1:14" x14ac:dyDescent="0.2">
      <c r="A15" s="317" t="s">
        <v>408</v>
      </c>
      <c r="B15" s="318">
        <f>IF(ISERROR(B141),"",B141)</f>
        <v>0</v>
      </c>
      <c r="C15" s="319" t="str">
        <f>IF(ISERROR($B$142),"",$B$142)</f>
        <v>voldoende</v>
      </c>
      <c r="F15" s="192"/>
      <c r="G15" s="188">
        <f>IF(C15="onvoldoende",1,0)</f>
        <v>0</v>
      </c>
      <c r="H15" s="192"/>
      <c r="I15" s="527"/>
      <c r="J15" s="527"/>
      <c r="K15" s="189"/>
      <c r="L15" s="189"/>
      <c r="M15" s="189"/>
      <c r="N15" s="189"/>
    </row>
    <row r="16" spans="1:14" x14ac:dyDescent="0.2">
      <c r="A16" s="317" t="s">
        <v>409</v>
      </c>
      <c r="B16" s="320">
        <f>IF(ISERROR(+$B$152),"",+$B$152)</f>
        <v>1.2367373323021621E-16</v>
      </c>
      <c r="C16" s="319" t="str">
        <f>IF(ISERROR($B$153),"",$B$153)</f>
        <v>voldoende</v>
      </c>
      <c r="F16" s="192"/>
      <c r="G16" s="188">
        <f>IF(C16="onvoldoende",1,0)</f>
        <v>0</v>
      </c>
      <c r="H16" s="192"/>
      <c r="I16" s="527"/>
      <c r="J16" s="527"/>
    </row>
    <row r="17" spans="1:10" ht="13.5" thickBot="1" x14ac:dyDescent="0.25">
      <c r="A17" s="317"/>
      <c r="B17" s="318"/>
      <c r="C17" s="319"/>
      <c r="F17" s="192"/>
      <c r="G17" s="193"/>
      <c r="H17" s="192"/>
      <c r="I17" s="527"/>
      <c r="J17" s="527"/>
    </row>
    <row r="18" spans="1:10" ht="15" customHeight="1" thickTop="1" thickBot="1" x14ac:dyDescent="0.25">
      <c r="A18" s="321" t="s">
        <v>410</v>
      </c>
      <c r="B18" s="322"/>
      <c r="C18" s="323" t="str">
        <f>+G18</f>
        <v>voldoende</v>
      </c>
      <c r="F18" s="194"/>
      <c r="G18" s="195" t="str">
        <f>IF(SUM(G12:G16)=0,"voldoende","onvoldoende")</f>
        <v>voldoende</v>
      </c>
      <c r="H18" s="191"/>
      <c r="I18" s="527"/>
      <c r="J18" s="527"/>
    </row>
    <row r="19" spans="1:10" ht="13.5" thickTop="1" x14ac:dyDescent="0.2">
      <c r="A19" s="297"/>
      <c r="B19" s="186"/>
      <c r="C19" s="186"/>
      <c r="D19" s="186"/>
    </row>
    <row r="20" spans="1:10" ht="15.75" x14ac:dyDescent="0.25">
      <c r="A20" s="312" t="s">
        <v>411</v>
      </c>
      <c r="B20" s="297"/>
      <c r="C20" s="297"/>
      <c r="D20" s="186"/>
    </row>
    <row r="21" spans="1:10" x14ac:dyDescent="0.2">
      <c r="A21" s="297"/>
      <c r="B21" s="297"/>
      <c r="C21" s="297"/>
      <c r="D21" s="297"/>
    </row>
    <row r="22" spans="1:10" x14ac:dyDescent="0.2">
      <c r="A22" s="196" t="s">
        <v>412</v>
      </c>
      <c r="B22" s="197"/>
      <c r="C22" s="197"/>
      <c r="D22" s="186"/>
    </row>
    <row r="23" spans="1:10" x14ac:dyDescent="0.2">
      <c r="A23" s="198" t="s">
        <v>446</v>
      </c>
      <c r="B23" s="198" t="s">
        <v>413</v>
      </c>
      <c r="C23" s="198" t="s">
        <v>414</v>
      </c>
      <c r="D23" s="186"/>
    </row>
    <row r="24" spans="1:10" x14ac:dyDescent="0.2">
      <c r="A24" s="199">
        <f>SUM('5.Verdelingsmatrix lasten'!$D$179:$R$179)-SUM('5.Verdelingsmatrix lasten'!$D$114:$R$124)-SUM('5.Verdelingsmatrix lasten'!$D$134:$R$147)-SUM('5.Verdelingsmatrix lasten'!$D$155:$R$163)-SUM('5.Verdelingsmatrix lasten'!$D$167:$R$174)</f>
        <v>470655.189832</v>
      </c>
      <c r="B24" s="200">
        <f>+'4.Informatie'!$C$8</f>
        <v>4</v>
      </c>
      <c r="C24" s="201">
        <f>IF(B24=0,"nvt",+ROUND((ABS(A24))/B24*4,0))</f>
        <v>470655</v>
      </c>
      <c r="D24" s="186"/>
    </row>
    <row r="25" spans="1:10" x14ac:dyDescent="0.2">
      <c r="D25" s="186"/>
    </row>
    <row r="26" spans="1:10" ht="15.75" x14ac:dyDescent="0.25">
      <c r="A26" s="312" t="s">
        <v>415</v>
      </c>
      <c r="B26" s="324"/>
      <c r="D26" s="297"/>
    </row>
    <row r="27" spans="1:10" ht="12.75" customHeight="1" x14ac:dyDescent="0.2">
      <c r="E27" s="186"/>
      <c r="F27" s="202"/>
    </row>
    <row r="28" spans="1:10" ht="12.75" customHeight="1" x14ac:dyDescent="0.2">
      <c r="A28" s="203" t="s">
        <v>416</v>
      </c>
      <c r="C28" s="325"/>
      <c r="D28" s="326"/>
      <c r="E28" s="204"/>
      <c r="F28" s="205"/>
    </row>
    <row r="29" spans="1:10" ht="27.75" customHeight="1" x14ac:dyDescent="0.2">
      <c r="A29" s="206" t="s">
        <v>445</v>
      </c>
      <c r="B29" s="207">
        <f>SUM('6.Verdelingsmatrix baten'!$D$179:$R$179)+'6.Verdelingsmatrix baten'!$AB$179-(SUM('5.Verdelingsmatrix lasten'!$D$179:$R$179)+'5.Verdelingsmatrix lasten'!$AB$179)</f>
        <v>-51735.87440500001</v>
      </c>
      <c r="C29" s="297"/>
      <c r="D29" s="185"/>
      <c r="E29" s="185"/>
      <c r="F29" s="184"/>
      <c r="G29" s="208"/>
      <c r="H29" s="208"/>
      <c r="I29" s="208"/>
    </row>
    <row r="30" spans="1:10" ht="12.75" customHeight="1" x14ac:dyDescent="0.2">
      <c r="A30" s="206" t="s">
        <v>494</v>
      </c>
      <c r="B30" s="209">
        <f>SUM('5.Verdelingsmatrix lasten'!$T$179:$AA$179)-SUM('6.Verdelingsmatrix baten'!$T$179:$AA$179)</f>
        <v>-51735.874440000043</v>
      </c>
      <c r="C30" s="297"/>
      <c r="D30" s="174"/>
      <c r="E30" s="185"/>
      <c r="F30" s="184"/>
      <c r="G30" s="208"/>
      <c r="H30" s="208"/>
      <c r="I30" s="208"/>
    </row>
    <row r="31" spans="1:10" ht="28.5" customHeight="1" x14ac:dyDescent="0.2">
      <c r="A31" s="210" t="s">
        <v>417</v>
      </c>
      <c r="B31" s="211">
        <f>+ABS(B29-B30)</f>
        <v>3.5000033676624298E-5</v>
      </c>
      <c r="C31" s="297"/>
      <c r="D31" s="204"/>
      <c r="E31" s="204"/>
      <c r="F31" s="205"/>
    </row>
    <row r="32" spans="1:10" ht="27.75" customHeight="1" x14ac:dyDescent="0.2">
      <c r="A32" s="212" t="s">
        <v>418</v>
      </c>
      <c r="B32" s="213">
        <f>+B31/C24</f>
        <v>7.4364521096396082E-11</v>
      </c>
      <c r="C32" s="297"/>
      <c r="D32" s="186"/>
      <c r="E32" s="186"/>
      <c r="F32" s="202"/>
    </row>
    <row r="33" spans="1:27" ht="12.75" customHeight="1" x14ac:dyDescent="0.2">
      <c r="A33" s="214" t="s">
        <v>419</v>
      </c>
      <c r="B33" s="215" t="str">
        <f>IF(B32&lt;=0.01,"voldoende","onvoldoende")</f>
        <v>voldoende</v>
      </c>
      <c r="C33" s="297"/>
      <c r="D33" s="327"/>
      <c r="E33" s="186"/>
      <c r="F33" s="202"/>
      <c r="J33" s="328"/>
      <c r="K33" s="328"/>
      <c r="L33" s="328"/>
      <c r="M33" s="186"/>
      <c r="N33" s="186"/>
      <c r="O33" s="187"/>
      <c r="U33" s="7"/>
      <c r="AA33" s="7"/>
    </row>
    <row r="34" spans="1:27" ht="12.75" customHeight="1" x14ac:dyDescent="0.2">
      <c r="A34" s="325"/>
      <c r="B34" s="325"/>
      <c r="C34" s="325"/>
      <c r="D34" s="325"/>
      <c r="E34" s="186"/>
      <c r="F34" s="202"/>
      <c r="J34" s="328"/>
      <c r="K34" s="328"/>
      <c r="L34" s="328"/>
      <c r="M34" s="186"/>
      <c r="N34" s="186"/>
      <c r="O34" s="187"/>
      <c r="U34" s="7"/>
      <c r="AA34" s="7"/>
    </row>
    <row r="35" spans="1:27" ht="12.75" customHeight="1" x14ac:dyDescent="0.2">
      <c r="A35" s="297"/>
      <c r="B35" s="297"/>
      <c r="C35" s="297"/>
      <c r="D35" s="186"/>
      <c r="E35" s="186"/>
      <c r="F35" s="202"/>
      <c r="I35" s="10"/>
      <c r="U35" s="216"/>
      <c r="AA35" s="7"/>
    </row>
    <row r="36" spans="1:27" ht="12.75" customHeight="1" x14ac:dyDescent="0.2">
      <c r="A36" s="217" t="s">
        <v>420</v>
      </c>
      <c r="F36" s="208"/>
      <c r="G36" s="218"/>
      <c r="H36" s="219"/>
      <c r="I36" s="219"/>
      <c r="J36" s="220"/>
      <c r="K36" s="220"/>
      <c r="L36" s="221"/>
      <c r="M36" s="220"/>
      <c r="N36" s="220"/>
      <c r="O36" s="197"/>
      <c r="P36" s="197"/>
      <c r="U36" s="7"/>
      <c r="AA36" s="7"/>
    </row>
    <row r="37" spans="1:27" ht="12.75" customHeight="1" x14ac:dyDescent="0.2">
      <c r="A37" s="222" t="s">
        <v>421</v>
      </c>
      <c r="B37" s="223" t="s">
        <v>447</v>
      </c>
      <c r="C37" s="223" t="s">
        <v>448</v>
      </c>
      <c r="D37" s="223" t="s">
        <v>480</v>
      </c>
      <c r="E37" s="223" t="s">
        <v>449</v>
      </c>
      <c r="F37" s="224" t="s">
        <v>422</v>
      </c>
      <c r="G37" s="225"/>
      <c r="H37" s="225"/>
      <c r="I37" s="225"/>
      <c r="J37" s="225"/>
      <c r="K37" s="225"/>
      <c r="L37" s="225"/>
      <c r="M37" s="225"/>
      <c r="N37" s="225"/>
      <c r="O37" s="197"/>
      <c r="P37" s="197"/>
      <c r="U37" s="7"/>
      <c r="AA37" s="7"/>
    </row>
    <row r="38" spans="1:27" ht="18.75" customHeight="1" x14ac:dyDescent="0.2">
      <c r="A38" s="226" t="s">
        <v>113</v>
      </c>
      <c r="B38" s="207">
        <f>SUM('5.Verdelingsmatrix lasten'!$C114:$R114)</f>
        <v>0</v>
      </c>
      <c r="C38" s="207">
        <f>SUM('5.Verdelingsmatrix lasten'!$S114,'5.Verdelingsmatrix lasten'!$AB114)</f>
        <v>0</v>
      </c>
      <c r="D38" s="207">
        <f>SUM('6.Verdelingsmatrix baten'!$C114:$R114)</f>
        <v>0</v>
      </c>
      <c r="E38" s="207">
        <f>SUM('6.Verdelingsmatrix baten'!$S114,'6.Verdelingsmatrix baten'!$AB114)</f>
        <v>0</v>
      </c>
      <c r="F38" s="227">
        <f t="shared" ref="F38:F49" si="0">ABS(B38+C38)+ABS(D38+E38)</f>
        <v>0</v>
      </c>
      <c r="G38" s="228"/>
      <c r="H38" s="228"/>
      <c r="I38" s="229"/>
      <c r="J38" s="230"/>
      <c r="K38" s="230"/>
      <c r="L38" s="229"/>
      <c r="M38" s="231"/>
      <c r="N38" s="228"/>
      <c r="O38" s="220"/>
      <c r="P38" s="220"/>
      <c r="Q38" s="220"/>
      <c r="R38" s="220"/>
      <c r="U38" s="7"/>
      <c r="AA38" s="7"/>
    </row>
    <row r="39" spans="1:27" ht="12.75" customHeight="1" x14ac:dyDescent="0.2">
      <c r="A39" s="226" t="s">
        <v>115</v>
      </c>
      <c r="B39" s="209">
        <f>SUM('5.Verdelingsmatrix lasten'!$C115:$R115)</f>
        <v>0</v>
      </c>
      <c r="C39" s="209">
        <f>SUM('5.Verdelingsmatrix lasten'!$S115,'5.Verdelingsmatrix lasten'!$AB115)</f>
        <v>0</v>
      </c>
      <c r="D39" s="209">
        <f>SUM('6.Verdelingsmatrix baten'!$C115:$R115)</f>
        <v>0</v>
      </c>
      <c r="E39" s="209">
        <f>SUM('6.Verdelingsmatrix baten'!$S115,'6.Verdelingsmatrix baten'!$AB115)</f>
        <v>0</v>
      </c>
      <c r="F39" s="232">
        <f t="shared" si="0"/>
        <v>0</v>
      </c>
      <c r="G39" s="228"/>
      <c r="H39" s="228"/>
      <c r="I39" s="229"/>
      <c r="J39" s="230"/>
      <c r="K39" s="230"/>
      <c r="L39" s="229"/>
      <c r="M39" s="231"/>
      <c r="N39" s="228"/>
      <c r="O39" s="329"/>
      <c r="P39" s="329"/>
      <c r="Q39" s="330"/>
      <c r="R39" s="330"/>
    </row>
    <row r="40" spans="1:27" ht="12.75" customHeight="1" x14ac:dyDescent="0.2">
      <c r="A40" s="226" t="s">
        <v>117</v>
      </c>
      <c r="B40" s="209">
        <f>SUM('5.Verdelingsmatrix lasten'!$C116:$R116)</f>
        <v>0</v>
      </c>
      <c r="C40" s="209">
        <f>SUM('5.Verdelingsmatrix lasten'!$S116,'5.Verdelingsmatrix lasten'!$AB116)</f>
        <v>0</v>
      </c>
      <c r="D40" s="209">
        <f>SUM('6.Verdelingsmatrix baten'!$C116:$R116)</f>
        <v>0</v>
      </c>
      <c r="E40" s="209">
        <f>SUM('6.Verdelingsmatrix baten'!$S116,'6.Verdelingsmatrix baten'!$AB116)</f>
        <v>0</v>
      </c>
      <c r="F40" s="232">
        <f t="shared" si="0"/>
        <v>0</v>
      </c>
      <c r="G40" s="228"/>
      <c r="H40" s="228"/>
      <c r="I40" s="229"/>
      <c r="J40" s="230"/>
      <c r="K40" s="230"/>
      <c r="L40" s="229"/>
      <c r="M40" s="231"/>
      <c r="N40" s="228"/>
      <c r="O40" s="331"/>
      <c r="P40" s="331"/>
      <c r="Q40" s="332"/>
      <c r="R40" s="332"/>
    </row>
    <row r="41" spans="1:27" ht="12.75" customHeight="1" x14ac:dyDescent="0.2">
      <c r="A41" s="226" t="s">
        <v>119</v>
      </c>
      <c r="B41" s="209">
        <f>SUM('5.Verdelingsmatrix lasten'!$C117:$R117)</f>
        <v>0</v>
      </c>
      <c r="C41" s="209">
        <f>SUM('5.Verdelingsmatrix lasten'!$S117,'5.Verdelingsmatrix lasten'!$AB117)</f>
        <v>0</v>
      </c>
      <c r="D41" s="209">
        <f>SUM('6.Verdelingsmatrix baten'!$C117:$R117)</f>
        <v>0</v>
      </c>
      <c r="E41" s="209">
        <f>SUM('6.Verdelingsmatrix baten'!$S117,'6.Verdelingsmatrix baten'!$AB117)</f>
        <v>0</v>
      </c>
      <c r="F41" s="232">
        <f t="shared" si="0"/>
        <v>0</v>
      </c>
      <c r="G41" s="228"/>
      <c r="H41" s="228"/>
      <c r="I41" s="229"/>
      <c r="J41" s="230"/>
      <c r="K41" s="230"/>
      <c r="L41" s="229"/>
      <c r="M41" s="231"/>
      <c r="N41" s="228"/>
      <c r="O41" s="230"/>
      <c r="P41" s="230"/>
      <c r="Q41" s="230"/>
      <c r="R41" s="230"/>
    </row>
    <row r="42" spans="1:27" ht="12.75" customHeight="1" x14ac:dyDescent="0.2">
      <c r="A42" s="226" t="s">
        <v>121</v>
      </c>
      <c r="B42" s="209">
        <f>SUM('5.Verdelingsmatrix lasten'!$C118:$R118)</f>
        <v>0</v>
      </c>
      <c r="C42" s="209">
        <f>SUM('5.Verdelingsmatrix lasten'!$S118,'5.Verdelingsmatrix lasten'!$AB118)</f>
        <v>0</v>
      </c>
      <c r="D42" s="209">
        <f>SUM('6.Verdelingsmatrix baten'!$C118:$R118)</f>
        <v>0</v>
      </c>
      <c r="E42" s="209">
        <f>SUM('6.Verdelingsmatrix baten'!$S118,'6.Verdelingsmatrix baten'!$AB118)</f>
        <v>0</v>
      </c>
      <c r="F42" s="232">
        <f t="shared" si="0"/>
        <v>0</v>
      </c>
      <c r="G42" s="228"/>
      <c r="H42" s="228"/>
      <c r="I42" s="229"/>
      <c r="J42" s="230"/>
      <c r="K42" s="230"/>
      <c r="L42" s="229"/>
      <c r="M42" s="231"/>
      <c r="N42" s="228"/>
      <c r="O42" s="230"/>
      <c r="P42" s="230"/>
      <c r="Q42" s="230"/>
      <c r="R42" s="230"/>
    </row>
    <row r="43" spans="1:27" ht="12.75" customHeight="1" x14ac:dyDescent="0.2">
      <c r="A43" s="226" t="s">
        <v>123</v>
      </c>
      <c r="B43" s="209">
        <f>SUM('5.Verdelingsmatrix lasten'!$C119:$R119)</f>
        <v>0</v>
      </c>
      <c r="C43" s="209">
        <f>SUM('5.Verdelingsmatrix lasten'!$S119,'5.Verdelingsmatrix lasten'!$AB119)</f>
        <v>0</v>
      </c>
      <c r="D43" s="209">
        <f>SUM('6.Verdelingsmatrix baten'!$C119:$R119)</f>
        <v>0</v>
      </c>
      <c r="E43" s="209">
        <f>SUM('6.Verdelingsmatrix baten'!$S119,'6.Verdelingsmatrix baten'!$AB119)</f>
        <v>0</v>
      </c>
      <c r="F43" s="232">
        <f t="shared" si="0"/>
        <v>0</v>
      </c>
      <c r="G43" s="228"/>
      <c r="H43" s="228"/>
      <c r="I43" s="229"/>
      <c r="J43" s="230"/>
      <c r="K43" s="230"/>
      <c r="L43" s="229"/>
      <c r="M43" s="231"/>
      <c r="N43" s="228"/>
      <c r="O43" s="233"/>
      <c r="P43" s="233"/>
      <c r="Q43" s="233"/>
      <c r="R43" s="233"/>
    </row>
    <row r="44" spans="1:27" ht="12.75" customHeight="1" x14ac:dyDescent="0.2">
      <c r="A44" s="226" t="s">
        <v>502</v>
      </c>
      <c r="B44" s="209">
        <f>SUM('5.Verdelingsmatrix lasten'!$C120:$R120)</f>
        <v>0</v>
      </c>
      <c r="C44" s="209">
        <f>SUM('5.Verdelingsmatrix lasten'!$S120,'5.Verdelingsmatrix lasten'!$AB120)</f>
        <v>0</v>
      </c>
      <c r="D44" s="209">
        <f>SUM('6.Verdelingsmatrix baten'!$C120:$R120)</f>
        <v>0</v>
      </c>
      <c r="E44" s="209">
        <f>SUM('6.Verdelingsmatrix baten'!$S120,'6.Verdelingsmatrix baten'!$AB120)</f>
        <v>0</v>
      </c>
      <c r="F44" s="232">
        <f t="shared" si="0"/>
        <v>0</v>
      </c>
      <c r="G44" s="228"/>
      <c r="H44" s="228"/>
      <c r="I44" s="229"/>
      <c r="J44" s="230"/>
      <c r="K44" s="230"/>
      <c r="L44" s="229"/>
      <c r="M44" s="231"/>
      <c r="N44" s="228"/>
      <c r="O44" s="234"/>
      <c r="P44" s="234"/>
      <c r="Q44" s="234"/>
      <c r="R44" s="234"/>
    </row>
    <row r="45" spans="1:27" ht="12.75" customHeight="1" x14ac:dyDescent="0.2">
      <c r="A45" s="226" t="s">
        <v>527</v>
      </c>
      <c r="B45" s="209">
        <f>SUM('5.Verdelingsmatrix lasten'!$C121:$R121)</f>
        <v>0</v>
      </c>
      <c r="C45" s="209">
        <f>SUM('5.Verdelingsmatrix lasten'!$S121,'5.Verdelingsmatrix lasten'!$AB121)</f>
        <v>0</v>
      </c>
      <c r="D45" s="209">
        <f>SUM('6.Verdelingsmatrix baten'!$C121:$R121)</f>
        <v>0</v>
      </c>
      <c r="E45" s="209">
        <f>SUM('6.Verdelingsmatrix baten'!$S121,'6.Verdelingsmatrix baten'!$AB121)</f>
        <v>0</v>
      </c>
      <c r="F45" s="232">
        <f t="shared" si="0"/>
        <v>0</v>
      </c>
      <c r="G45" s="228"/>
      <c r="H45" s="228"/>
      <c r="I45" s="229"/>
      <c r="J45" s="230"/>
      <c r="K45" s="230"/>
      <c r="L45" s="229"/>
      <c r="M45" s="231"/>
      <c r="N45" s="228"/>
      <c r="O45" s="234"/>
      <c r="P45" s="234"/>
      <c r="Q45" s="234"/>
      <c r="R45" s="234"/>
    </row>
    <row r="46" spans="1:27" ht="12.75" customHeight="1" x14ac:dyDescent="0.2">
      <c r="A46" s="226" t="s">
        <v>503</v>
      </c>
      <c r="B46" s="209">
        <f>SUM('5.Verdelingsmatrix lasten'!$C122:$R122)</f>
        <v>0</v>
      </c>
      <c r="C46" s="209">
        <f>SUM('5.Verdelingsmatrix lasten'!$S122,'5.Verdelingsmatrix lasten'!$AB122)</f>
        <v>0</v>
      </c>
      <c r="D46" s="209">
        <f>SUM('6.Verdelingsmatrix baten'!$C122:$R122)</f>
        <v>0</v>
      </c>
      <c r="E46" s="209">
        <f>SUM('6.Verdelingsmatrix baten'!$S122,'6.Verdelingsmatrix baten'!$AB122)</f>
        <v>0</v>
      </c>
      <c r="F46" s="232">
        <f t="shared" si="0"/>
        <v>0</v>
      </c>
      <c r="G46" s="228"/>
      <c r="H46" s="228"/>
      <c r="I46" s="229"/>
      <c r="J46" s="230"/>
      <c r="K46" s="230"/>
      <c r="L46" s="229"/>
      <c r="M46" s="231"/>
      <c r="N46" s="228"/>
      <c r="O46" s="197"/>
      <c r="P46" s="197"/>
    </row>
    <row r="47" spans="1:27" ht="12.75" customHeight="1" x14ac:dyDescent="0.2">
      <c r="A47" s="226" t="s">
        <v>504</v>
      </c>
      <c r="B47" s="209">
        <f>SUM('5.Verdelingsmatrix lasten'!$C123:$R123)</f>
        <v>0</v>
      </c>
      <c r="C47" s="209">
        <f>SUM('5.Verdelingsmatrix lasten'!$S123,'5.Verdelingsmatrix lasten'!$AB123)</f>
        <v>0</v>
      </c>
      <c r="D47" s="209">
        <f>SUM('6.Verdelingsmatrix baten'!$C123:$R123)</f>
        <v>0</v>
      </c>
      <c r="E47" s="209">
        <f>SUM('6.Verdelingsmatrix baten'!$S123,'6.Verdelingsmatrix baten'!$AB123)</f>
        <v>0</v>
      </c>
      <c r="F47" s="232">
        <f t="shared" si="0"/>
        <v>0</v>
      </c>
      <c r="G47" s="228"/>
      <c r="H47" s="228"/>
      <c r="I47" s="229"/>
      <c r="J47" s="230"/>
      <c r="K47" s="230"/>
      <c r="L47" s="229"/>
      <c r="M47" s="231"/>
      <c r="N47" s="228"/>
      <c r="O47" s="197"/>
      <c r="P47" s="197"/>
    </row>
    <row r="48" spans="1:27" ht="12.75" customHeight="1" x14ac:dyDescent="0.2">
      <c r="A48" s="226" t="s">
        <v>530</v>
      </c>
      <c r="B48" s="209">
        <f>SUM('5.Verdelingsmatrix lasten'!$C124:$R124)</f>
        <v>0</v>
      </c>
      <c r="C48" s="209">
        <f>SUM('5.Verdelingsmatrix lasten'!$S124,'5.Verdelingsmatrix lasten'!$AB124)</f>
        <v>0</v>
      </c>
      <c r="D48" s="209">
        <f>SUM('6.Verdelingsmatrix baten'!$C124:$R124)</f>
        <v>0</v>
      </c>
      <c r="E48" s="209">
        <f>SUM('6.Verdelingsmatrix baten'!$S124,'6.Verdelingsmatrix baten'!$AB124)</f>
        <v>0</v>
      </c>
      <c r="F48" s="232">
        <f t="shared" si="0"/>
        <v>0</v>
      </c>
      <c r="G48" s="228"/>
      <c r="H48" s="228"/>
      <c r="I48" s="229"/>
      <c r="J48" s="230"/>
      <c r="K48" s="230"/>
      <c r="L48" s="229"/>
      <c r="M48" s="231"/>
      <c r="N48" s="228"/>
      <c r="O48" s="197"/>
      <c r="P48" s="197"/>
    </row>
    <row r="49" spans="1:18" ht="12.75" customHeight="1" x14ac:dyDescent="0.2">
      <c r="A49" s="226" t="s">
        <v>140</v>
      </c>
      <c r="B49" s="209">
        <f>SUM('5.Verdelingsmatrix lasten'!$C134:$R134)</f>
        <v>0</v>
      </c>
      <c r="C49" s="209">
        <f>SUM('5.Verdelingsmatrix lasten'!$S134,'5.Verdelingsmatrix lasten'!$AB134)</f>
        <v>0</v>
      </c>
      <c r="D49" s="209">
        <f>SUM('6.Verdelingsmatrix baten'!$C134:$R134)</f>
        <v>0</v>
      </c>
      <c r="E49" s="209">
        <f>SUM('6.Verdelingsmatrix baten'!$S134,'6.Verdelingsmatrix baten'!$AB134)</f>
        <v>0</v>
      </c>
      <c r="F49" s="232">
        <f t="shared" si="0"/>
        <v>0</v>
      </c>
      <c r="G49" s="228"/>
      <c r="H49" s="228"/>
      <c r="I49" s="229"/>
      <c r="J49" s="230"/>
      <c r="K49" s="230"/>
      <c r="L49" s="229"/>
      <c r="M49" s="231"/>
      <c r="N49" s="228"/>
      <c r="O49" s="197"/>
      <c r="P49" s="197"/>
    </row>
    <row r="50" spans="1:18" ht="12.75" customHeight="1" x14ac:dyDescent="0.2">
      <c r="A50" s="226" t="s">
        <v>505</v>
      </c>
      <c r="B50" s="209">
        <f>SUM('5.Verdelingsmatrix lasten'!$C135:$R135)</f>
        <v>0</v>
      </c>
      <c r="C50" s="209">
        <f>SUM('5.Verdelingsmatrix lasten'!$S135,'5.Verdelingsmatrix lasten'!$AB135)</f>
        <v>0</v>
      </c>
      <c r="D50" s="209">
        <f>SUM('6.Verdelingsmatrix baten'!$C135:$R135)</f>
        <v>0</v>
      </c>
      <c r="E50" s="209">
        <f>SUM('6.Verdelingsmatrix baten'!$S135,'6.Verdelingsmatrix baten'!$AB135)</f>
        <v>0</v>
      </c>
      <c r="F50" s="232">
        <f t="shared" ref="F50:F62" si="1">ABS(B50+C50)+ABS(D50+E50)</f>
        <v>0</v>
      </c>
      <c r="G50" s="228"/>
      <c r="H50" s="228"/>
      <c r="I50" s="229"/>
      <c r="J50" s="230"/>
      <c r="K50" s="230"/>
      <c r="L50" s="229"/>
      <c r="M50" s="231"/>
      <c r="N50" s="228"/>
      <c r="O50" s="197"/>
      <c r="P50" s="197"/>
    </row>
    <row r="51" spans="1:18" ht="12.75" customHeight="1" x14ac:dyDescent="0.2">
      <c r="A51" s="226" t="s">
        <v>533</v>
      </c>
      <c r="B51" s="209">
        <f>SUM('5.Verdelingsmatrix lasten'!$C136:$R136)</f>
        <v>0</v>
      </c>
      <c r="C51" s="209">
        <f>SUM('5.Verdelingsmatrix lasten'!$S136,'5.Verdelingsmatrix lasten'!$AB136)</f>
        <v>0</v>
      </c>
      <c r="D51" s="209">
        <f>SUM('6.Verdelingsmatrix baten'!$C136:$R136)</f>
        <v>0</v>
      </c>
      <c r="E51" s="209">
        <f>SUM('6.Verdelingsmatrix baten'!$S136,'6.Verdelingsmatrix baten'!$AB136)</f>
        <v>0</v>
      </c>
      <c r="F51" s="232">
        <f t="shared" si="1"/>
        <v>0</v>
      </c>
      <c r="G51" s="228"/>
      <c r="H51" s="228"/>
      <c r="I51" s="229"/>
      <c r="J51" s="230"/>
      <c r="K51" s="230"/>
      <c r="L51" s="229"/>
      <c r="M51" s="231"/>
      <c r="N51" s="228"/>
      <c r="O51" s="197"/>
      <c r="P51" s="197"/>
    </row>
    <row r="52" spans="1:18" ht="12.75" customHeight="1" x14ac:dyDescent="0.2">
      <c r="A52" s="226" t="s">
        <v>507</v>
      </c>
      <c r="B52" s="209">
        <f>SUM('5.Verdelingsmatrix lasten'!$C137:$R137)</f>
        <v>0</v>
      </c>
      <c r="C52" s="209">
        <f>SUM('5.Verdelingsmatrix lasten'!$S137,'5.Verdelingsmatrix lasten'!$AB137)</f>
        <v>0</v>
      </c>
      <c r="D52" s="209">
        <f>SUM('6.Verdelingsmatrix baten'!$C137:$R137)</f>
        <v>0</v>
      </c>
      <c r="E52" s="209">
        <f>SUM('6.Verdelingsmatrix baten'!$S137,'6.Verdelingsmatrix baten'!$AB137)</f>
        <v>0</v>
      </c>
      <c r="F52" s="232">
        <f t="shared" si="1"/>
        <v>0</v>
      </c>
      <c r="G52" s="228"/>
      <c r="H52" s="228"/>
      <c r="I52" s="229"/>
      <c r="J52" s="230"/>
      <c r="K52" s="230"/>
      <c r="L52" s="229"/>
      <c r="M52" s="231"/>
      <c r="N52" s="228"/>
      <c r="O52" s="197"/>
      <c r="P52" s="197"/>
    </row>
    <row r="53" spans="1:18" ht="12.75" customHeight="1" x14ac:dyDescent="0.2">
      <c r="A53" s="226" t="s">
        <v>536</v>
      </c>
      <c r="B53" s="209">
        <f>SUM('5.Verdelingsmatrix lasten'!$C138:$R138)</f>
        <v>0</v>
      </c>
      <c r="C53" s="209">
        <f>SUM('5.Verdelingsmatrix lasten'!$S138,'5.Verdelingsmatrix lasten'!$AB138)</f>
        <v>0</v>
      </c>
      <c r="D53" s="209">
        <f>SUM('6.Verdelingsmatrix baten'!$C138:$R138)</f>
        <v>0</v>
      </c>
      <c r="E53" s="209">
        <f>SUM('6.Verdelingsmatrix baten'!$S138,'6.Verdelingsmatrix baten'!$AB138)</f>
        <v>0</v>
      </c>
      <c r="F53" s="232">
        <f t="shared" si="1"/>
        <v>0</v>
      </c>
      <c r="G53" s="228"/>
      <c r="H53" s="228"/>
      <c r="I53" s="229"/>
      <c r="J53" s="230"/>
      <c r="K53" s="230"/>
      <c r="L53" s="229"/>
      <c r="M53" s="231"/>
      <c r="N53" s="228"/>
      <c r="O53" s="197"/>
      <c r="P53" s="197"/>
    </row>
    <row r="54" spans="1:18" ht="12.75" customHeight="1" x14ac:dyDescent="0.2">
      <c r="A54" s="226" t="s">
        <v>142</v>
      </c>
      <c r="B54" s="209">
        <f>SUM('5.Verdelingsmatrix lasten'!$C139:$R139)</f>
        <v>0</v>
      </c>
      <c r="C54" s="209">
        <f>SUM('5.Verdelingsmatrix lasten'!$S139,'5.Verdelingsmatrix lasten'!$AB139)</f>
        <v>0</v>
      </c>
      <c r="D54" s="209">
        <f>SUM('6.Verdelingsmatrix baten'!$C139:$R139)</f>
        <v>0</v>
      </c>
      <c r="E54" s="209">
        <f>SUM('6.Verdelingsmatrix baten'!$S139,'6.Verdelingsmatrix baten'!$AB139)</f>
        <v>0</v>
      </c>
      <c r="F54" s="232">
        <f t="shared" si="1"/>
        <v>0</v>
      </c>
      <c r="G54" s="228"/>
      <c r="H54" s="228"/>
      <c r="I54" s="229"/>
      <c r="J54" s="230"/>
      <c r="K54" s="230"/>
      <c r="L54" s="229"/>
      <c r="M54" s="231"/>
      <c r="N54" s="228"/>
      <c r="O54" s="197"/>
      <c r="P54" s="197"/>
    </row>
    <row r="55" spans="1:18" ht="12.75" customHeight="1" x14ac:dyDescent="0.2">
      <c r="A55" s="226" t="s">
        <v>508</v>
      </c>
      <c r="B55" s="209">
        <f>SUM('5.Verdelingsmatrix lasten'!$C140:$R140)</f>
        <v>0</v>
      </c>
      <c r="C55" s="209">
        <f>SUM('5.Verdelingsmatrix lasten'!$S140,'5.Verdelingsmatrix lasten'!$AB140)</f>
        <v>0</v>
      </c>
      <c r="D55" s="209">
        <f>SUM('6.Verdelingsmatrix baten'!$C140:$R140)</f>
        <v>0</v>
      </c>
      <c r="E55" s="209">
        <f>SUM('6.Verdelingsmatrix baten'!$S140,'6.Verdelingsmatrix baten'!$AB140)</f>
        <v>0</v>
      </c>
      <c r="F55" s="232">
        <f t="shared" si="1"/>
        <v>0</v>
      </c>
      <c r="G55" s="228"/>
      <c r="H55" s="228"/>
      <c r="I55" s="229"/>
      <c r="J55" s="230"/>
      <c r="K55" s="230"/>
      <c r="L55" s="229"/>
      <c r="M55" s="231"/>
      <c r="N55" s="228"/>
      <c r="O55" s="235"/>
      <c r="P55" s="235"/>
      <c r="Q55" s="7"/>
      <c r="R55" s="7"/>
    </row>
    <row r="56" spans="1:18" ht="12.75" customHeight="1" x14ac:dyDescent="0.2">
      <c r="A56" s="226" t="s">
        <v>509</v>
      </c>
      <c r="B56" s="209">
        <f>SUM('5.Verdelingsmatrix lasten'!$C141:$R141)</f>
        <v>0</v>
      </c>
      <c r="C56" s="209">
        <f>SUM('5.Verdelingsmatrix lasten'!$S141,'5.Verdelingsmatrix lasten'!$AB141)</f>
        <v>0</v>
      </c>
      <c r="D56" s="209">
        <f>SUM('6.Verdelingsmatrix baten'!$C141:$R141)</f>
        <v>0</v>
      </c>
      <c r="E56" s="209">
        <f>SUM('6.Verdelingsmatrix baten'!$S141,'6.Verdelingsmatrix baten'!$AB141)</f>
        <v>0</v>
      </c>
      <c r="F56" s="232">
        <f t="shared" si="1"/>
        <v>0</v>
      </c>
      <c r="G56" s="228"/>
      <c r="H56" s="228"/>
      <c r="I56" s="229"/>
      <c r="J56" s="230"/>
      <c r="K56" s="230"/>
      <c r="L56" s="229"/>
      <c r="M56" s="231"/>
      <c r="N56" s="228"/>
      <c r="O56" s="235"/>
      <c r="P56" s="235"/>
      <c r="Q56" s="7"/>
      <c r="R56" s="7"/>
    </row>
    <row r="57" spans="1:18" ht="12.75" customHeight="1" x14ac:dyDescent="0.2">
      <c r="A57" s="226" t="s">
        <v>540</v>
      </c>
      <c r="B57" s="209">
        <f>SUM('5.Verdelingsmatrix lasten'!$C142:$R142)</f>
        <v>0</v>
      </c>
      <c r="C57" s="209">
        <f>SUM('5.Verdelingsmatrix lasten'!$S142,'5.Verdelingsmatrix lasten'!$AB142)</f>
        <v>0</v>
      </c>
      <c r="D57" s="209">
        <f>SUM('6.Verdelingsmatrix baten'!$C142:$R142)</f>
        <v>0</v>
      </c>
      <c r="E57" s="209">
        <f>SUM('6.Verdelingsmatrix baten'!$S142,'6.Verdelingsmatrix baten'!$AB142)</f>
        <v>0</v>
      </c>
      <c r="F57" s="232">
        <f t="shared" si="1"/>
        <v>0</v>
      </c>
      <c r="G57" s="228"/>
      <c r="H57" s="228"/>
      <c r="I57" s="229"/>
      <c r="J57" s="230"/>
      <c r="K57" s="230"/>
      <c r="L57" s="229"/>
      <c r="M57" s="231"/>
      <c r="N57" s="228"/>
      <c r="O57" s="235"/>
      <c r="P57" s="235"/>
      <c r="Q57" s="7"/>
      <c r="R57" s="7"/>
    </row>
    <row r="58" spans="1:18" ht="12.75" customHeight="1" x14ac:dyDescent="0.2">
      <c r="A58" s="226" t="s">
        <v>144</v>
      </c>
      <c r="B58" s="209">
        <f>SUM('5.Verdelingsmatrix lasten'!$C143:$R143)</f>
        <v>0</v>
      </c>
      <c r="C58" s="209">
        <f>SUM('5.Verdelingsmatrix lasten'!$S143,'5.Verdelingsmatrix lasten'!$AB143)</f>
        <v>0</v>
      </c>
      <c r="D58" s="209">
        <f>SUM('6.Verdelingsmatrix baten'!$C143:$R143)</f>
        <v>0</v>
      </c>
      <c r="E58" s="209">
        <f>SUM('6.Verdelingsmatrix baten'!$S143,'6.Verdelingsmatrix baten'!$AB143)</f>
        <v>0</v>
      </c>
      <c r="F58" s="232">
        <f t="shared" si="1"/>
        <v>0</v>
      </c>
      <c r="G58" s="228"/>
      <c r="H58" s="228"/>
      <c r="I58" s="229"/>
      <c r="J58" s="230"/>
      <c r="K58" s="230"/>
      <c r="L58" s="229"/>
      <c r="M58" s="231"/>
      <c r="N58" s="228"/>
      <c r="O58" s="197"/>
      <c r="P58" s="197"/>
    </row>
    <row r="59" spans="1:18" ht="12.75" customHeight="1" x14ac:dyDescent="0.2">
      <c r="A59" s="226" t="s">
        <v>543</v>
      </c>
      <c r="B59" s="209">
        <f>SUM('5.Verdelingsmatrix lasten'!$C144:$R144)</f>
        <v>0</v>
      </c>
      <c r="C59" s="209">
        <f>SUM('5.Verdelingsmatrix lasten'!$S144,'5.Verdelingsmatrix lasten'!$AB144)</f>
        <v>0</v>
      </c>
      <c r="D59" s="209">
        <f>SUM('6.Verdelingsmatrix baten'!$C144:$R144)</f>
        <v>0</v>
      </c>
      <c r="E59" s="209">
        <f>SUM('6.Verdelingsmatrix baten'!$S144,'6.Verdelingsmatrix baten'!$AB144)</f>
        <v>0</v>
      </c>
      <c r="F59" s="232">
        <f t="shared" si="1"/>
        <v>0</v>
      </c>
      <c r="G59" s="228"/>
      <c r="H59" s="228"/>
      <c r="I59" s="229"/>
      <c r="J59" s="230"/>
      <c r="K59" s="230"/>
      <c r="L59" s="229"/>
      <c r="M59" s="231"/>
      <c r="N59" s="228"/>
      <c r="O59" s="197"/>
      <c r="P59" s="197"/>
    </row>
    <row r="60" spans="1:18" ht="12.75" customHeight="1" x14ac:dyDescent="0.2">
      <c r="A60" s="226" t="s">
        <v>545</v>
      </c>
      <c r="B60" s="209">
        <f>SUM('5.Verdelingsmatrix lasten'!$C145:$R145)</f>
        <v>0</v>
      </c>
      <c r="C60" s="209">
        <f>SUM('5.Verdelingsmatrix lasten'!$S145,'5.Verdelingsmatrix lasten'!$AB145)</f>
        <v>0</v>
      </c>
      <c r="D60" s="209">
        <f>SUM('6.Verdelingsmatrix baten'!$C145:$R145)</f>
        <v>0</v>
      </c>
      <c r="E60" s="209">
        <f>SUM('6.Verdelingsmatrix baten'!$S145,'6.Verdelingsmatrix baten'!$AB145)</f>
        <v>0</v>
      </c>
      <c r="F60" s="232">
        <f t="shared" si="1"/>
        <v>0</v>
      </c>
      <c r="G60" s="228"/>
      <c r="H60" s="228"/>
      <c r="I60" s="229"/>
      <c r="J60" s="230"/>
      <c r="K60" s="230"/>
      <c r="L60" s="229"/>
      <c r="M60" s="231"/>
      <c r="N60" s="228"/>
      <c r="O60" s="197"/>
      <c r="P60" s="197"/>
    </row>
    <row r="61" spans="1:18" ht="12.75" customHeight="1" x14ac:dyDescent="0.2">
      <c r="A61" s="226" t="s">
        <v>547</v>
      </c>
      <c r="B61" s="209">
        <f>SUM('5.Verdelingsmatrix lasten'!$C146:$R146)</f>
        <v>0</v>
      </c>
      <c r="C61" s="209">
        <f>SUM('5.Verdelingsmatrix lasten'!$S146,'5.Verdelingsmatrix lasten'!$AB146)</f>
        <v>0</v>
      </c>
      <c r="D61" s="209">
        <f>SUM('6.Verdelingsmatrix baten'!$C146:$R146)</f>
        <v>0</v>
      </c>
      <c r="E61" s="209">
        <f>SUM('6.Verdelingsmatrix baten'!$S146,'6.Verdelingsmatrix baten'!$AB146)</f>
        <v>0</v>
      </c>
      <c r="F61" s="232">
        <f t="shared" si="1"/>
        <v>0</v>
      </c>
      <c r="G61" s="228"/>
      <c r="H61" s="228"/>
      <c r="I61" s="229"/>
      <c r="J61" s="230"/>
      <c r="K61" s="230"/>
      <c r="L61" s="229"/>
      <c r="M61" s="231"/>
      <c r="N61" s="228"/>
      <c r="O61" s="197"/>
      <c r="P61" s="197"/>
    </row>
    <row r="62" spans="1:18" ht="12.75" customHeight="1" x14ac:dyDescent="0.2">
      <c r="A62" s="226" t="s">
        <v>549</v>
      </c>
      <c r="B62" s="209">
        <f>SUM('5.Verdelingsmatrix lasten'!$C147:$R147)</f>
        <v>0</v>
      </c>
      <c r="C62" s="209">
        <f>SUM('5.Verdelingsmatrix lasten'!$S147,'5.Verdelingsmatrix lasten'!$AB147)</f>
        <v>0</v>
      </c>
      <c r="D62" s="209">
        <f>SUM('6.Verdelingsmatrix baten'!$C147:$R147)</f>
        <v>0</v>
      </c>
      <c r="E62" s="209">
        <f>SUM('6.Verdelingsmatrix baten'!$S147,'6.Verdelingsmatrix baten'!$AB147)</f>
        <v>0</v>
      </c>
      <c r="F62" s="232">
        <f t="shared" si="1"/>
        <v>0</v>
      </c>
      <c r="G62" s="228"/>
      <c r="H62" s="228"/>
      <c r="I62" s="229"/>
      <c r="J62" s="230"/>
      <c r="K62" s="230"/>
      <c r="L62" s="229"/>
      <c r="M62" s="231"/>
      <c r="N62" s="228"/>
      <c r="O62" s="197"/>
      <c r="P62" s="197"/>
    </row>
    <row r="63" spans="1:18" ht="12.75" customHeight="1" x14ac:dyDescent="0.2">
      <c r="A63" s="226" t="s">
        <v>155</v>
      </c>
      <c r="B63" s="209">
        <f>SUM('5.Verdelingsmatrix lasten'!$C155:$R155)</f>
        <v>0</v>
      </c>
      <c r="C63" s="209">
        <f>SUM('5.Verdelingsmatrix lasten'!$S155,'5.Verdelingsmatrix lasten'!$AB155)</f>
        <v>0</v>
      </c>
      <c r="D63" s="209">
        <f>SUM('6.Verdelingsmatrix baten'!$C155:$R155)</f>
        <v>0</v>
      </c>
      <c r="E63" s="209">
        <f>SUM('6.Verdelingsmatrix baten'!$S155,'6.Verdelingsmatrix baten'!$AB155)</f>
        <v>0</v>
      </c>
      <c r="F63" s="232">
        <f>ABS(B63+C63)+ABS(D63+E63)</f>
        <v>0</v>
      </c>
      <c r="G63" s="228"/>
      <c r="H63" s="228"/>
      <c r="I63" s="229"/>
      <c r="J63" s="230"/>
      <c r="K63" s="230"/>
      <c r="L63" s="229"/>
      <c r="M63" s="231"/>
      <c r="N63" s="228"/>
      <c r="O63" s="197"/>
      <c r="P63" s="197"/>
    </row>
    <row r="64" spans="1:18" ht="12.75" customHeight="1" x14ac:dyDescent="0.2">
      <c r="A64" s="226" t="s">
        <v>157</v>
      </c>
      <c r="B64" s="209">
        <f>SUM('5.Verdelingsmatrix lasten'!$C156:$R156)</f>
        <v>0</v>
      </c>
      <c r="C64" s="209">
        <f>SUM('5.Verdelingsmatrix lasten'!$S156,'5.Verdelingsmatrix lasten'!$AB156)</f>
        <v>0</v>
      </c>
      <c r="D64" s="209">
        <f>SUM('6.Verdelingsmatrix baten'!$C156:$R156)</f>
        <v>0</v>
      </c>
      <c r="E64" s="209">
        <f>SUM('6.Verdelingsmatrix baten'!$S156,'6.Verdelingsmatrix baten'!$AB156)</f>
        <v>0</v>
      </c>
      <c r="F64" s="232">
        <f t="shared" ref="F64:F71" si="2">ABS(B64+C64)+ABS(D64+E64)</f>
        <v>0</v>
      </c>
      <c r="G64" s="228"/>
      <c r="H64" s="228"/>
      <c r="I64" s="229"/>
      <c r="J64" s="230"/>
      <c r="K64" s="230"/>
      <c r="L64" s="229"/>
      <c r="M64" s="231"/>
      <c r="N64" s="228"/>
      <c r="O64" s="197"/>
      <c r="P64" s="197"/>
    </row>
    <row r="65" spans="1:18" ht="12.75" customHeight="1" x14ac:dyDescent="0.2">
      <c r="A65" s="226" t="s">
        <v>159</v>
      </c>
      <c r="B65" s="209">
        <f>SUM('5.Verdelingsmatrix lasten'!$C157:$R157)</f>
        <v>0</v>
      </c>
      <c r="C65" s="209">
        <f>SUM('5.Verdelingsmatrix lasten'!$S157,'5.Verdelingsmatrix lasten'!$AB157)</f>
        <v>0</v>
      </c>
      <c r="D65" s="209">
        <f>SUM('6.Verdelingsmatrix baten'!$C157:$R157)</f>
        <v>0</v>
      </c>
      <c r="E65" s="209">
        <f>SUM('6.Verdelingsmatrix baten'!$S157,'6.Verdelingsmatrix baten'!$AB157)</f>
        <v>0</v>
      </c>
      <c r="F65" s="232">
        <f t="shared" si="2"/>
        <v>0</v>
      </c>
      <c r="G65" s="228"/>
      <c r="H65" s="228"/>
      <c r="I65" s="229"/>
      <c r="J65" s="230"/>
      <c r="K65" s="230"/>
      <c r="L65" s="229"/>
      <c r="M65" s="231"/>
      <c r="N65" s="228"/>
      <c r="O65" s="197"/>
      <c r="P65" s="197"/>
    </row>
    <row r="66" spans="1:18" ht="12.75" customHeight="1" x14ac:dyDescent="0.2">
      <c r="A66" s="226" t="s">
        <v>161</v>
      </c>
      <c r="B66" s="209">
        <f>SUM('5.Verdelingsmatrix lasten'!$C158:$R158)</f>
        <v>0</v>
      </c>
      <c r="C66" s="209">
        <f>SUM('5.Verdelingsmatrix lasten'!$S158,'5.Verdelingsmatrix lasten'!$AB158)</f>
        <v>0</v>
      </c>
      <c r="D66" s="209">
        <f>SUM('6.Verdelingsmatrix baten'!$C158:$R158)</f>
        <v>0</v>
      </c>
      <c r="E66" s="209">
        <f>SUM('6.Verdelingsmatrix baten'!$S158,'6.Verdelingsmatrix baten'!$AB158)</f>
        <v>0</v>
      </c>
      <c r="F66" s="232">
        <f t="shared" si="2"/>
        <v>0</v>
      </c>
      <c r="G66" s="228"/>
      <c r="H66" s="228"/>
      <c r="I66" s="229"/>
      <c r="J66" s="230"/>
      <c r="K66" s="230"/>
      <c r="L66" s="229"/>
      <c r="M66" s="231"/>
      <c r="N66" s="228"/>
      <c r="O66" s="197"/>
      <c r="P66" s="197"/>
    </row>
    <row r="67" spans="1:18" ht="12.75" customHeight="1" x14ac:dyDescent="0.2">
      <c r="A67" s="226" t="s">
        <v>510</v>
      </c>
      <c r="B67" s="209">
        <f>SUM('5.Verdelingsmatrix lasten'!$C159:$R159)</f>
        <v>0</v>
      </c>
      <c r="C67" s="209">
        <f>SUM('5.Verdelingsmatrix lasten'!$S159,'5.Verdelingsmatrix lasten'!$AB159)</f>
        <v>0</v>
      </c>
      <c r="D67" s="209">
        <f>SUM('6.Verdelingsmatrix baten'!$C159:$R159)</f>
        <v>0</v>
      </c>
      <c r="E67" s="209">
        <f>SUM('6.Verdelingsmatrix baten'!$S159,'6.Verdelingsmatrix baten'!$AB159)</f>
        <v>0</v>
      </c>
      <c r="F67" s="232">
        <f t="shared" si="2"/>
        <v>0</v>
      </c>
      <c r="G67" s="228"/>
      <c r="H67" s="228"/>
      <c r="I67" s="229"/>
      <c r="J67" s="230"/>
      <c r="K67" s="230"/>
      <c r="L67" s="229"/>
      <c r="M67" s="231"/>
      <c r="N67" s="228"/>
      <c r="O67" s="197"/>
      <c r="P67" s="197"/>
    </row>
    <row r="68" spans="1:18" ht="12.75" customHeight="1" x14ac:dyDescent="0.2">
      <c r="A68" s="226" t="s">
        <v>553</v>
      </c>
      <c r="B68" s="209">
        <f>SUM('5.Verdelingsmatrix lasten'!$C160:$R160)</f>
        <v>0</v>
      </c>
      <c r="C68" s="209">
        <f>SUM('5.Verdelingsmatrix lasten'!$S160,'5.Verdelingsmatrix lasten'!$AB160)</f>
        <v>0</v>
      </c>
      <c r="D68" s="209">
        <f>SUM('6.Verdelingsmatrix baten'!$C160:$R160)</f>
        <v>0</v>
      </c>
      <c r="E68" s="209">
        <f>SUM('6.Verdelingsmatrix baten'!$S160,'6.Verdelingsmatrix baten'!$AB160)</f>
        <v>0</v>
      </c>
      <c r="F68" s="232">
        <f t="shared" si="2"/>
        <v>0</v>
      </c>
      <c r="G68" s="228"/>
      <c r="H68" s="228"/>
      <c r="I68" s="229"/>
      <c r="J68" s="230"/>
      <c r="K68" s="230"/>
      <c r="L68" s="229"/>
      <c r="M68" s="231"/>
      <c r="N68" s="228"/>
      <c r="O68" s="197"/>
      <c r="P68" s="197"/>
    </row>
    <row r="69" spans="1:18" ht="12.75" customHeight="1" x14ac:dyDescent="0.2">
      <c r="A69" s="226" t="s">
        <v>164</v>
      </c>
      <c r="B69" s="209">
        <f>SUM('5.Verdelingsmatrix lasten'!$C161:$R161)</f>
        <v>0</v>
      </c>
      <c r="C69" s="209">
        <f>SUM('5.Verdelingsmatrix lasten'!$S161,'5.Verdelingsmatrix lasten'!$AB161)</f>
        <v>0</v>
      </c>
      <c r="D69" s="209">
        <f>SUM('6.Verdelingsmatrix baten'!$C161:$R161)</f>
        <v>0</v>
      </c>
      <c r="E69" s="209">
        <f>SUM('6.Verdelingsmatrix baten'!$S161,'6.Verdelingsmatrix baten'!$AB161)</f>
        <v>0</v>
      </c>
      <c r="F69" s="232">
        <f t="shared" si="2"/>
        <v>0</v>
      </c>
      <c r="G69" s="228"/>
      <c r="H69" s="228"/>
      <c r="I69" s="229"/>
      <c r="J69" s="230"/>
      <c r="K69" s="230"/>
      <c r="L69" s="229"/>
      <c r="M69" s="231"/>
      <c r="N69" s="228"/>
      <c r="O69" s="197"/>
      <c r="P69" s="197"/>
    </row>
    <row r="70" spans="1:18" ht="12.75" customHeight="1" x14ac:dyDescent="0.2">
      <c r="A70" s="226" t="s">
        <v>165</v>
      </c>
      <c r="B70" s="209">
        <f>SUM('5.Verdelingsmatrix lasten'!$C162:$R162)</f>
        <v>0</v>
      </c>
      <c r="C70" s="209">
        <f>SUM('5.Verdelingsmatrix lasten'!$S162,'5.Verdelingsmatrix lasten'!$AB162)</f>
        <v>0</v>
      </c>
      <c r="D70" s="209">
        <f>SUM('6.Verdelingsmatrix baten'!$C162:$R162)</f>
        <v>0</v>
      </c>
      <c r="E70" s="209">
        <f>SUM('6.Verdelingsmatrix baten'!$S162,'6.Verdelingsmatrix baten'!$AB162)</f>
        <v>0</v>
      </c>
      <c r="F70" s="232">
        <f t="shared" si="2"/>
        <v>0</v>
      </c>
      <c r="G70" s="228"/>
      <c r="H70" s="228"/>
      <c r="I70" s="229"/>
      <c r="J70" s="230"/>
      <c r="K70" s="230"/>
      <c r="L70" s="229"/>
      <c r="M70" s="231"/>
      <c r="N70" s="228"/>
      <c r="O70" s="197"/>
      <c r="P70" s="197"/>
    </row>
    <row r="71" spans="1:18" ht="12.75" customHeight="1" x14ac:dyDescent="0.2">
      <c r="A71" s="226" t="s">
        <v>167</v>
      </c>
      <c r="B71" s="209">
        <f>SUM('5.Verdelingsmatrix lasten'!$C163:$R163)</f>
        <v>0</v>
      </c>
      <c r="C71" s="209">
        <f>SUM('5.Verdelingsmatrix lasten'!$S163,'5.Verdelingsmatrix lasten'!$AB163)</f>
        <v>0</v>
      </c>
      <c r="D71" s="209">
        <f>SUM('6.Verdelingsmatrix baten'!$C163:$R163)</f>
        <v>0</v>
      </c>
      <c r="E71" s="209">
        <f>SUM('6.Verdelingsmatrix baten'!$S163,'6.Verdelingsmatrix baten'!$AB163)</f>
        <v>0</v>
      </c>
      <c r="F71" s="232">
        <f t="shared" si="2"/>
        <v>0</v>
      </c>
      <c r="G71" s="228"/>
      <c r="H71" s="228"/>
      <c r="I71" s="229"/>
      <c r="J71" s="230"/>
      <c r="K71" s="230"/>
      <c r="L71" s="229"/>
      <c r="M71" s="231"/>
      <c r="N71" s="228"/>
      <c r="O71" s="197"/>
      <c r="P71" s="197"/>
    </row>
    <row r="72" spans="1:18" ht="12.75" customHeight="1" x14ac:dyDescent="0.2">
      <c r="A72" s="226" t="s">
        <v>511</v>
      </c>
      <c r="B72" s="209">
        <f>SUM('5.Verdelingsmatrix lasten'!$C167:$R167)</f>
        <v>0</v>
      </c>
      <c r="C72" s="209">
        <f>SUM('5.Verdelingsmatrix lasten'!$S167,'5.Verdelingsmatrix lasten'!$AB167)</f>
        <v>0</v>
      </c>
      <c r="D72" s="209">
        <f>SUM('6.Verdelingsmatrix baten'!$C167:$R167)</f>
        <v>0</v>
      </c>
      <c r="E72" s="209">
        <f>SUM('6.Verdelingsmatrix baten'!$S167,'6.Verdelingsmatrix baten'!$AB167)</f>
        <v>0</v>
      </c>
      <c r="F72" s="232">
        <f>ABS(B72+C72)+ABS(D72+E72)</f>
        <v>0</v>
      </c>
      <c r="G72" s="228"/>
      <c r="H72" s="228"/>
      <c r="I72" s="229"/>
      <c r="J72" s="230"/>
      <c r="K72" s="230"/>
      <c r="L72" s="229"/>
      <c r="M72" s="231"/>
      <c r="N72" s="228"/>
      <c r="O72" s="197"/>
      <c r="P72" s="197"/>
    </row>
    <row r="73" spans="1:18" ht="12.75" customHeight="1" x14ac:dyDescent="0.2">
      <c r="A73" s="226" t="s">
        <v>557</v>
      </c>
      <c r="B73" s="209">
        <f>SUM('5.Verdelingsmatrix lasten'!$C168:$R168)</f>
        <v>0</v>
      </c>
      <c r="C73" s="209">
        <f>SUM('5.Verdelingsmatrix lasten'!$S168,'5.Verdelingsmatrix lasten'!$AB168)</f>
        <v>0</v>
      </c>
      <c r="D73" s="209">
        <f>SUM('6.Verdelingsmatrix baten'!$C168:$R168)</f>
        <v>0</v>
      </c>
      <c r="E73" s="209">
        <f>SUM('6.Verdelingsmatrix baten'!$S168,'6.Verdelingsmatrix baten'!$AB168)</f>
        <v>0</v>
      </c>
      <c r="F73" s="232">
        <f t="shared" ref="F73:F79" si="3">ABS(B73+C73)+ABS(D73+E73)</f>
        <v>0</v>
      </c>
      <c r="G73" s="228"/>
      <c r="H73" s="228"/>
      <c r="I73" s="229"/>
      <c r="J73" s="230"/>
      <c r="K73" s="230"/>
      <c r="L73" s="229"/>
      <c r="M73" s="231"/>
      <c r="N73" s="228"/>
      <c r="O73" s="197"/>
      <c r="P73" s="197"/>
    </row>
    <row r="74" spans="1:18" ht="12.75" customHeight="1" x14ac:dyDescent="0.2">
      <c r="A74" s="226" t="s">
        <v>171</v>
      </c>
      <c r="B74" s="209">
        <f>SUM('5.Verdelingsmatrix lasten'!$C169:$R169)</f>
        <v>0</v>
      </c>
      <c r="C74" s="209">
        <f>SUM('5.Verdelingsmatrix lasten'!$S169,'5.Verdelingsmatrix lasten'!$AB169)</f>
        <v>0</v>
      </c>
      <c r="D74" s="209">
        <f>SUM('6.Verdelingsmatrix baten'!$C169:$R169)</f>
        <v>0</v>
      </c>
      <c r="E74" s="209">
        <f>SUM('6.Verdelingsmatrix baten'!$S169,'6.Verdelingsmatrix baten'!$AB169)</f>
        <v>0</v>
      </c>
      <c r="F74" s="232">
        <f t="shared" si="3"/>
        <v>0</v>
      </c>
      <c r="G74" s="228"/>
      <c r="H74" s="228"/>
      <c r="I74" s="229"/>
      <c r="J74" s="230"/>
      <c r="K74" s="230"/>
      <c r="L74" s="229"/>
      <c r="M74" s="231"/>
      <c r="N74" s="228"/>
      <c r="O74" s="197"/>
      <c r="P74" s="197"/>
    </row>
    <row r="75" spans="1:18" ht="12.75" customHeight="1" x14ac:dyDescent="0.2">
      <c r="A75" s="226" t="s">
        <v>172</v>
      </c>
      <c r="B75" s="209">
        <f>SUM('5.Verdelingsmatrix lasten'!$C170:$R170)</f>
        <v>0</v>
      </c>
      <c r="C75" s="209">
        <f>SUM('5.Verdelingsmatrix lasten'!$S170,'5.Verdelingsmatrix lasten'!$AB170)</f>
        <v>0</v>
      </c>
      <c r="D75" s="209">
        <f>SUM('6.Verdelingsmatrix baten'!$C170:$R170)</f>
        <v>0</v>
      </c>
      <c r="E75" s="209">
        <f>SUM('6.Verdelingsmatrix baten'!$S170,'6.Verdelingsmatrix baten'!$AB170)</f>
        <v>0</v>
      </c>
      <c r="F75" s="232">
        <f t="shared" si="3"/>
        <v>0</v>
      </c>
      <c r="G75" s="228"/>
      <c r="H75" s="228"/>
      <c r="I75" s="229"/>
      <c r="J75" s="230"/>
      <c r="K75" s="230"/>
      <c r="L75" s="229"/>
      <c r="M75" s="231"/>
      <c r="N75" s="228"/>
      <c r="O75" s="197"/>
      <c r="P75" s="197"/>
    </row>
    <row r="76" spans="1:18" ht="12.75" customHeight="1" thickBot="1" x14ac:dyDescent="0.25">
      <c r="A76" s="236" t="s">
        <v>559</v>
      </c>
      <c r="B76" s="209">
        <f>SUM('5.Verdelingsmatrix lasten'!$C171:$R171)</f>
        <v>0</v>
      </c>
      <c r="C76" s="209">
        <f>SUM('5.Verdelingsmatrix lasten'!$S171,'5.Verdelingsmatrix lasten'!$AB171)</f>
        <v>0</v>
      </c>
      <c r="D76" s="209">
        <f>SUM('6.Verdelingsmatrix baten'!$C171:$R171)</f>
        <v>0</v>
      </c>
      <c r="E76" s="209">
        <f>SUM('6.Verdelingsmatrix baten'!$S171,'6.Verdelingsmatrix baten'!$AB171)</f>
        <v>0</v>
      </c>
      <c r="F76" s="232">
        <f t="shared" si="3"/>
        <v>0</v>
      </c>
      <c r="G76" s="228"/>
      <c r="H76" s="228"/>
      <c r="I76" s="229"/>
      <c r="J76" s="230"/>
      <c r="K76" s="230"/>
      <c r="L76" s="229"/>
      <c r="M76" s="231"/>
      <c r="N76" s="228"/>
      <c r="O76" s="197"/>
      <c r="P76" s="197"/>
    </row>
    <row r="77" spans="1:18" ht="12.75" customHeight="1" thickBot="1" x14ac:dyDescent="0.25">
      <c r="A77" s="236" t="s">
        <v>561</v>
      </c>
      <c r="B77" s="209">
        <f>SUM('5.Verdelingsmatrix lasten'!$C172:$R172)</f>
        <v>0</v>
      </c>
      <c r="C77" s="209">
        <f>SUM('5.Verdelingsmatrix lasten'!$S172,'5.Verdelingsmatrix lasten'!$AB172)</f>
        <v>0</v>
      </c>
      <c r="D77" s="209">
        <f>SUM('6.Verdelingsmatrix baten'!$C172:$R172)</f>
        <v>0</v>
      </c>
      <c r="E77" s="209">
        <f>SUM('6.Verdelingsmatrix baten'!$S172,'6.Verdelingsmatrix baten'!$AB172)</f>
        <v>0</v>
      </c>
      <c r="F77" s="232">
        <f t="shared" si="3"/>
        <v>0</v>
      </c>
      <c r="G77" s="228"/>
      <c r="H77" s="228"/>
      <c r="I77" s="229"/>
      <c r="J77" s="230"/>
      <c r="K77" s="230"/>
      <c r="L77" s="229"/>
      <c r="M77" s="231"/>
      <c r="N77" s="228"/>
      <c r="O77" s="197"/>
      <c r="P77" s="197"/>
    </row>
    <row r="78" spans="1:18" ht="12.75" customHeight="1" thickBot="1" x14ac:dyDescent="0.25">
      <c r="A78" s="236" t="s">
        <v>563</v>
      </c>
      <c r="B78" s="209">
        <f>SUM('5.Verdelingsmatrix lasten'!$C173:$R173)</f>
        <v>0</v>
      </c>
      <c r="C78" s="209">
        <f>SUM('5.Verdelingsmatrix lasten'!$S173,'5.Verdelingsmatrix lasten'!$AB173)</f>
        <v>0</v>
      </c>
      <c r="D78" s="209">
        <f>SUM('6.Verdelingsmatrix baten'!$C173:$R173)</f>
        <v>0</v>
      </c>
      <c r="E78" s="209">
        <f>SUM('6.Verdelingsmatrix baten'!$S173,'6.Verdelingsmatrix baten'!$AB173)</f>
        <v>0</v>
      </c>
      <c r="F78" s="232">
        <f t="shared" si="3"/>
        <v>0</v>
      </c>
      <c r="G78" s="228"/>
      <c r="H78" s="228"/>
      <c r="I78" s="229"/>
      <c r="J78" s="230"/>
      <c r="K78" s="230"/>
      <c r="L78" s="229"/>
      <c r="M78" s="231"/>
      <c r="N78" s="228"/>
      <c r="O78" s="197"/>
      <c r="P78" s="197"/>
    </row>
    <row r="79" spans="1:18" ht="12.75" customHeight="1" thickBot="1" x14ac:dyDescent="0.25">
      <c r="A79" s="236" t="s">
        <v>565</v>
      </c>
      <c r="B79" s="237">
        <f>SUM('5.Verdelingsmatrix lasten'!$C174:$R174)</f>
        <v>0</v>
      </c>
      <c r="C79" s="237">
        <f>SUM('5.Verdelingsmatrix lasten'!$S174,'5.Verdelingsmatrix lasten'!$AB174)</f>
        <v>0</v>
      </c>
      <c r="D79" s="237">
        <f>SUM('6.Verdelingsmatrix baten'!$C174:$R174)</f>
        <v>0</v>
      </c>
      <c r="E79" s="237">
        <f>SUM('6.Verdelingsmatrix baten'!$S174,'6.Verdelingsmatrix baten'!$AB174)</f>
        <v>0</v>
      </c>
      <c r="F79" s="232">
        <f t="shared" si="3"/>
        <v>0</v>
      </c>
      <c r="G79" s="228"/>
      <c r="H79" s="228"/>
      <c r="I79" s="229"/>
      <c r="J79" s="230"/>
      <c r="K79" s="230"/>
      <c r="L79" s="229"/>
      <c r="M79" s="231"/>
      <c r="N79" s="228"/>
      <c r="O79" s="197"/>
      <c r="P79" s="197"/>
    </row>
    <row r="80" spans="1:18" ht="12.75" customHeight="1" x14ac:dyDescent="0.2">
      <c r="A80" s="238" t="s">
        <v>423</v>
      </c>
      <c r="B80" s="239"/>
      <c r="C80" s="239"/>
      <c r="D80" s="239"/>
      <c r="E80" s="239"/>
      <c r="F80" s="406">
        <f>SUM(F38:F79)</f>
        <v>0</v>
      </c>
      <c r="G80" s="240"/>
      <c r="H80" s="241"/>
      <c r="I80" s="242"/>
      <c r="J80" s="241"/>
      <c r="K80" s="241"/>
      <c r="L80" s="218"/>
      <c r="M80" s="231"/>
      <c r="N80" s="240"/>
      <c r="O80" s="235"/>
      <c r="P80" s="235"/>
      <c r="Q80" s="7"/>
      <c r="R80" s="7"/>
    </row>
    <row r="81" spans="1:18" ht="12.75" customHeight="1" x14ac:dyDescent="0.2">
      <c r="A81" s="243" t="s">
        <v>417</v>
      </c>
      <c r="B81" s="244">
        <f>+F80</f>
        <v>0</v>
      </c>
      <c r="C81" s="245"/>
      <c r="D81" s="245"/>
      <c r="E81" s="245"/>
      <c r="F81" s="245"/>
      <c r="G81" s="230"/>
      <c r="H81" s="220"/>
      <c r="I81" s="229"/>
      <c r="J81" s="220"/>
      <c r="K81" s="220"/>
      <c r="L81" s="246"/>
      <c r="M81" s="220"/>
      <c r="N81" s="220"/>
      <c r="O81" s="235"/>
      <c r="P81" s="235"/>
      <c r="Q81" s="7"/>
      <c r="R81" s="7"/>
    </row>
    <row r="82" spans="1:18" ht="12.75" customHeight="1" x14ac:dyDescent="0.2">
      <c r="A82" s="226" t="s">
        <v>424</v>
      </c>
      <c r="B82" s="247"/>
      <c r="C82" s="247"/>
      <c r="D82" s="247"/>
      <c r="E82" s="247"/>
      <c r="F82" s="247"/>
      <c r="G82" s="230"/>
      <c r="H82" s="228"/>
      <c r="I82" s="248"/>
      <c r="J82" s="220"/>
      <c r="K82" s="220"/>
      <c r="L82" s="246"/>
      <c r="M82" s="228"/>
      <c r="N82" s="228"/>
      <c r="O82" s="235"/>
      <c r="P82" s="235"/>
      <c r="Q82" s="7"/>
      <c r="R82" s="7"/>
    </row>
    <row r="83" spans="1:18" ht="21" customHeight="1" x14ac:dyDescent="0.2">
      <c r="A83" s="226" t="s">
        <v>425</v>
      </c>
      <c r="B83" s="249">
        <f>+B81/C24</f>
        <v>0</v>
      </c>
      <c r="C83" s="247"/>
      <c r="D83" s="247"/>
      <c r="E83" s="247"/>
      <c r="F83" s="247"/>
      <c r="G83" s="250"/>
      <c r="H83" s="228"/>
      <c r="I83" s="248"/>
      <c r="J83" s="220"/>
      <c r="K83" s="220"/>
      <c r="L83" s="246"/>
      <c r="M83" s="228"/>
      <c r="N83" s="228"/>
      <c r="O83" s="197"/>
      <c r="P83" s="197"/>
    </row>
    <row r="84" spans="1:18" s="11" customFormat="1" ht="13.5" customHeight="1" x14ac:dyDescent="0.2">
      <c r="A84" s="251" t="s">
        <v>419</v>
      </c>
      <c r="B84" s="252" t="str">
        <f>IF(B83="nvt","onvoldoende",IF(B83&lt;=0.01,"voldoende","onvoldoende"))</f>
        <v>voldoende</v>
      </c>
      <c r="C84" s="253"/>
      <c r="D84" s="253"/>
      <c r="E84" s="253"/>
      <c r="F84" s="253"/>
      <c r="G84" s="254"/>
      <c r="H84" s="220"/>
      <c r="I84" s="229"/>
      <c r="J84" s="220"/>
      <c r="K84" s="220"/>
      <c r="L84" s="220"/>
      <c r="M84" s="220"/>
      <c r="N84" s="228"/>
      <c r="O84" s="197"/>
      <c r="P84" s="197"/>
      <c r="Q84" s="6"/>
      <c r="R84" s="6"/>
    </row>
    <row r="85" spans="1:18" ht="12.75" customHeight="1" x14ac:dyDescent="0.2">
      <c r="F85" s="6"/>
      <c r="G85" s="197"/>
      <c r="H85" s="197"/>
      <c r="I85" s="197"/>
      <c r="J85" s="197"/>
      <c r="K85" s="197"/>
      <c r="L85" s="197"/>
      <c r="M85" s="197"/>
      <c r="N85" s="197"/>
      <c r="O85" s="197"/>
      <c r="P85" s="197"/>
    </row>
    <row r="86" spans="1:18" ht="12.75" customHeight="1" x14ac:dyDescent="0.2">
      <c r="F86" s="6"/>
      <c r="G86" s="197"/>
      <c r="H86" s="197"/>
      <c r="I86" s="197"/>
      <c r="J86" s="197"/>
      <c r="K86" s="197"/>
      <c r="L86" s="197"/>
      <c r="M86" s="197"/>
      <c r="N86" s="197"/>
      <c r="O86" s="197"/>
      <c r="P86" s="197"/>
    </row>
    <row r="87" spans="1:18" ht="12.75" customHeight="1" x14ac:dyDescent="0.2">
      <c r="A87" s="255" t="s">
        <v>426</v>
      </c>
      <c r="B87" s="256"/>
      <c r="C87" s="257"/>
      <c r="D87" s="258"/>
      <c r="E87" s="208"/>
      <c r="F87" s="208"/>
      <c r="G87" s="259"/>
      <c r="H87" s="208"/>
      <c r="I87" s="208"/>
      <c r="J87" s="197"/>
      <c r="K87" s="197"/>
      <c r="L87" s="197"/>
      <c r="M87" s="197"/>
      <c r="N87" s="197"/>
      <c r="O87" s="197"/>
      <c r="P87" s="197"/>
    </row>
    <row r="88" spans="1:18" ht="12.75" customHeight="1" x14ac:dyDescent="0.2">
      <c r="A88" s="222" t="s">
        <v>427</v>
      </c>
      <c r="B88" s="223" t="s">
        <v>428</v>
      </c>
      <c r="C88" s="223" t="s">
        <v>429</v>
      </c>
      <c r="D88" s="223" t="s">
        <v>430</v>
      </c>
      <c r="E88" s="223" t="s">
        <v>431</v>
      </c>
      <c r="F88" s="223" t="s">
        <v>432</v>
      </c>
      <c r="G88" s="223" t="s">
        <v>433</v>
      </c>
      <c r="H88" s="223" t="s">
        <v>434</v>
      </c>
      <c r="I88" s="224" t="s">
        <v>424</v>
      </c>
      <c r="J88" s="197"/>
      <c r="K88" s="197"/>
      <c r="L88" s="197"/>
      <c r="M88" s="197"/>
      <c r="N88" s="197"/>
      <c r="O88" s="197"/>
      <c r="P88" s="197"/>
    </row>
    <row r="89" spans="1:18" ht="12.75" customHeight="1" x14ac:dyDescent="0.2">
      <c r="A89" s="226" t="s">
        <v>113</v>
      </c>
      <c r="B89" s="207">
        <f>+'7.Balansstanden'!$F18</f>
        <v>2283.6302099999998</v>
      </c>
      <c r="C89" s="207">
        <f>+'7.Balansstanden'!$H18</f>
        <v>7918.6302100000003</v>
      </c>
      <c r="D89" s="260">
        <f t="shared" ref="D89:D123" si="4">+C89-B89</f>
        <v>5635</v>
      </c>
      <c r="E89" s="207">
        <f>+'5.Verdelingsmatrix lasten'!$AD114</f>
        <v>5635</v>
      </c>
      <c r="F89" s="260">
        <f>+'6.Verdelingsmatrix baten'!$AD114</f>
        <v>0</v>
      </c>
      <c r="G89" s="260">
        <f t="shared" ref="G89:G109" si="5">+E89-F89</f>
        <v>5635</v>
      </c>
      <c r="H89" s="261">
        <f t="shared" ref="H89:H100" si="6">ABS(+D89-G89)</f>
        <v>0</v>
      </c>
      <c r="I89" s="207">
        <f t="shared" ref="I89:I123" si="7">ABS(B89)+ABS(C89)</f>
        <v>10202.260420000001</v>
      </c>
      <c r="J89" s="197"/>
      <c r="K89" s="197"/>
      <c r="L89" s="197"/>
      <c r="M89" s="197"/>
      <c r="N89" s="197"/>
      <c r="O89" s="197"/>
      <c r="P89" s="197"/>
    </row>
    <row r="90" spans="1:18" ht="12.75" customHeight="1" x14ac:dyDescent="0.2">
      <c r="A90" s="226" t="s">
        <v>115</v>
      </c>
      <c r="B90" s="209">
        <f>+'7.Balansstanden'!$F19</f>
        <v>0</v>
      </c>
      <c r="C90" s="209">
        <f>+'7.Balansstanden'!$H19</f>
        <v>0</v>
      </c>
      <c r="D90" s="262">
        <f t="shared" si="4"/>
        <v>0</v>
      </c>
      <c r="E90" s="209">
        <f>+'5.Verdelingsmatrix lasten'!$AD115</f>
        <v>0</v>
      </c>
      <c r="F90" s="262">
        <f>+'6.Verdelingsmatrix baten'!$AD115</f>
        <v>0</v>
      </c>
      <c r="G90" s="262">
        <f t="shared" si="5"/>
        <v>0</v>
      </c>
      <c r="H90" s="263">
        <f t="shared" si="6"/>
        <v>0</v>
      </c>
      <c r="I90" s="209">
        <f t="shared" si="7"/>
        <v>0</v>
      </c>
      <c r="J90" s="197"/>
      <c r="K90" s="197"/>
      <c r="L90" s="197"/>
      <c r="M90" s="197"/>
      <c r="N90" s="197"/>
      <c r="O90" s="197"/>
      <c r="P90" s="197"/>
    </row>
    <row r="91" spans="1:18" ht="12.75" customHeight="1" x14ac:dyDescent="0.2">
      <c r="A91" s="226" t="s">
        <v>117</v>
      </c>
      <c r="B91" s="209">
        <f>+'7.Balansstanden'!$F20</f>
        <v>0</v>
      </c>
      <c r="C91" s="209">
        <f>+'7.Balansstanden'!$H20</f>
        <v>0</v>
      </c>
      <c r="D91" s="262">
        <f t="shared" si="4"/>
        <v>0</v>
      </c>
      <c r="E91" s="209">
        <f>+'5.Verdelingsmatrix lasten'!$AD116</f>
        <v>0</v>
      </c>
      <c r="F91" s="262">
        <f>+'6.Verdelingsmatrix baten'!$AD116</f>
        <v>0</v>
      </c>
      <c r="G91" s="262">
        <f t="shared" si="5"/>
        <v>0</v>
      </c>
      <c r="H91" s="263">
        <f t="shared" si="6"/>
        <v>0</v>
      </c>
      <c r="I91" s="209">
        <f t="shared" si="7"/>
        <v>0</v>
      </c>
      <c r="J91" s="197"/>
      <c r="K91" s="197"/>
      <c r="L91" s="197"/>
      <c r="M91" s="197"/>
      <c r="N91" s="197"/>
      <c r="O91" s="197"/>
      <c r="P91" s="197"/>
    </row>
    <row r="92" spans="1:18" ht="12.75" customHeight="1" x14ac:dyDescent="0.2">
      <c r="A92" s="226" t="s">
        <v>119</v>
      </c>
      <c r="B92" s="209">
        <f>+'7.Balansstanden'!$F21</f>
        <v>0</v>
      </c>
      <c r="C92" s="209">
        <f>+'7.Balansstanden'!$H21</f>
        <v>0</v>
      </c>
      <c r="D92" s="262">
        <f t="shared" si="4"/>
        <v>0</v>
      </c>
      <c r="E92" s="209">
        <f>+'5.Verdelingsmatrix lasten'!$AD117</f>
        <v>0</v>
      </c>
      <c r="F92" s="262">
        <f>+'6.Verdelingsmatrix baten'!$AD117</f>
        <v>0</v>
      </c>
      <c r="G92" s="262">
        <f t="shared" si="5"/>
        <v>0</v>
      </c>
      <c r="H92" s="263">
        <f t="shared" si="6"/>
        <v>0</v>
      </c>
      <c r="I92" s="209">
        <f t="shared" si="7"/>
        <v>0</v>
      </c>
      <c r="J92" s="197"/>
      <c r="K92" s="197"/>
      <c r="L92" s="197"/>
      <c r="M92" s="197"/>
      <c r="N92" s="197"/>
      <c r="O92" s="197"/>
      <c r="P92" s="197"/>
    </row>
    <row r="93" spans="1:18" ht="12.75" customHeight="1" x14ac:dyDescent="0.2">
      <c r="A93" s="226" t="s">
        <v>121</v>
      </c>
      <c r="B93" s="209">
        <f>+'7.Balansstanden'!$F22</f>
        <v>77668.119959999996</v>
      </c>
      <c r="C93" s="209">
        <f>+'7.Balansstanden'!$H22</f>
        <v>127668.11996</v>
      </c>
      <c r="D93" s="262">
        <f t="shared" si="4"/>
        <v>50000</v>
      </c>
      <c r="E93" s="209">
        <f>+'5.Verdelingsmatrix lasten'!$AD118</f>
        <v>50000</v>
      </c>
      <c r="F93" s="262">
        <f>+'6.Verdelingsmatrix baten'!$AD118</f>
        <v>0</v>
      </c>
      <c r="G93" s="262">
        <f t="shared" si="5"/>
        <v>50000</v>
      </c>
      <c r="H93" s="263">
        <f t="shared" si="6"/>
        <v>0</v>
      </c>
      <c r="I93" s="209">
        <f t="shared" si="7"/>
        <v>205336.23991999999</v>
      </c>
      <c r="J93" s="197"/>
      <c r="K93" s="197"/>
      <c r="L93" s="197"/>
      <c r="M93" s="197"/>
      <c r="N93" s="197"/>
      <c r="O93" s="197"/>
      <c r="P93" s="197"/>
    </row>
    <row r="94" spans="1:18" ht="12.75" customHeight="1" x14ac:dyDescent="0.2">
      <c r="A94" s="226" t="s">
        <v>123</v>
      </c>
      <c r="B94" s="209">
        <f>+'7.Balansstanden'!$F23</f>
        <v>0</v>
      </c>
      <c r="C94" s="209">
        <f>+'7.Balansstanden'!$H23</f>
        <v>0</v>
      </c>
      <c r="D94" s="262">
        <f t="shared" si="4"/>
        <v>0</v>
      </c>
      <c r="E94" s="209">
        <f>+'5.Verdelingsmatrix lasten'!$AD119</f>
        <v>0</v>
      </c>
      <c r="F94" s="262">
        <f>+'6.Verdelingsmatrix baten'!$AD119</f>
        <v>0</v>
      </c>
      <c r="G94" s="262">
        <f t="shared" si="5"/>
        <v>0</v>
      </c>
      <c r="H94" s="263">
        <f t="shared" si="6"/>
        <v>0</v>
      </c>
      <c r="I94" s="209">
        <f t="shared" si="7"/>
        <v>0</v>
      </c>
      <c r="J94" s="197"/>
      <c r="K94" s="197"/>
      <c r="L94" s="197"/>
      <c r="M94" s="197"/>
      <c r="N94" s="197"/>
      <c r="O94" s="197"/>
      <c r="P94" s="197"/>
    </row>
    <row r="95" spans="1:18" ht="12.75" customHeight="1" x14ac:dyDescent="0.2">
      <c r="A95" s="226" t="s">
        <v>502</v>
      </c>
      <c r="B95" s="209">
        <f>+'7.Balansstanden'!$F24</f>
        <v>269500</v>
      </c>
      <c r="C95" s="209">
        <f>+'7.Balansstanden'!$H24</f>
        <v>255000</v>
      </c>
      <c r="D95" s="262">
        <f t="shared" si="4"/>
        <v>-14500</v>
      </c>
      <c r="E95" s="209">
        <f>+'5.Verdelingsmatrix lasten'!$AD120</f>
        <v>35000</v>
      </c>
      <c r="F95" s="262">
        <f>+'6.Verdelingsmatrix baten'!$AD120</f>
        <v>49500</v>
      </c>
      <c r="G95" s="262">
        <f t="shared" si="5"/>
        <v>-14500</v>
      </c>
      <c r="H95" s="263">
        <f t="shared" si="6"/>
        <v>0</v>
      </c>
      <c r="I95" s="209">
        <f t="shared" si="7"/>
        <v>524500</v>
      </c>
      <c r="J95" s="197"/>
      <c r="K95" s="197"/>
      <c r="L95" s="197"/>
      <c r="M95" s="197"/>
      <c r="N95" s="197"/>
      <c r="O95" s="197"/>
      <c r="P95" s="197"/>
    </row>
    <row r="96" spans="1:18" ht="12.75" customHeight="1" x14ac:dyDescent="0.2">
      <c r="A96" s="226" t="s">
        <v>527</v>
      </c>
      <c r="B96" s="209">
        <f>+'7.Balansstanden'!$F25</f>
        <v>7914.5077599999995</v>
      </c>
      <c r="C96" s="209">
        <f>+'7.Balansstanden'!$H25</f>
        <v>67588.093330000003</v>
      </c>
      <c r="D96" s="262">
        <f t="shared" si="4"/>
        <v>59673.585570000003</v>
      </c>
      <c r="E96" s="209">
        <f>+'5.Verdelingsmatrix lasten'!$AD121</f>
        <v>60764.802000000003</v>
      </c>
      <c r="F96" s="262">
        <f>+'6.Verdelingsmatrix baten'!$AD121</f>
        <v>1091.2164299999999</v>
      </c>
      <c r="G96" s="262">
        <f t="shared" si="5"/>
        <v>59673.585570000003</v>
      </c>
      <c r="H96" s="263">
        <f t="shared" si="6"/>
        <v>0</v>
      </c>
      <c r="I96" s="209">
        <f t="shared" si="7"/>
        <v>75502.601089999996</v>
      </c>
      <c r="J96" s="197"/>
      <c r="K96" s="197"/>
      <c r="L96" s="197"/>
      <c r="M96" s="197"/>
      <c r="N96" s="197"/>
      <c r="O96" s="197"/>
      <c r="P96" s="197"/>
    </row>
    <row r="97" spans="1:16" ht="12.75" customHeight="1" x14ac:dyDescent="0.2">
      <c r="A97" s="226" t="s">
        <v>503</v>
      </c>
      <c r="B97" s="209">
        <f>+'7.Balansstanden'!$F26</f>
        <v>25000</v>
      </c>
      <c r="C97" s="209">
        <f>+'7.Balansstanden'!$H26</f>
        <v>25000</v>
      </c>
      <c r="D97" s="262">
        <f t="shared" si="4"/>
        <v>0</v>
      </c>
      <c r="E97" s="209">
        <f>+'5.Verdelingsmatrix lasten'!$AD122</f>
        <v>0</v>
      </c>
      <c r="F97" s="262">
        <f>+'6.Verdelingsmatrix baten'!$AD122</f>
        <v>0</v>
      </c>
      <c r="G97" s="262">
        <f t="shared" si="5"/>
        <v>0</v>
      </c>
      <c r="H97" s="263">
        <f t="shared" si="6"/>
        <v>0</v>
      </c>
      <c r="I97" s="209">
        <f t="shared" si="7"/>
        <v>50000</v>
      </c>
      <c r="J97" s="197"/>
      <c r="K97" s="197"/>
      <c r="L97" s="197"/>
      <c r="M97" s="197"/>
      <c r="N97" s="197"/>
      <c r="O97" s="197"/>
      <c r="P97" s="197"/>
    </row>
    <row r="98" spans="1:16" ht="12.75" customHeight="1" x14ac:dyDescent="0.2">
      <c r="A98" s="226" t="s">
        <v>504</v>
      </c>
      <c r="B98" s="209">
        <f>+'7.Balansstanden'!$F27</f>
        <v>0</v>
      </c>
      <c r="C98" s="209">
        <f>+'7.Balansstanden'!$H27</f>
        <v>0</v>
      </c>
      <c r="D98" s="262">
        <f t="shared" si="4"/>
        <v>0</v>
      </c>
      <c r="E98" s="209">
        <f>+'5.Verdelingsmatrix lasten'!$AD123</f>
        <v>0</v>
      </c>
      <c r="F98" s="262">
        <f>+'6.Verdelingsmatrix baten'!$AD123</f>
        <v>0</v>
      </c>
      <c r="G98" s="262">
        <f t="shared" si="5"/>
        <v>0</v>
      </c>
      <c r="H98" s="263">
        <f t="shared" si="6"/>
        <v>0</v>
      </c>
      <c r="I98" s="209">
        <f t="shared" si="7"/>
        <v>0</v>
      </c>
      <c r="J98" s="197"/>
      <c r="K98" s="197"/>
      <c r="L98" s="197"/>
      <c r="M98" s="197"/>
      <c r="N98" s="197"/>
      <c r="O98" s="197"/>
      <c r="P98" s="197"/>
    </row>
    <row r="99" spans="1:16" ht="12.75" customHeight="1" x14ac:dyDescent="0.2">
      <c r="A99" s="226" t="s">
        <v>530</v>
      </c>
      <c r="B99" s="209">
        <f>+'7.Balansstanden'!$F28</f>
        <v>106512.12544</v>
      </c>
      <c r="C99" s="209">
        <f>+'7.Balansstanden'!$H28</f>
        <v>107005.77378</v>
      </c>
      <c r="D99" s="262">
        <f t="shared" si="4"/>
        <v>493.64833999999973</v>
      </c>
      <c r="E99" s="209">
        <f>+'5.Verdelingsmatrix lasten'!$AD124</f>
        <v>493.64834000000002</v>
      </c>
      <c r="F99" s="262">
        <f>+'6.Verdelingsmatrix baten'!$AD124</f>
        <v>0</v>
      </c>
      <c r="G99" s="262">
        <f t="shared" si="5"/>
        <v>493.64834000000002</v>
      </c>
      <c r="H99" s="263">
        <f t="shared" si="6"/>
        <v>2.8421709430404007E-13</v>
      </c>
      <c r="I99" s="209">
        <f t="shared" si="7"/>
        <v>213517.89922000002</v>
      </c>
      <c r="J99" s="197"/>
      <c r="K99" s="197"/>
      <c r="L99" s="197"/>
      <c r="M99" s="197"/>
      <c r="N99" s="197"/>
      <c r="O99" s="197"/>
      <c r="P99" s="197"/>
    </row>
    <row r="100" spans="1:16" ht="12.75" customHeight="1" x14ac:dyDescent="0.2">
      <c r="A100" s="226" t="s">
        <v>140</v>
      </c>
      <c r="B100" s="209">
        <f>+'7.Balansstanden'!$F38</f>
        <v>49339.176020000006</v>
      </c>
      <c r="C100" s="209">
        <f>+'7.Balansstanden'!$H38</f>
        <v>51051.100189999997</v>
      </c>
      <c r="D100" s="262">
        <f t="shared" si="4"/>
        <v>1711.9241699999911</v>
      </c>
      <c r="E100" s="209">
        <f>+'5.Verdelingsmatrix lasten'!$AD134</f>
        <v>52482.52061</v>
      </c>
      <c r="F100" s="262">
        <f>+'6.Verdelingsmatrix baten'!$AD134</f>
        <v>50770.596440000001</v>
      </c>
      <c r="G100" s="262">
        <f t="shared" si="5"/>
        <v>1711.9241699999984</v>
      </c>
      <c r="H100" s="263">
        <f t="shared" si="6"/>
        <v>7.2759576141834259E-12</v>
      </c>
      <c r="I100" s="209">
        <f t="shared" si="7"/>
        <v>100390.27621000001</v>
      </c>
      <c r="J100" s="197"/>
      <c r="K100" s="197"/>
      <c r="L100" s="197"/>
      <c r="M100" s="197"/>
      <c r="N100" s="197"/>
      <c r="O100" s="197"/>
      <c r="P100" s="197"/>
    </row>
    <row r="101" spans="1:16" ht="12.75" customHeight="1" x14ac:dyDescent="0.2">
      <c r="A101" s="226" t="s">
        <v>505</v>
      </c>
      <c r="B101" s="209">
        <f>+'7.Balansstanden'!$F39</f>
        <v>164300</v>
      </c>
      <c r="C101" s="209">
        <f>+'7.Balansstanden'!$H39</f>
        <v>20000</v>
      </c>
      <c r="D101" s="262">
        <f t="shared" si="4"/>
        <v>-144300</v>
      </c>
      <c r="E101" s="209">
        <f>+'5.Verdelingsmatrix lasten'!$AD135</f>
        <v>20000</v>
      </c>
      <c r="F101" s="262">
        <f>+'6.Verdelingsmatrix baten'!$AD135</f>
        <v>164300</v>
      </c>
      <c r="G101" s="262">
        <f t="shared" ref="G101:G108" si="8">+E101-F101</f>
        <v>-144300</v>
      </c>
      <c r="H101" s="263">
        <f t="shared" ref="H101:H108" si="9">ABS(+D101-G101)</f>
        <v>0</v>
      </c>
      <c r="I101" s="209">
        <f t="shared" si="7"/>
        <v>184300</v>
      </c>
      <c r="J101" s="197"/>
      <c r="K101" s="197"/>
      <c r="L101" s="197"/>
      <c r="M101" s="197"/>
      <c r="N101" s="197"/>
      <c r="O101" s="197"/>
      <c r="P101" s="197"/>
    </row>
    <row r="102" spans="1:16" ht="12.75" customHeight="1" x14ac:dyDescent="0.2">
      <c r="A102" s="226" t="s">
        <v>533</v>
      </c>
      <c r="B102" s="209">
        <f>+'7.Balansstanden'!$F40</f>
        <v>16000</v>
      </c>
      <c r="C102" s="209">
        <f>+'7.Balansstanden'!$H40</f>
        <v>16000</v>
      </c>
      <c r="D102" s="262">
        <f t="shared" si="4"/>
        <v>0</v>
      </c>
      <c r="E102" s="209">
        <f>+'5.Verdelingsmatrix lasten'!$AD136</f>
        <v>64000</v>
      </c>
      <c r="F102" s="262">
        <f>+'6.Verdelingsmatrix baten'!$AD136</f>
        <v>64000</v>
      </c>
      <c r="G102" s="262">
        <f t="shared" si="8"/>
        <v>0</v>
      </c>
      <c r="H102" s="263">
        <f t="shared" si="9"/>
        <v>0</v>
      </c>
      <c r="I102" s="209">
        <f t="shared" si="7"/>
        <v>32000</v>
      </c>
      <c r="J102" s="197"/>
      <c r="K102" s="197"/>
      <c r="L102" s="197"/>
      <c r="M102" s="197"/>
      <c r="N102" s="197"/>
      <c r="O102" s="197"/>
      <c r="P102" s="197"/>
    </row>
    <row r="103" spans="1:16" ht="12.75" customHeight="1" x14ac:dyDescent="0.2">
      <c r="A103" s="226" t="s">
        <v>507</v>
      </c>
      <c r="B103" s="209">
        <f>+'7.Balansstanden'!$F41</f>
        <v>515564.09445999999</v>
      </c>
      <c r="C103" s="209">
        <f>+'7.Balansstanden'!$H41</f>
        <v>565521.24213000003</v>
      </c>
      <c r="D103" s="262">
        <f t="shared" si="4"/>
        <v>49957.147670000035</v>
      </c>
      <c r="E103" s="209">
        <f>+'5.Verdelingsmatrix lasten'!$AD137</f>
        <v>0</v>
      </c>
      <c r="F103" s="262">
        <f>+'6.Verdelingsmatrix baten'!$AD137</f>
        <v>-49957.147669999998</v>
      </c>
      <c r="G103" s="262">
        <f t="shared" si="8"/>
        <v>49957.147669999998</v>
      </c>
      <c r="H103" s="263">
        <f t="shared" si="9"/>
        <v>3.637978807091713E-11</v>
      </c>
      <c r="I103" s="209">
        <f t="shared" si="7"/>
        <v>1081085.33659</v>
      </c>
      <c r="J103" s="197"/>
      <c r="K103" s="197"/>
      <c r="L103" s="197"/>
      <c r="M103" s="197"/>
      <c r="N103" s="197"/>
      <c r="O103" s="197"/>
      <c r="P103" s="197"/>
    </row>
    <row r="104" spans="1:16" ht="12.75" customHeight="1" x14ac:dyDescent="0.2">
      <c r="A104" s="226" t="s">
        <v>536</v>
      </c>
      <c r="B104" s="209">
        <f>+'7.Balansstanden'!$F42</f>
        <v>0</v>
      </c>
      <c r="C104" s="209">
        <f>+'7.Balansstanden'!$H42</f>
        <v>0</v>
      </c>
      <c r="D104" s="262">
        <f t="shared" si="4"/>
        <v>0</v>
      </c>
      <c r="E104" s="209">
        <f>+'5.Verdelingsmatrix lasten'!$AD138</f>
        <v>0</v>
      </c>
      <c r="F104" s="262">
        <f>+'6.Verdelingsmatrix baten'!$AD138</f>
        <v>0</v>
      </c>
      <c r="G104" s="262">
        <f t="shared" si="8"/>
        <v>0</v>
      </c>
      <c r="H104" s="263">
        <f t="shared" si="9"/>
        <v>0</v>
      </c>
      <c r="I104" s="209">
        <f t="shared" si="7"/>
        <v>0</v>
      </c>
      <c r="J104" s="197"/>
      <c r="K104" s="197"/>
      <c r="L104" s="197"/>
      <c r="M104" s="197"/>
      <c r="N104" s="197"/>
      <c r="O104" s="197"/>
      <c r="P104" s="197"/>
    </row>
    <row r="105" spans="1:16" ht="12.75" customHeight="1" x14ac:dyDescent="0.2">
      <c r="A105" s="226" t="s">
        <v>142</v>
      </c>
      <c r="B105" s="209">
        <f>+'7.Balansstanden'!$F43</f>
        <v>6302.9884299999994</v>
      </c>
      <c r="C105" s="209">
        <f>+'7.Balansstanden'!$H43</f>
        <v>5304.9979800000001</v>
      </c>
      <c r="D105" s="262">
        <f t="shared" si="4"/>
        <v>-997.99044999999933</v>
      </c>
      <c r="E105" s="209">
        <f>+'5.Verdelingsmatrix lasten'!$AD139</f>
        <v>1901.55142</v>
      </c>
      <c r="F105" s="262">
        <f>+'6.Verdelingsmatrix baten'!$AD139</f>
        <v>2899.54187</v>
      </c>
      <c r="G105" s="262">
        <f t="shared" si="8"/>
        <v>-997.99045000000001</v>
      </c>
      <c r="H105" s="263">
        <f t="shared" si="9"/>
        <v>6.8212102632969618E-13</v>
      </c>
      <c r="I105" s="209">
        <f t="shared" si="7"/>
        <v>11607.98641</v>
      </c>
      <c r="J105" s="197"/>
      <c r="K105" s="197"/>
      <c r="L105" s="197"/>
      <c r="M105" s="197"/>
      <c r="N105" s="197"/>
      <c r="O105" s="197"/>
      <c r="P105" s="197"/>
    </row>
    <row r="106" spans="1:16" ht="12.75" customHeight="1" x14ac:dyDescent="0.2">
      <c r="A106" s="226" t="s">
        <v>508</v>
      </c>
      <c r="B106" s="209">
        <f>+'7.Balansstanden'!$F44</f>
        <v>0</v>
      </c>
      <c r="C106" s="209">
        <f>+'7.Balansstanden'!$H44</f>
        <v>0</v>
      </c>
      <c r="D106" s="262">
        <f t="shared" si="4"/>
        <v>0</v>
      </c>
      <c r="E106" s="209">
        <f>+'5.Verdelingsmatrix lasten'!$AD140</f>
        <v>0</v>
      </c>
      <c r="F106" s="262">
        <f>+'6.Verdelingsmatrix baten'!$AD140</f>
        <v>0</v>
      </c>
      <c r="G106" s="262">
        <f t="shared" si="8"/>
        <v>0</v>
      </c>
      <c r="H106" s="263">
        <f t="shared" si="9"/>
        <v>0</v>
      </c>
      <c r="I106" s="209">
        <f t="shared" si="7"/>
        <v>0</v>
      </c>
      <c r="J106" s="197"/>
      <c r="K106" s="197"/>
      <c r="L106" s="197"/>
      <c r="M106" s="197"/>
      <c r="N106" s="197"/>
      <c r="O106" s="197"/>
      <c r="P106" s="197"/>
    </row>
    <row r="107" spans="1:16" ht="12.75" customHeight="1" x14ac:dyDescent="0.2">
      <c r="A107" s="226" t="s">
        <v>509</v>
      </c>
      <c r="B107" s="209">
        <f>+'7.Balansstanden'!$F45</f>
        <v>0</v>
      </c>
      <c r="C107" s="209">
        <f>+'7.Balansstanden'!$H45</f>
        <v>0</v>
      </c>
      <c r="D107" s="262">
        <f t="shared" si="4"/>
        <v>0</v>
      </c>
      <c r="E107" s="209">
        <f>+'5.Verdelingsmatrix lasten'!$AD141</f>
        <v>0</v>
      </c>
      <c r="F107" s="262">
        <f>+'6.Verdelingsmatrix baten'!$AD141</f>
        <v>0</v>
      </c>
      <c r="G107" s="262">
        <f t="shared" si="8"/>
        <v>0</v>
      </c>
      <c r="H107" s="263">
        <f t="shared" si="9"/>
        <v>0</v>
      </c>
      <c r="I107" s="209">
        <f t="shared" si="7"/>
        <v>0</v>
      </c>
      <c r="J107" s="197"/>
      <c r="K107" s="197"/>
      <c r="L107" s="197"/>
      <c r="M107" s="197"/>
      <c r="N107" s="197"/>
      <c r="O107" s="197"/>
      <c r="P107" s="197"/>
    </row>
    <row r="108" spans="1:16" ht="12.75" customHeight="1" x14ac:dyDescent="0.2">
      <c r="A108" s="226" t="s">
        <v>540</v>
      </c>
      <c r="B108" s="209">
        <f>+'7.Balansstanden'!$F46</f>
        <v>0</v>
      </c>
      <c r="C108" s="209">
        <f>+'7.Balansstanden'!$H46</f>
        <v>0</v>
      </c>
      <c r="D108" s="262">
        <f t="shared" si="4"/>
        <v>0</v>
      </c>
      <c r="E108" s="209">
        <f>+'5.Verdelingsmatrix lasten'!$AD142</f>
        <v>0</v>
      </c>
      <c r="F108" s="262">
        <f>+'6.Verdelingsmatrix baten'!$AD142</f>
        <v>0</v>
      </c>
      <c r="G108" s="262">
        <f t="shared" si="8"/>
        <v>0</v>
      </c>
      <c r="H108" s="263">
        <f t="shared" si="9"/>
        <v>0</v>
      </c>
      <c r="I108" s="209">
        <f t="shared" si="7"/>
        <v>0</v>
      </c>
      <c r="J108" s="197"/>
      <c r="K108" s="197"/>
      <c r="L108" s="197"/>
      <c r="M108" s="197"/>
      <c r="N108" s="197"/>
      <c r="O108" s="197"/>
      <c r="P108" s="197"/>
    </row>
    <row r="109" spans="1:16" ht="12.75" customHeight="1" x14ac:dyDescent="0.2">
      <c r="A109" s="226" t="s">
        <v>144</v>
      </c>
      <c r="B109" s="209">
        <f>+'7.Balansstanden'!$F48</f>
        <v>394.66975000000002</v>
      </c>
      <c r="C109" s="209">
        <f>+'7.Balansstanden'!$H48</f>
        <v>263.15690000000001</v>
      </c>
      <c r="D109" s="262">
        <f t="shared" si="4"/>
        <v>-131.51285000000001</v>
      </c>
      <c r="E109" s="209">
        <f>+'5.Verdelingsmatrix lasten'!$AD143</f>
        <v>70.876390000000001</v>
      </c>
      <c r="F109" s="262">
        <f>+'6.Verdelingsmatrix baten'!$AD143</f>
        <v>202.38924</v>
      </c>
      <c r="G109" s="262">
        <f t="shared" si="5"/>
        <v>-131.51285000000001</v>
      </c>
      <c r="H109" s="263">
        <f t="shared" ref="H109:H114" si="10">ABS(+D109-G109)</f>
        <v>0</v>
      </c>
      <c r="I109" s="209">
        <f t="shared" si="7"/>
        <v>657.82664999999997</v>
      </c>
      <c r="J109" s="197"/>
      <c r="K109" s="197"/>
      <c r="L109" s="197"/>
      <c r="M109" s="197"/>
      <c r="N109" s="197"/>
      <c r="O109" s="197"/>
      <c r="P109" s="197"/>
    </row>
    <row r="110" spans="1:16" ht="12.75" customHeight="1" x14ac:dyDescent="0.2">
      <c r="A110" s="226" t="s">
        <v>543</v>
      </c>
      <c r="B110" s="209">
        <f>+'7.Balansstanden'!$F50</f>
        <v>0</v>
      </c>
      <c r="C110" s="209">
        <f>+'7.Balansstanden'!$H50</f>
        <v>0</v>
      </c>
      <c r="D110" s="262">
        <f>+C110-B110</f>
        <v>0</v>
      </c>
      <c r="E110" s="209">
        <f>+'5.Verdelingsmatrix lasten'!$AD144</f>
        <v>0</v>
      </c>
      <c r="F110" s="262">
        <f>+'6.Verdelingsmatrix baten'!$AD144</f>
        <v>0</v>
      </c>
      <c r="G110" s="262">
        <f>+E110-F110</f>
        <v>0</v>
      </c>
      <c r="H110" s="263">
        <f t="shared" si="10"/>
        <v>0</v>
      </c>
      <c r="I110" s="209">
        <f>ABS(B110)+ABS(C110)</f>
        <v>0</v>
      </c>
      <c r="J110" s="197"/>
      <c r="K110" s="197"/>
      <c r="L110" s="197"/>
      <c r="M110" s="197"/>
      <c r="N110" s="197"/>
      <c r="O110" s="197"/>
      <c r="P110" s="197"/>
    </row>
    <row r="111" spans="1:16" ht="12.75" customHeight="1" x14ac:dyDescent="0.2">
      <c r="A111" s="226" t="s">
        <v>545</v>
      </c>
      <c r="B111" s="209">
        <f>+'7.Balansstanden'!$F51</f>
        <v>0</v>
      </c>
      <c r="C111" s="209">
        <f>+'7.Balansstanden'!$H51</f>
        <v>0</v>
      </c>
      <c r="D111" s="262">
        <f>+C111-B111</f>
        <v>0</v>
      </c>
      <c r="E111" s="209">
        <f>+'5.Verdelingsmatrix lasten'!$AD145</f>
        <v>0</v>
      </c>
      <c r="F111" s="262">
        <f>+'6.Verdelingsmatrix baten'!$AD145</f>
        <v>0</v>
      </c>
      <c r="G111" s="262">
        <f>+E111-F111</f>
        <v>0</v>
      </c>
      <c r="H111" s="263">
        <f t="shared" si="10"/>
        <v>0</v>
      </c>
      <c r="I111" s="209">
        <f>ABS(B111)+ABS(C111)</f>
        <v>0</v>
      </c>
      <c r="J111" s="197"/>
      <c r="K111" s="197"/>
      <c r="L111" s="197"/>
      <c r="M111" s="197"/>
      <c r="N111" s="197"/>
      <c r="O111" s="197"/>
      <c r="P111" s="197"/>
    </row>
    <row r="112" spans="1:16" ht="12.75" customHeight="1" x14ac:dyDescent="0.2">
      <c r="A112" s="226" t="s">
        <v>547</v>
      </c>
      <c r="B112" s="209">
        <f>+'7.Balansstanden'!$F52</f>
        <v>0</v>
      </c>
      <c r="C112" s="209">
        <f>+'7.Balansstanden'!$H52</f>
        <v>0</v>
      </c>
      <c r="D112" s="262">
        <f>+C112-B112</f>
        <v>0</v>
      </c>
      <c r="E112" s="209">
        <f>+'5.Verdelingsmatrix lasten'!$AD146</f>
        <v>0</v>
      </c>
      <c r="F112" s="262">
        <f>+'6.Verdelingsmatrix baten'!$AD146</f>
        <v>0</v>
      </c>
      <c r="G112" s="262">
        <f>+E112-F112</f>
        <v>0</v>
      </c>
      <c r="H112" s="263">
        <f t="shared" si="10"/>
        <v>0</v>
      </c>
      <c r="I112" s="209">
        <f>ABS(B112)+ABS(C112)</f>
        <v>0</v>
      </c>
      <c r="J112" s="197"/>
      <c r="K112" s="197"/>
      <c r="L112" s="197"/>
      <c r="M112" s="197"/>
      <c r="N112" s="197"/>
      <c r="O112" s="197"/>
      <c r="P112" s="197"/>
    </row>
    <row r="113" spans="1:16" ht="12.75" customHeight="1" x14ac:dyDescent="0.2">
      <c r="A113" s="226" t="s">
        <v>549</v>
      </c>
      <c r="B113" s="209">
        <f>+'7.Balansstanden'!$F53</f>
        <v>0</v>
      </c>
      <c r="C113" s="209">
        <f>+'7.Balansstanden'!$H53</f>
        <v>0</v>
      </c>
      <c r="D113" s="262">
        <f>+C113-B113</f>
        <v>0</v>
      </c>
      <c r="E113" s="209">
        <f>+'5.Verdelingsmatrix lasten'!$AD147</f>
        <v>0</v>
      </c>
      <c r="F113" s="262">
        <f>+'6.Verdelingsmatrix baten'!$AD147</f>
        <v>0</v>
      </c>
      <c r="G113" s="262">
        <f>+E113-F113</f>
        <v>0</v>
      </c>
      <c r="H113" s="263">
        <f t="shared" si="10"/>
        <v>0</v>
      </c>
      <c r="I113" s="209">
        <f>ABS(B113)+ABS(C113)</f>
        <v>0</v>
      </c>
      <c r="J113" s="197"/>
      <c r="K113" s="197"/>
      <c r="L113" s="197"/>
      <c r="M113" s="197"/>
      <c r="N113" s="197"/>
      <c r="O113" s="197"/>
      <c r="P113" s="197"/>
    </row>
    <row r="114" spans="1:16" ht="12.75" customHeight="1" x14ac:dyDescent="0.2">
      <c r="A114" s="226" t="s">
        <v>155</v>
      </c>
      <c r="B114" s="209">
        <f>+'7.Balansstanden'!$F64</f>
        <v>0</v>
      </c>
      <c r="C114" s="209">
        <f>+'7.Balansstanden'!$H64</f>
        <v>0</v>
      </c>
      <c r="D114" s="262">
        <f t="shared" si="4"/>
        <v>0</v>
      </c>
      <c r="E114" s="209">
        <f>+'5.Verdelingsmatrix lasten'!$AD155</f>
        <v>0</v>
      </c>
      <c r="F114" s="262">
        <f>+'6.Verdelingsmatrix baten'!$AD155</f>
        <v>0</v>
      </c>
      <c r="G114" s="262">
        <f>-E114+F114</f>
        <v>0</v>
      </c>
      <c r="H114" s="263">
        <f t="shared" si="10"/>
        <v>0</v>
      </c>
      <c r="I114" s="209">
        <f t="shared" si="7"/>
        <v>0</v>
      </c>
      <c r="J114" s="197"/>
      <c r="K114" s="197"/>
      <c r="L114" s="197"/>
      <c r="M114" s="197"/>
      <c r="N114" s="197"/>
      <c r="O114" s="197"/>
      <c r="P114" s="197"/>
    </row>
    <row r="115" spans="1:16" ht="12.75" customHeight="1" x14ac:dyDescent="0.2">
      <c r="A115" s="226" t="s">
        <v>157</v>
      </c>
      <c r="B115" s="209">
        <f>+'7.Balansstanden'!$F65</f>
        <v>0</v>
      </c>
      <c r="C115" s="209">
        <f>+'7.Balansstanden'!$H65</f>
        <v>0</v>
      </c>
      <c r="D115" s="262">
        <f t="shared" ref="D115:D122" si="11">+C115-B115</f>
        <v>0</v>
      </c>
      <c r="E115" s="209">
        <f>+'5.Verdelingsmatrix lasten'!$AD156</f>
        <v>0</v>
      </c>
      <c r="F115" s="262">
        <f>+'6.Verdelingsmatrix baten'!$AD156</f>
        <v>0</v>
      </c>
      <c r="G115" s="262">
        <f t="shared" ref="G115:G122" si="12">-E115+F115</f>
        <v>0</v>
      </c>
      <c r="H115" s="263">
        <f t="shared" ref="H115:H122" si="13">ABS(+D115-G115)</f>
        <v>0</v>
      </c>
      <c r="I115" s="209">
        <f t="shared" ref="I115:I122" si="14">ABS(B115)+ABS(C115)</f>
        <v>0</v>
      </c>
      <c r="J115" s="197"/>
      <c r="K115" s="197"/>
      <c r="L115" s="197"/>
      <c r="M115" s="197"/>
      <c r="N115" s="197"/>
      <c r="O115" s="197"/>
      <c r="P115" s="197"/>
    </row>
    <row r="116" spans="1:16" ht="12.75" customHeight="1" x14ac:dyDescent="0.2">
      <c r="A116" s="226" t="s">
        <v>159</v>
      </c>
      <c r="B116" s="209">
        <f>+'7.Balansstanden'!$F66</f>
        <v>0</v>
      </c>
      <c r="C116" s="209">
        <f>+'7.Balansstanden'!$H66</f>
        <v>0</v>
      </c>
      <c r="D116" s="262">
        <f t="shared" si="11"/>
        <v>0</v>
      </c>
      <c r="E116" s="209">
        <f>+'5.Verdelingsmatrix lasten'!$AD157</f>
        <v>0</v>
      </c>
      <c r="F116" s="262">
        <f>+'6.Verdelingsmatrix baten'!$AD157</f>
        <v>0</v>
      </c>
      <c r="G116" s="262">
        <f t="shared" si="12"/>
        <v>0</v>
      </c>
      <c r="H116" s="263">
        <f t="shared" si="13"/>
        <v>0</v>
      </c>
      <c r="I116" s="209">
        <f t="shared" si="14"/>
        <v>0</v>
      </c>
      <c r="J116" s="197"/>
      <c r="K116" s="197"/>
      <c r="L116" s="197"/>
      <c r="M116" s="197"/>
      <c r="N116" s="197"/>
      <c r="O116" s="197"/>
      <c r="P116" s="197"/>
    </row>
    <row r="117" spans="1:16" ht="12.75" customHeight="1" x14ac:dyDescent="0.2">
      <c r="A117" s="226" t="s">
        <v>161</v>
      </c>
      <c r="B117" s="209">
        <f>+'7.Balansstanden'!$F67</f>
        <v>0</v>
      </c>
      <c r="C117" s="209">
        <f>+'7.Balansstanden'!$H67</f>
        <v>0</v>
      </c>
      <c r="D117" s="262">
        <f t="shared" si="11"/>
        <v>0</v>
      </c>
      <c r="E117" s="209">
        <f>+'5.Verdelingsmatrix lasten'!$AD158</f>
        <v>0</v>
      </c>
      <c r="F117" s="262">
        <f>+'6.Verdelingsmatrix baten'!$AD158</f>
        <v>0</v>
      </c>
      <c r="G117" s="262">
        <f t="shared" si="12"/>
        <v>0</v>
      </c>
      <c r="H117" s="263">
        <f t="shared" si="13"/>
        <v>0</v>
      </c>
      <c r="I117" s="209">
        <f t="shared" si="14"/>
        <v>0</v>
      </c>
      <c r="J117" s="197"/>
      <c r="K117" s="197"/>
      <c r="L117" s="197"/>
      <c r="M117" s="197"/>
      <c r="N117" s="197"/>
      <c r="O117" s="197"/>
      <c r="P117" s="197"/>
    </row>
    <row r="118" spans="1:16" ht="12.75" customHeight="1" x14ac:dyDescent="0.2">
      <c r="A118" s="226" t="s">
        <v>510</v>
      </c>
      <c r="B118" s="209">
        <f>+'7.Balansstanden'!$F68</f>
        <v>0</v>
      </c>
      <c r="C118" s="209">
        <f>+'7.Balansstanden'!$H68</f>
        <v>0</v>
      </c>
      <c r="D118" s="262">
        <f t="shared" si="11"/>
        <v>0</v>
      </c>
      <c r="E118" s="209">
        <f>+'5.Verdelingsmatrix lasten'!$AD159</f>
        <v>0</v>
      </c>
      <c r="F118" s="262">
        <f>+'6.Verdelingsmatrix baten'!$AD159</f>
        <v>0</v>
      </c>
      <c r="G118" s="262">
        <f t="shared" si="12"/>
        <v>0</v>
      </c>
      <c r="H118" s="263">
        <f t="shared" si="13"/>
        <v>0</v>
      </c>
      <c r="I118" s="209">
        <f t="shared" si="14"/>
        <v>0</v>
      </c>
      <c r="J118" s="197"/>
      <c r="K118" s="197"/>
      <c r="L118" s="197"/>
      <c r="M118" s="197"/>
      <c r="N118" s="197"/>
      <c r="O118" s="197"/>
      <c r="P118" s="197"/>
    </row>
    <row r="119" spans="1:16" ht="12.75" customHeight="1" x14ac:dyDescent="0.2">
      <c r="A119" s="226" t="s">
        <v>553</v>
      </c>
      <c r="B119" s="209">
        <f>+'7.Balansstanden'!$F69</f>
        <v>0</v>
      </c>
      <c r="C119" s="209">
        <f>+'7.Balansstanden'!$H69</f>
        <v>0</v>
      </c>
      <c r="D119" s="262">
        <f t="shared" si="11"/>
        <v>0</v>
      </c>
      <c r="E119" s="209">
        <f>+'5.Verdelingsmatrix lasten'!$AD160</f>
        <v>0</v>
      </c>
      <c r="F119" s="262">
        <f>+'6.Verdelingsmatrix baten'!$AD160</f>
        <v>0</v>
      </c>
      <c r="G119" s="262">
        <f t="shared" si="12"/>
        <v>0</v>
      </c>
      <c r="H119" s="263">
        <f t="shared" si="13"/>
        <v>0</v>
      </c>
      <c r="I119" s="209">
        <f t="shared" si="14"/>
        <v>0</v>
      </c>
      <c r="J119" s="197"/>
      <c r="K119" s="197"/>
      <c r="L119" s="197"/>
      <c r="M119" s="197"/>
      <c r="N119" s="197"/>
      <c r="O119" s="197"/>
      <c r="P119" s="197"/>
    </row>
    <row r="120" spans="1:16" ht="12.75" customHeight="1" x14ac:dyDescent="0.2">
      <c r="A120" s="226" t="s">
        <v>164</v>
      </c>
      <c r="B120" s="209">
        <f>+'7.Balansstanden'!$F70</f>
        <v>0</v>
      </c>
      <c r="C120" s="209">
        <f>+'7.Balansstanden'!$H70</f>
        <v>0</v>
      </c>
      <c r="D120" s="262">
        <f t="shared" si="11"/>
        <v>0</v>
      </c>
      <c r="E120" s="209">
        <f>+'5.Verdelingsmatrix lasten'!$AD161</f>
        <v>0</v>
      </c>
      <c r="F120" s="262">
        <f>+'6.Verdelingsmatrix baten'!$AD161</f>
        <v>0</v>
      </c>
      <c r="G120" s="262">
        <f t="shared" si="12"/>
        <v>0</v>
      </c>
      <c r="H120" s="263">
        <f t="shared" si="13"/>
        <v>0</v>
      </c>
      <c r="I120" s="209">
        <f t="shared" si="14"/>
        <v>0</v>
      </c>
      <c r="J120" s="197"/>
      <c r="K120" s="197"/>
      <c r="L120" s="197"/>
      <c r="M120" s="197"/>
      <c r="N120" s="197"/>
      <c r="O120" s="197"/>
      <c r="P120" s="197"/>
    </row>
    <row r="121" spans="1:16" ht="12.75" customHeight="1" x14ac:dyDescent="0.2">
      <c r="A121" s="226" t="s">
        <v>165</v>
      </c>
      <c r="B121" s="209">
        <f>+'7.Balansstanden'!$F71</f>
        <v>0</v>
      </c>
      <c r="C121" s="209">
        <f>+'7.Balansstanden'!$H71</f>
        <v>0</v>
      </c>
      <c r="D121" s="262">
        <f t="shared" si="11"/>
        <v>0</v>
      </c>
      <c r="E121" s="209">
        <f>+'5.Verdelingsmatrix lasten'!$AD162</f>
        <v>0</v>
      </c>
      <c r="F121" s="262">
        <f>+'6.Verdelingsmatrix baten'!$AD162</f>
        <v>0</v>
      </c>
      <c r="G121" s="262">
        <f t="shared" si="12"/>
        <v>0</v>
      </c>
      <c r="H121" s="263">
        <f t="shared" si="13"/>
        <v>0</v>
      </c>
      <c r="I121" s="209">
        <f t="shared" si="14"/>
        <v>0</v>
      </c>
      <c r="J121" s="197"/>
      <c r="K121" s="197"/>
      <c r="L121" s="197"/>
      <c r="M121" s="197"/>
      <c r="N121" s="197"/>
      <c r="O121" s="197"/>
      <c r="P121" s="197"/>
    </row>
    <row r="122" spans="1:16" ht="12.75" customHeight="1" x14ac:dyDescent="0.2">
      <c r="A122" s="226" t="s">
        <v>167</v>
      </c>
      <c r="B122" s="209">
        <f>+'7.Balansstanden'!$F72</f>
        <v>21.342029999999998</v>
      </c>
      <c r="C122" s="209">
        <f>+'7.Balansstanden'!$H72</f>
        <v>20.842029999999998</v>
      </c>
      <c r="D122" s="262">
        <f t="shared" si="11"/>
        <v>-0.5</v>
      </c>
      <c r="E122" s="209">
        <f>+'5.Verdelingsmatrix lasten'!$AD163</f>
        <v>0.5</v>
      </c>
      <c r="F122" s="262">
        <f>+'6.Verdelingsmatrix baten'!$AD163</f>
        <v>0</v>
      </c>
      <c r="G122" s="262">
        <f t="shared" si="12"/>
        <v>-0.5</v>
      </c>
      <c r="H122" s="263">
        <f t="shared" si="13"/>
        <v>0</v>
      </c>
      <c r="I122" s="209">
        <f t="shared" si="14"/>
        <v>42.184059999999995</v>
      </c>
      <c r="J122" s="197"/>
      <c r="K122" s="197"/>
      <c r="L122" s="197"/>
      <c r="M122" s="197"/>
      <c r="N122" s="197"/>
      <c r="O122" s="197"/>
      <c r="P122" s="197"/>
    </row>
    <row r="123" spans="1:16" ht="12.75" customHeight="1" x14ac:dyDescent="0.2">
      <c r="A123" s="226" t="s">
        <v>511</v>
      </c>
      <c r="B123" s="209">
        <f>+'7.Balansstanden'!$F75</f>
        <v>0</v>
      </c>
      <c r="C123" s="209">
        <f>+'7.Balansstanden'!$H75</f>
        <v>0</v>
      </c>
      <c r="D123" s="262">
        <f t="shared" si="4"/>
        <v>0</v>
      </c>
      <c r="E123" s="209">
        <f>+'5.Verdelingsmatrix lasten'!$AD167</f>
        <v>0</v>
      </c>
      <c r="F123" s="262">
        <f>+'6.Verdelingsmatrix baten'!$AD167</f>
        <v>0</v>
      </c>
      <c r="G123" s="262">
        <f>-E123+F123</f>
        <v>0</v>
      </c>
      <c r="H123" s="263">
        <f>ABS(+D123-G123)</f>
        <v>0</v>
      </c>
      <c r="I123" s="209">
        <f t="shared" si="7"/>
        <v>0</v>
      </c>
      <c r="J123" s="197"/>
      <c r="K123" s="197"/>
      <c r="L123" s="197"/>
      <c r="M123" s="197"/>
      <c r="N123" s="197"/>
      <c r="O123" s="197"/>
      <c r="P123" s="197"/>
    </row>
    <row r="124" spans="1:16" ht="12.75" customHeight="1" x14ac:dyDescent="0.2">
      <c r="A124" s="226" t="s">
        <v>557</v>
      </c>
      <c r="B124" s="209">
        <f>+'7.Balansstanden'!$F76</f>
        <v>0</v>
      </c>
      <c r="C124" s="209">
        <f>+'7.Balansstanden'!$H76</f>
        <v>0</v>
      </c>
      <c r="D124" s="262">
        <f t="shared" ref="D124:D130" si="15">+C124-B124</f>
        <v>0</v>
      </c>
      <c r="E124" s="209">
        <f>+'5.Verdelingsmatrix lasten'!$AD168</f>
        <v>0</v>
      </c>
      <c r="F124" s="262">
        <f>+'6.Verdelingsmatrix baten'!$AD168</f>
        <v>0</v>
      </c>
      <c r="G124" s="262">
        <f t="shared" ref="G124:G130" si="16">-E124+F124</f>
        <v>0</v>
      </c>
      <c r="H124" s="263">
        <f t="shared" ref="H124:H130" si="17">ABS(+D124-G124)</f>
        <v>0</v>
      </c>
      <c r="I124" s="209">
        <f t="shared" ref="I124:I130" si="18">ABS(B124)+ABS(C124)</f>
        <v>0</v>
      </c>
      <c r="J124" s="197"/>
      <c r="K124" s="197"/>
      <c r="L124" s="197"/>
      <c r="M124" s="197"/>
      <c r="N124" s="197"/>
      <c r="O124" s="197"/>
      <c r="P124" s="197"/>
    </row>
    <row r="125" spans="1:16" ht="12.75" customHeight="1" x14ac:dyDescent="0.2">
      <c r="A125" s="226" t="s">
        <v>171</v>
      </c>
      <c r="B125" s="209">
        <f>+'7.Balansstanden'!$F77</f>
        <v>0</v>
      </c>
      <c r="C125" s="209">
        <f>+'7.Balansstanden'!$H77</f>
        <v>0</v>
      </c>
      <c r="D125" s="262">
        <f t="shared" si="15"/>
        <v>0</v>
      </c>
      <c r="E125" s="209">
        <f>+'5.Verdelingsmatrix lasten'!$AD169</f>
        <v>0</v>
      </c>
      <c r="F125" s="262">
        <f>+'6.Verdelingsmatrix baten'!$AD169</f>
        <v>0</v>
      </c>
      <c r="G125" s="262">
        <f t="shared" si="16"/>
        <v>0</v>
      </c>
      <c r="H125" s="263">
        <f t="shared" si="17"/>
        <v>0</v>
      </c>
      <c r="I125" s="209">
        <f t="shared" si="18"/>
        <v>0</v>
      </c>
      <c r="J125" s="197"/>
      <c r="K125" s="197"/>
      <c r="L125" s="197"/>
      <c r="M125" s="197"/>
      <c r="N125" s="197"/>
      <c r="O125" s="197"/>
      <c r="P125" s="197"/>
    </row>
    <row r="126" spans="1:16" ht="12.75" customHeight="1" x14ac:dyDescent="0.2">
      <c r="A126" s="226" t="s">
        <v>172</v>
      </c>
      <c r="B126" s="209">
        <f>+'7.Balansstanden'!$F78</f>
        <v>214012.97235</v>
      </c>
      <c r="C126" s="209">
        <f>+'7.Balansstanden'!$H78</f>
        <v>229089.18466</v>
      </c>
      <c r="D126" s="262">
        <f t="shared" si="15"/>
        <v>15076.212310000003</v>
      </c>
      <c r="E126" s="209">
        <f>+'5.Verdelingsmatrix lasten'!$AD170</f>
        <v>245042.44878999999</v>
      </c>
      <c r="F126" s="262">
        <f>+'6.Verdelingsmatrix baten'!$AD170</f>
        <v>260118.66110000003</v>
      </c>
      <c r="G126" s="262">
        <f t="shared" si="16"/>
        <v>15076.212310000032</v>
      </c>
      <c r="H126" s="263">
        <f t="shared" si="17"/>
        <v>2.9103830456733704E-11</v>
      </c>
      <c r="I126" s="209">
        <f t="shared" si="18"/>
        <v>443102.15700999997</v>
      </c>
      <c r="J126" s="197"/>
      <c r="K126" s="197"/>
      <c r="L126" s="197"/>
      <c r="M126" s="197"/>
      <c r="N126" s="197"/>
      <c r="O126" s="197"/>
      <c r="P126" s="197"/>
    </row>
    <row r="127" spans="1:16" ht="12.75" customHeight="1" thickBot="1" x14ac:dyDescent="0.25">
      <c r="A127" s="236" t="s">
        <v>559</v>
      </c>
      <c r="B127" s="209">
        <f>+'7.Balansstanden'!$F80</f>
        <v>-206.93126999999998</v>
      </c>
      <c r="C127" s="209">
        <f>+'7.Balansstanden'!$H80</f>
        <v>689.68330000000003</v>
      </c>
      <c r="D127" s="262">
        <f t="shared" si="15"/>
        <v>896.61456999999996</v>
      </c>
      <c r="E127" s="209">
        <f>+'5.Verdelingsmatrix lasten'!$AD171</f>
        <v>-206.93126999999998</v>
      </c>
      <c r="F127" s="262">
        <f>+'6.Verdelingsmatrix baten'!$AD171</f>
        <v>689.68330000000003</v>
      </c>
      <c r="G127" s="262">
        <f t="shared" si="16"/>
        <v>896.61456999999996</v>
      </c>
      <c r="H127" s="263">
        <f t="shared" si="17"/>
        <v>0</v>
      </c>
      <c r="I127" s="209">
        <f t="shared" si="18"/>
        <v>896.61456999999996</v>
      </c>
      <c r="J127" s="197"/>
      <c r="K127" s="197"/>
      <c r="L127" s="197"/>
      <c r="M127" s="197"/>
      <c r="N127" s="197"/>
      <c r="O127" s="197"/>
      <c r="P127" s="197"/>
    </row>
    <row r="128" spans="1:16" ht="12.75" customHeight="1" thickBot="1" x14ac:dyDescent="0.25">
      <c r="A128" s="236" t="s">
        <v>561</v>
      </c>
      <c r="B128" s="209">
        <f>+'7.Balansstanden'!$F81</f>
        <v>251091.09073</v>
      </c>
      <c r="C128" s="209">
        <f>+'7.Balansstanden'!$H81</f>
        <v>219111.35880000002</v>
      </c>
      <c r="D128" s="262">
        <f t="shared" si="15"/>
        <v>-31979.73192999998</v>
      </c>
      <c r="E128" s="209">
        <f>+'5.Verdelingsmatrix lasten'!$AD172</f>
        <v>15284.96471</v>
      </c>
      <c r="F128" s="262">
        <f>+'6.Verdelingsmatrix baten'!$AD172</f>
        <v>-16694.76784</v>
      </c>
      <c r="G128" s="262">
        <f t="shared" si="16"/>
        <v>-31979.732550000001</v>
      </c>
      <c r="H128" s="263">
        <f t="shared" si="17"/>
        <v>6.2000002071727067E-4</v>
      </c>
      <c r="I128" s="209">
        <f t="shared" si="18"/>
        <v>470202.44952999998</v>
      </c>
      <c r="J128" s="197"/>
      <c r="K128" s="197"/>
      <c r="L128" s="197"/>
      <c r="M128" s="197"/>
      <c r="N128" s="197"/>
      <c r="O128" s="197"/>
      <c r="P128" s="197"/>
    </row>
    <row r="129" spans="1:16" ht="12.75" customHeight="1" thickBot="1" x14ac:dyDescent="0.25">
      <c r="A129" s="236" t="s">
        <v>563</v>
      </c>
      <c r="B129" s="209">
        <f>+'7.Balansstanden'!$F82</f>
        <v>545.00941</v>
      </c>
      <c r="C129" s="209">
        <f>+'7.Balansstanden'!$H82</f>
        <v>75948.165229999999</v>
      </c>
      <c r="D129" s="262">
        <f t="shared" si="15"/>
        <v>75403.15582</v>
      </c>
      <c r="E129" s="209">
        <f>+'5.Verdelingsmatrix lasten'!$AD173</f>
        <v>232.91113000000001</v>
      </c>
      <c r="F129" s="262">
        <f>+'6.Verdelingsmatrix baten'!$AD173</f>
        <v>75636.066950000008</v>
      </c>
      <c r="G129" s="262">
        <f t="shared" si="16"/>
        <v>75403.155820000015</v>
      </c>
      <c r="H129" s="263">
        <f t="shared" si="17"/>
        <v>1.4551915228366852E-11</v>
      </c>
      <c r="I129" s="209">
        <f t="shared" si="18"/>
        <v>76493.174639999997</v>
      </c>
      <c r="J129" s="197"/>
      <c r="K129" s="197"/>
      <c r="L129" s="197"/>
      <c r="M129" s="197"/>
      <c r="N129" s="197"/>
      <c r="O129" s="197"/>
      <c r="P129" s="197"/>
    </row>
    <row r="130" spans="1:16" ht="12.75" customHeight="1" thickBot="1" x14ac:dyDescent="0.25">
      <c r="A130" s="236" t="s">
        <v>565</v>
      </c>
      <c r="B130" s="209">
        <f>+'7.Balansstanden'!$F83</f>
        <v>149.06735</v>
      </c>
      <c r="C130" s="209">
        <f>+'7.Balansstanden'!$H83</f>
        <v>30.99409</v>
      </c>
      <c r="D130" s="262">
        <f t="shared" si="15"/>
        <v>-118.07326</v>
      </c>
      <c r="E130" s="209">
        <f>+'5.Verdelingsmatrix lasten'!$AD174</f>
        <v>16.243870000000001</v>
      </c>
      <c r="F130" s="262">
        <f>+'6.Verdelingsmatrix baten'!$AD174</f>
        <v>-101.82939</v>
      </c>
      <c r="G130" s="262">
        <f t="shared" si="16"/>
        <v>-118.07326</v>
      </c>
      <c r="H130" s="263">
        <f t="shared" si="17"/>
        <v>0</v>
      </c>
      <c r="I130" s="209">
        <f t="shared" si="18"/>
        <v>180.06144</v>
      </c>
      <c r="J130" s="197"/>
      <c r="K130" s="197"/>
      <c r="L130" s="197"/>
      <c r="M130" s="197"/>
      <c r="N130" s="197"/>
      <c r="O130" s="197"/>
      <c r="P130" s="197"/>
    </row>
    <row r="131" spans="1:16" ht="12.75" customHeight="1" x14ac:dyDescent="0.2">
      <c r="A131" s="238" t="s">
        <v>423</v>
      </c>
      <c r="B131" s="264"/>
      <c r="C131" s="265"/>
      <c r="D131" s="266"/>
      <c r="E131" s="265"/>
      <c r="F131" s="265"/>
      <c r="G131" s="267"/>
      <c r="H131" s="264">
        <f>SUM(H89:H130)</f>
        <v>6.2000010899510016E-4</v>
      </c>
      <c r="I131" s="264">
        <f>SUM(I89:I130)</f>
        <v>3480017.0677599995</v>
      </c>
      <c r="J131" s="197"/>
      <c r="K131" s="197"/>
      <c r="L131" s="197"/>
      <c r="M131" s="197"/>
      <c r="N131" s="197"/>
      <c r="O131" s="197"/>
      <c r="P131" s="197"/>
    </row>
    <row r="132" spans="1:16" ht="12.75" customHeight="1" x14ac:dyDescent="0.2">
      <c r="A132" s="243" t="s">
        <v>417</v>
      </c>
      <c r="B132" s="209">
        <f>+H131</f>
        <v>6.2000010899510016E-4</v>
      </c>
      <c r="C132" s="268"/>
      <c r="D132" s="269"/>
      <c r="E132" s="268"/>
      <c r="F132" s="268"/>
      <c r="G132" s="270"/>
      <c r="H132" s="268"/>
      <c r="I132" s="268"/>
      <c r="J132" s="197"/>
      <c r="K132" s="197"/>
      <c r="L132" s="197"/>
      <c r="M132" s="197"/>
      <c r="N132" s="197"/>
      <c r="O132" s="197"/>
      <c r="P132" s="197"/>
    </row>
    <row r="133" spans="1:16" ht="12.75" customHeight="1" x14ac:dyDescent="0.2">
      <c r="A133" s="226" t="s">
        <v>424</v>
      </c>
      <c r="B133" s="209">
        <f>+I131/2</f>
        <v>1740008.5338799998</v>
      </c>
      <c r="C133" s="271"/>
      <c r="D133" s="272"/>
      <c r="E133" s="268"/>
      <c r="F133" s="268"/>
      <c r="G133" s="270"/>
      <c r="H133" s="271"/>
      <c r="I133" s="271"/>
      <c r="J133" s="197"/>
      <c r="K133" s="197"/>
      <c r="L133" s="197"/>
      <c r="M133" s="197"/>
      <c r="N133" s="197"/>
      <c r="O133" s="197"/>
      <c r="P133" s="197"/>
    </row>
    <row r="134" spans="1:16" ht="12.75" customHeight="1" x14ac:dyDescent="0.2">
      <c r="A134" s="226" t="s">
        <v>435</v>
      </c>
      <c r="B134" s="273">
        <f>IF(OR(SUM(B89:B113)=0,SUM(B114:B130)=0),"nvt",+B132/B133)</f>
        <v>3.5632015413888692E-10</v>
      </c>
      <c r="C134" s="271"/>
      <c r="D134" s="272"/>
      <c r="E134" s="268"/>
      <c r="F134" s="268"/>
      <c r="G134" s="270"/>
      <c r="H134" s="271"/>
      <c r="I134" s="271"/>
      <c r="J134" s="197"/>
      <c r="K134" s="197"/>
      <c r="L134" s="197"/>
      <c r="M134" s="197"/>
      <c r="N134" s="197"/>
      <c r="O134" s="197"/>
      <c r="P134" s="197"/>
    </row>
    <row r="135" spans="1:16" ht="12.75" customHeight="1" x14ac:dyDescent="0.2">
      <c r="A135" s="251" t="s">
        <v>419</v>
      </c>
      <c r="B135" s="215" t="str">
        <f>IF(B134="nvt","onvoldoende",IF(B134&lt;=0.01,"voldoende","onvoldoende"))</f>
        <v>voldoende</v>
      </c>
      <c r="C135" s="274"/>
      <c r="D135" s="275"/>
      <c r="E135" s="274"/>
      <c r="F135" s="274"/>
      <c r="G135" s="274"/>
      <c r="H135" s="274"/>
      <c r="I135" s="276"/>
      <c r="J135" s="197"/>
      <c r="K135" s="197"/>
      <c r="L135" s="197"/>
      <c r="M135" s="197"/>
      <c r="N135" s="197"/>
      <c r="O135" s="197"/>
      <c r="P135" s="197"/>
    </row>
    <row r="136" spans="1:16" ht="12.75" customHeight="1" x14ac:dyDescent="0.2">
      <c r="F136" s="6"/>
      <c r="G136" s="197"/>
      <c r="H136" s="197"/>
      <c r="I136" s="197"/>
      <c r="J136" s="197"/>
      <c r="K136" s="197"/>
      <c r="L136" s="197"/>
      <c r="M136" s="197"/>
      <c r="N136" s="197"/>
      <c r="O136" s="197"/>
      <c r="P136" s="197"/>
    </row>
    <row r="137" spans="1:16" ht="12.75" customHeight="1" x14ac:dyDescent="0.2">
      <c r="A137" s="203" t="s">
        <v>436</v>
      </c>
      <c r="F137" s="6"/>
      <c r="G137" s="197"/>
      <c r="H137" s="197"/>
      <c r="I137" s="197"/>
      <c r="J137" s="197"/>
      <c r="K137" s="197"/>
      <c r="L137" s="197"/>
      <c r="M137" s="197"/>
      <c r="N137" s="197"/>
      <c r="O137" s="197"/>
      <c r="P137" s="197"/>
    </row>
    <row r="138" spans="1:16" ht="12.75" customHeight="1" x14ac:dyDescent="0.2">
      <c r="A138" s="277" t="s">
        <v>437</v>
      </c>
      <c r="B138" s="278">
        <f>ABS(+'5.Verdelingsmatrix lasten'!$C$179)</f>
        <v>0</v>
      </c>
      <c r="F138" s="6"/>
      <c r="G138" s="197"/>
      <c r="H138" s="197"/>
      <c r="I138" s="197"/>
      <c r="J138" s="197"/>
      <c r="K138" s="197"/>
      <c r="L138" s="197"/>
      <c r="M138" s="197"/>
      <c r="N138" s="197"/>
      <c r="O138" s="197"/>
      <c r="P138" s="197"/>
    </row>
    <row r="139" spans="1:16" ht="12.75" customHeight="1" x14ac:dyDescent="0.2">
      <c r="A139" s="243" t="s">
        <v>432</v>
      </c>
      <c r="B139" s="279">
        <f>ABS(+'6.Verdelingsmatrix baten'!$C$179)</f>
        <v>0</v>
      </c>
      <c r="F139" s="6"/>
      <c r="G139" s="197"/>
      <c r="H139" s="197"/>
      <c r="I139" s="197"/>
      <c r="J139" s="197"/>
      <c r="K139" s="197"/>
      <c r="L139" s="197"/>
      <c r="M139" s="197"/>
      <c r="N139" s="197"/>
      <c r="O139" s="197"/>
      <c r="P139" s="197"/>
    </row>
    <row r="140" spans="1:16" ht="12.75" customHeight="1" x14ac:dyDescent="0.2">
      <c r="A140" s="243" t="s">
        <v>422</v>
      </c>
      <c r="B140" s="280">
        <f>ABS(B138)+ABS(B139)</f>
        <v>0</v>
      </c>
      <c r="F140" s="6"/>
      <c r="G140" s="197"/>
      <c r="H140" s="197"/>
      <c r="I140" s="197"/>
      <c r="J140" s="197"/>
      <c r="K140" s="197"/>
      <c r="L140" s="197"/>
      <c r="M140" s="197"/>
      <c r="N140" s="197"/>
      <c r="O140" s="197"/>
      <c r="P140" s="197"/>
    </row>
    <row r="141" spans="1:16" ht="12.75" customHeight="1" x14ac:dyDescent="0.2">
      <c r="A141" s="281" t="s">
        <v>438</v>
      </c>
      <c r="B141" s="249">
        <f>+$B$140/$C$24</f>
        <v>0</v>
      </c>
      <c r="F141" s="6"/>
      <c r="G141" s="197"/>
      <c r="H141" s="197"/>
      <c r="I141" s="197"/>
      <c r="J141" s="197"/>
      <c r="K141" s="197"/>
      <c r="L141" s="197"/>
      <c r="M141" s="197"/>
      <c r="N141" s="197"/>
      <c r="O141" s="197"/>
      <c r="P141" s="197"/>
    </row>
    <row r="142" spans="1:16" ht="12.75" customHeight="1" x14ac:dyDescent="0.2">
      <c r="A142" s="282" t="s">
        <v>419</v>
      </c>
      <c r="B142" s="215" t="str">
        <f>IF(B141&lt;=0.01,"voldoende","onvoldoende")</f>
        <v>voldoende</v>
      </c>
      <c r="F142" s="6"/>
      <c r="G142" s="197"/>
      <c r="H142" s="197"/>
      <c r="I142" s="197"/>
      <c r="J142" s="197"/>
      <c r="K142" s="197"/>
      <c r="L142" s="197"/>
      <c r="M142" s="197"/>
      <c r="N142" s="197"/>
      <c r="O142" s="197"/>
      <c r="P142" s="197"/>
    </row>
    <row r="143" spans="1:16" ht="12.75" customHeight="1" x14ac:dyDescent="0.2">
      <c r="F143" s="6"/>
      <c r="G143" s="197"/>
      <c r="H143" s="197"/>
      <c r="I143" s="197"/>
      <c r="J143" s="197"/>
      <c r="K143" s="197"/>
      <c r="L143" s="197"/>
      <c r="M143" s="197"/>
      <c r="N143" s="197"/>
      <c r="O143" s="197"/>
      <c r="P143" s="197"/>
    </row>
    <row r="144" spans="1:16" s="11" customFormat="1" ht="13.5" customHeight="1" x14ac:dyDescent="0.2">
      <c r="A144" s="203" t="s">
        <v>439</v>
      </c>
      <c r="B144" s="6"/>
      <c r="C144" s="6"/>
      <c r="D144" s="6"/>
      <c r="E144" s="6"/>
      <c r="F144" s="202"/>
      <c r="G144" s="283"/>
      <c r="H144" s="283"/>
      <c r="I144" s="283"/>
      <c r="J144" s="283"/>
      <c r="K144" s="283"/>
      <c r="L144" s="283"/>
      <c r="M144" s="283"/>
      <c r="N144" s="283"/>
      <c r="O144" s="283"/>
      <c r="P144" s="283"/>
    </row>
    <row r="145" spans="1:18" s="11" customFormat="1" ht="13.5" customHeight="1" x14ac:dyDescent="0.2">
      <c r="A145" s="284"/>
      <c r="B145" s="285" t="s">
        <v>431</v>
      </c>
      <c r="C145" s="285" t="s">
        <v>432</v>
      </c>
      <c r="D145" s="285" t="s">
        <v>440</v>
      </c>
      <c r="E145" s="286" t="s">
        <v>441</v>
      </c>
      <c r="F145" s="202"/>
      <c r="G145" s="283"/>
      <c r="H145" s="283"/>
      <c r="I145" s="283"/>
      <c r="J145" s="283"/>
      <c r="K145" s="283"/>
      <c r="L145" s="283"/>
      <c r="M145" s="283"/>
      <c r="N145" s="283"/>
      <c r="O145" s="283"/>
      <c r="P145" s="283"/>
    </row>
    <row r="146" spans="1:18" s="11" customFormat="1" ht="13.5" customHeight="1" x14ac:dyDescent="0.2">
      <c r="A146" s="287" t="s">
        <v>44</v>
      </c>
      <c r="B146" s="262">
        <f>+'5.Verdelingsmatrix lasten'!$S179</f>
        <v>391868.57091999997</v>
      </c>
      <c r="C146" s="262">
        <f>+'6.Verdelingsmatrix baten'!$S179</f>
        <v>391868.57092000003</v>
      </c>
      <c r="D146" s="262">
        <f>ABS(B146-C146)</f>
        <v>5.8207660913467407E-11</v>
      </c>
      <c r="E146" s="262">
        <f>ABS(B146)+ABS(C146)</f>
        <v>783737.14183999994</v>
      </c>
      <c r="F146" s="202"/>
      <c r="G146" s="283"/>
      <c r="J146" s="283"/>
      <c r="K146" s="283"/>
      <c r="L146" s="283"/>
      <c r="M146" s="283"/>
      <c r="N146" s="283"/>
      <c r="O146" s="283"/>
      <c r="P146" s="283"/>
    </row>
    <row r="147" spans="1:18" s="11" customFormat="1" ht="13.5" customHeight="1" x14ac:dyDescent="0.2">
      <c r="A147" s="287" t="s">
        <v>233</v>
      </c>
      <c r="B147" s="262">
        <f>+'5.Verdelingsmatrix lasten'!$AB179</f>
        <v>2397.0823300000002</v>
      </c>
      <c r="C147" s="262">
        <f>+'6.Verdelingsmatrix baten'!$AB179</f>
        <v>2397.0823300000002</v>
      </c>
      <c r="D147" s="262">
        <f>ABS(B147-C147)</f>
        <v>0</v>
      </c>
      <c r="E147" s="262">
        <f>ABS(B147)+ABS(C147)</f>
        <v>4794.1646600000004</v>
      </c>
      <c r="F147" s="202"/>
      <c r="G147" s="283"/>
      <c r="J147" s="283"/>
      <c r="K147" s="283"/>
      <c r="L147" s="283"/>
      <c r="M147" s="283"/>
      <c r="N147" s="283"/>
      <c r="O147" s="283"/>
      <c r="P147" s="283"/>
    </row>
    <row r="148" spans="1:18" s="11" customFormat="1" ht="13.5" customHeight="1" thickBot="1" x14ac:dyDescent="0.25">
      <c r="A148" s="287" t="s">
        <v>234</v>
      </c>
      <c r="B148" s="262">
        <f>+'5.Verdelingsmatrix lasten'!$AC179</f>
        <v>98310.423459999991</v>
      </c>
      <c r="C148" s="262">
        <f>+'6.Verdelingsmatrix baten'!$AC179</f>
        <v>98310.423459999991</v>
      </c>
      <c r="D148" s="262">
        <f>ABS(B148-C148)</f>
        <v>0</v>
      </c>
      <c r="E148" s="262">
        <f>ABS(B148)+ABS(C148)</f>
        <v>196620.84691999998</v>
      </c>
      <c r="F148" s="202"/>
      <c r="G148" s="283"/>
      <c r="J148" s="283"/>
      <c r="K148" s="283"/>
      <c r="L148" s="283"/>
      <c r="M148" s="283"/>
      <c r="N148" s="283"/>
      <c r="O148" s="283"/>
      <c r="P148" s="283"/>
    </row>
    <row r="149" spans="1:18" s="11" customFormat="1" ht="12.75" customHeight="1" x14ac:dyDescent="0.2">
      <c r="A149" s="288" t="s">
        <v>442</v>
      </c>
      <c r="B149" s="264"/>
      <c r="C149" s="264"/>
      <c r="D149" s="264">
        <f>SUM(D146:D148)</f>
        <v>5.8207660913467407E-11</v>
      </c>
      <c r="E149" s="264">
        <f>SUM(E146:E148)</f>
        <v>985152.15341999987</v>
      </c>
      <c r="F149" s="202"/>
      <c r="G149" s="6"/>
      <c r="H149" s="6"/>
      <c r="I149" s="6"/>
      <c r="J149" s="6"/>
      <c r="K149" s="6"/>
      <c r="L149" s="6"/>
      <c r="M149" s="6"/>
      <c r="N149" s="6"/>
      <c r="O149" s="6"/>
      <c r="P149" s="6"/>
      <c r="Q149" s="6"/>
      <c r="R149" s="6"/>
    </row>
    <row r="150" spans="1:18" s="11" customFormat="1" ht="12.75" customHeight="1" x14ac:dyDescent="0.2">
      <c r="A150" s="287" t="s">
        <v>417</v>
      </c>
      <c r="B150" s="262">
        <f>+D149</f>
        <v>5.8207660913467407E-11</v>
      </c>
      <c r="C150" s="289"/>
      <c r="D150" s="289"/>
      <c r="E150" s="289"/>
      <c r="F150" s="202"/>
      <c r="G150" s="6"/>
      <c r="H150" s="6"/>
      <c r="I150" s="6"/>
      <c r="J150" s="6"/>
      <c r="K150" s="6"/>
      <c r="L150" s="6"/>
      <c r="M150" s="6"/>
      <c r="N150" s="6"/>
      <c r="O150" s="6"/>
      <c r="P150" s="6"/>
      <c r="Q150" s="6"/>
      <c r="R150" s="6"/>
    </row>
    <row r="151" spans="1:18" s="11" customFormat="1" ht="12.75" customHeight="1" x14ac:dyDescent="0.2">
      <c r="A151" s="287" t="s">
        <v>424</v>
      </c>
      <c r="B151" s="262">
        <f>+C24</f>
        <v>470655</v>
      </c>
      <c r="C151" s="289"/>
      <c r="D151" s="289"/>
      <c r="E151" s="289"/>
      <c r="F151" s="202"/>
      <c r="G151" s="6"/>
      <c r="H151" s="6"/>
      <c r="I151" s="6"/>
      <c r="J151" s="6"/>
      <c r="K151" s="6"/>
      <c r="L151" s="6"/>
      <c r="M151" s="6"/>
      <c r="N151" s="6"/>
      <c r="O151" s="6"/>
      <c r="P151" s="6"/>
      <c r="Q151" s="6"/>
      <c r="R151" s="6"/>
    </row>
    <row r="152" spans="1:18" s="11" customFormat="1" ht="12.75" customHeight="1" x14ac:dyDescent="0.2">
      <c r="A152" s="287" t="s">
        <v>443</v>
      </c>
      <c r="B152" s="289">
        <f>IF(B151=0,0,+B150/B151)</f>
        <v>1.2367373323021621E-16</v>
      </c>
      <c r="C152" s="289"/>
      <c r="D152" s="289"/>
      <c r="E152" s="289"/>
      <c r="F152" s="202"/>
      <c r="G152" s="6"/>
      <c r="H152" s="6"/>
      <c r="I152" s="6"/>
      <c r="J152" s="6"/>
      <c r="K152" s="6"/>
      <c r="L152" s="6"/>
      <c r="M152" s="6"/>
      <c r="N152" s="6"/>
      <c r="O152" s="6"/>
      <c r="P152" s="6"/>
      <c r="Q152" s="6"/>
      <c r="R152" s="6"/>
    </row>
    <row r="153" spans="1:18" s="11" customFormat="1" ht="12.75" customHeight="1" x14ac:dyDescent="0.2">
      <c r="A153" s="290" t="s">
        <v>419</v>
      </c>
      <c r="B153" s="215" t="str">
        <f>IF(B152&lt;=0.01,"voldoende","onvoldoende")</f>
        <v>voldoende</v>
      </c>
      <c r="C153" s="291"/>
      <c r="D153" s="291"/>
      <c r="E153" s="291"/>
      <c r="F153" s="202"/>
      <c r="G153" s="6"/>
      <c r="H153" s="6"/>
      <c r="I153" s="6"/>
      <c r="J153" s="6"/>
      <c r="K153" s="6"/>
      <c r="L153" s="6"/>
      <c r="M153" s="6"/>
      <c r="N153" s="6"/>
      <c r="O153" s="6"/>
      <c r="P153" s="6"/>
      <c r="Q153" s="6"/>
      <c r="R153" s="6"/>
    </row>
    <row r="154" spans="1:18" s="11" customFormat="1" ht="12.75" customHeight="1" x14ac:dyDescent="0.2">
      <c r="A154" s="325"/>
      <c r="B154" s="325"/>
      <c r="C154" s="325"/>
      <c r="D154" s="325"/>
      <c r="E154" s="292"/>
      <c r="F154" s="202"/>
      <c r="G154" s="6"/>
      <c r="H154" s="6"/>
      <c r="I154" s="6"/>
      <c r="J154" s="6"/>
      <c r="K154" s="6"/>
      <c r="L154" s="6"/>
      <c r="M154" s="6"/>
      <c r="N154" s="6"/>
      <c r="O154" s="6"/>
      <c r="P154" s="6"/>
      <c r="Q154" s="6"/>
      <c r="R154" s="6"/>
    </row>
    <row r="155" spans="1:18" s="11" customFormat="1" ht="12.75" customHeight="1" x14ac:dyDescent="0.2">
      <c r="A155" s="325"/>
      <c r="B155" s="325"/>
      <c r="C155" s="325"/>
      <c r="D155" s="325"/>
      <c r="E155" s="292"/>
      <c r="F155" s="202"/>
      <c r="G155" s="6"/>
      <c r="H155" s="6"/>
      <c r="I155" s="6"/>
      <c r="J155" s="6"/>
      <c r="K155" s="6"/>
      <c r="L155" s="6"/>
      <c r="M155" s="6"/>
      <c r="N155" s="6"/>
      <c r="O155" s="6"/>
      <c r="P155" s="6"/>
      <c r="Q155" s="6"/>
      <c r="R155" s="6"/>
    </row>
  </sheetData>
  <mergeCells count="5">
    <mergeCell ref="I10:J18"/>
    <mergeCell ref="A3:D3"/>
    <mergeCell ref="A5:D5"/>
    <mergeCell ref="A7:D7"/>
    <mergeCell ref="F10:H10"/>
  </mergeCells>
  <phoneticPr fontId="0" type="noConversion"/>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7</vt:i4>
      </vt:variant>
    </vt:vector>
  </HeadingPairs>
  <TitlesOfParts>
    <vt:vector size="16"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'8.Akkoordverklaring'!Afdrukbereik</vt:lpstr>
      <vt:lpstr>'9.Eindoordeel'!Afdrukbereik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2016-02-11T09:24:14Z</cp:lastPrinted>
  <dcterms:created xsi:type="dcterms:W3CDTF">2003-06-19T13:24:40Z</dcterms:created>
  <dcterms:modified xsi:type="dcterms:W3CDTF">2016-02-24T08:06:07Z</dcterms:modified>
</cp:coreProperties>
</file>