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2345" yWindow="-15" windowWidth="12315" windowHeight="13260" tabRatio="830" activeTab="8"/>
  </bookViews>
  <sheets>
    <sheet name="1.Aanschrijfbrief" sheetId="34" r:id="rId1"/>
    <sheet name="2.Adressering" sheetId="36" r:id="rId2"/>
    <sheet name="3.Toelichting" sheetId="6" r:id="rId3"/>
    <sheet name="4.Informatie" sheetId="23" r:id="rId4"/>
    <sheet name="5.Verdelingsmatrix lasten" sheetId="24" r:id="rId5"/>
    <sheet name="6.Verdelingsmatrix baten" sheetId="25" r:id="rId6"/>
    <sheet name="7.Balansstanden" sheetId="28" r:id="rId7"/>
    <sheet name="8.Akkoordverklaring" sheetId="30" r:id="rId8"/>
    <sheet name="9.Eindoordeel" sheetId="37" r:id="rId9"/>
  </sheets>
  <definedNames>
    <definedName name="_xlnm.Print_Area" localSheetId="1">'2.Adressering'!$A$1:$A$43</definedName>
    <definedName name="_xlnm.Print_Area" localSheetId="2">'3.Toelichting'!$A$1:$A$32</definedName>
    <definedName name="_xlnm.Print_Area" localSheetId="3">'4.Informatie'!$A$1:$J$38</definedName>
    <definedName name="_xlnm.Print_Area" localSheetId="4">'5.Verdelingsmatrix lasten'!$A$1:$AD$170</definedName>
    <definedName name="_xlnm.Print_Area" localSheetId="5">'6.Verdelingsmatrix baten'!$A$1:$AD$170</definedName>
    <definedName name="_xlnm.Print_Area" localSheetId="7">'8.Akkoordverklaring'!$A$1:$C$35</definedName>
    <definedName name="_xlnm.Print_Area" localSheetId="8">'9.Eindoordeel'!$A$1:$J$126</definedName>
    <definedName name="AS2DocOpenMode" hidden="1">"AS2DocumentEdit"</definedName>
  </definedNames>
  <calcPr calcId="145621"/>
</workbook>
</file>

<file path=xl/calcChain.xml><?xml version="1.0" encoding="utf-8"?>
<calcChain xmlns="http://schemas.openxmlformats.org/spreadsheetml/2006/main">
  <c r="F18" i="28" l="1"/>
  <c r="H66" i="28"/>
  <c r="H65" i="28"/>
  <c r="H60" i="28"/>
  <c r="H40" i="28"/>
  <c r="H38" i="28"/>
  <c r="H36" i="28"/>
  <c r="H35" i="28"/>
  <c r="H25" i="28"/>
  <c r="H24" i="28"/>
  <c r="H22" i="28"/>
  <c r="H18" i="28"/>
  <c r="F66" i="28"/>
  <c r="F65" i="28"/>
  <c r="F60" i="28"/>
  <c r="F40" i="28"/>
  <c r="F38" i="28"/>
  <c r="F36" i="28"/>
  <c r="F35" i="28"/>
  <c r="F25" i="28"/>
  <c r="F24" i="28"/>
  <c r="F22" i="28"/>
  <c r="P52" i="24" l="1"/>
  <c r="Q76" i="24"/>
  <c r="P76" i="24"/>
  <c r="AA160" i="24" l="1"/>
  <c r="AA159" i="24"/>
  <c r="AA134" i="24"/>
  <c r="AA131" i="24"/>
  <c r="Y153" i="24"/>
  <c r="X159" i="24"/>
  <c r="T136" i="24"/>
  <c r="T132" i="24"/>
  <c r="S76" i="24"/>
  <c r="S66" i="24"/>
  <c r="S57" i="24"/>
  <c r="S52" i="24"/>
  <c r="S45" i="24"/>
  <c r="S42" i="24"/>
  <c r="S40" i="24"/>
  <c r="S26" i="24"/>
  <c r="S24" i="24"/>
  <c r="S23" i="24"/>
  <c r="S12" i="24"/>
  <c r="S6" i="24"/>
  <c r="S99" i="24"/>
  <c r="S110" i="24"/>
  <c r="S142" i="24"/>
  <c r="R83" i="24"/>
  <c r="R82" i="24"/>
  <c r="Q77" i="24"/>
  <c r="Q70" i="24"/>
  <c r="Q66" i="24"/>
  <c r="Q63" i="24"/>
  <c r="Q57" i="24"/>
  <c r="Q52" i="24"/>
  <c r="P77" i="24"/>
  <c r="P59" i="24"/>
  <c r="P57" i="24"/>
  <c r="P51" i="24"/>
  <c r="P27" i="24"/>
  <c r="P26" i="24"/>
  <c r="P23" i="24"/>
  <c r="O77" i="24"/>
  <c r="O76" i="24"/>
  <c r="O71" i="24"/>
  <c r="O70" i="24"/>
  <c r="O69" i="24"/>
  <c r="O67" i="24"/>
  <c r="O66" i="24"/>
  <c r="O65" i="24"/>
  <c r="O64" i="24"/>
  <c r="O63" i="24"/>
  <c r="O59" i="24"/>
  <c r="O57" i="24"/>
  <c r="O56" i="24"/>
  <c r="O52" i="24"/>
  <c r="O51" i="24"/>
  <c r="O40" i="24"/>
  <c r="O31" i="24"/>
  <c r="O27" i="24"/>
  <c r="O23" i="24"/>
  <c r="O13" i="24"/>
  <c r="O12" i="24"/>
  <c r="O8" i="24"/>
  <c r="O7" i="24"/>
  <c r="O6" i="24"/>
  <c r="O145" i="24"/>
  <c r="O99" i="24"/>
  <c r="N77" i="24"/>
  <c r="N76" i="24"/>
  <c r="N71" i="24"/>
  <c r="N69" i="24"/>
  <c r="N66" i="24"/>
  <c r="N63" i="24"/>
  <c r="N57" i="24"/>
  <c r="N52" i="24"/>
  <c r="N42" i="24"/>
  <c r="N40" i="24"/>
  <c r="N27" i="24"/>
  <c r="N23" i="24"/>
  <c r="N12" i="24"/>
  <c r="N99" i="24"/>
  <c r="M59" i="24"/>
  <c r="M27" i="24"/>
  <c r="L76" i="24"/>
  <c r="L52" i="24"/>
  <c r="L31" i="24"/>
  <c r="L26" i="24"/>
  <c r="L24" i="24"/>
  <c r="L13" i="24"/>
  <c r="L99" i="24"/>
  <c r="L128" i="24"/>
  <c r="L110" i="24"/>
  <c r="K76" i="24"/>
  <c r="K52" i="24"/>
  <c r="K24" i="24"/>
  <c r="K110" i="24"/>
  <c r="J77" i="24"/>
  <c r="J76" i="24"/>
  <c r="J71" i="24"/>
  <c r="J70" i="24"/>
  <c r="J66" i="24"/>
  <c r="J64" i="24"/>
  <c r="J63" i="24"/>
  <c r="J59" i="24"/>
  <c r="J57" i="24"/>
  <c r="J56" i="24"/>
  <c r="J52" i="24"/>
  <c r="J51" i="24"/>
  <c r="J46" i="24"/>
  <c r="J45" i="24"/>
  <c r="J42" i="24"/>
  <c r="J40" i="24"/>
  <c r="J31" i="24"/>
  <c r="J27" i="24"/>
  <c r="J26" i="24"/>
  <c r="J24" i="24"/>
  <c r="J23" i="24"/>
  <c r="J17" i="24"/>
  <c r="J13" i="24"/>
  <c r="J12" i="24"/>
  <c r="J11" i="24"/>
  <c r="J9" i="24"/>
  <c r="J7" i="24"/>
  <c r="J6" i="24"/>
  <c r="J145" i="24"/>
  <c r="J99" i="24"/>
  <c r="J128" i="24"/>
  <c r="J110" i="24"/>
  <c r="J109" i="24"/>
  <c r="I77" i="24"/>
  <c r="I45" i="24"/>
  <c r="I31" i="24"/>
  <c r="I24" i="24"/>
  <c r="I99" i="24"/>
  <c r="I110" i="24"/>
  <c r="I109" i="24"/>
  <c r="H76" i="24"/>
  <c r="H51" i="24"/>
  <c r="H24" i="24"/>
  <c r="H99" i="24"/>
  <c r="H128" i="24"/>
  <c r="H110" i="24"/>
  <c r="H109" i="24"/>
  <c r="G110" i="24"/>
  <c r="F110" i="24"/>
  <c r="E99" i="24"/>
  <c r="D6" i="24"/>
  <c r="D99" i="24"/>
  <c r="J26" i="25"/>
  <c r="L13" i="25"/>
  <c r="AA160" i="25"/>
  <c r="AA159" i="25"/>
  <c r="AA134" i="25"/>
  <c r="AA131" i="25"/>
  <c r="Y153" i="25"/>
  <c r="Y120" i="25"/>
  <c r="X159" i="25"/>
  <c r="V121" i="25"/>
  <c r="T136" i="25"/>
  <c r="T132" i="25"/>
  <c r="S52" i="25"/>
  <c r="S24" i="25"/>
  <c r="S99" i="25"/>
  <c r="S110" i="25"/>
  <c r="S90" i="25"/>
  <c r="R31" i="25"/>
  <c r="R83" i="25"/>
  <c r="R82" i="25"/>
  <c r="Q59" i="25"/>
  <c r="Q52" i="25"/>
  <c r="P77" i="25"/>
  <c r="P110" i="25"/>
  <c r="O76" i="25"/>
  <c r="O52" i="25"/>
  <c r="O51" i="25"/>
  <c r="O45" i="25"/>
  <c r="O42" i="25"/>
  <c r="O26" i="25"/>
  <c r="O24" i="25"/>
  <c r="O84" i="25"/>
  <c r="O99" i="25"/>
  <c r="O110" i="25"/>
  <c r="N76" i="25"/>
  <c r="N71" i="25"/>
  <c r="N63" i="25"/>
  <c r="N52" i="25"/>
  <c r="N53" i="25"/>
  <c r="N51" i="25"/>
  <c r="N45" i="25"/>
  <c r="N42" i="25"/>
  <c r="N40" i="25"/>
  <c r="N31" i="25"/>
  <c r="N27" i="25"/>
  <c r="N26" i="25"/>
  <c r="N23" i="25"/>
  <c r="N9" i="25"/>
  <c r="N84" i="25"/>
  <c r="N110" i="25"/>
  <c r="M58" i="25"/>
  <c r="M86" i="25"/>
  <c r="L76" i="25"/>
  <c r="L56" i="25"/>
  <c r="L51" i="25"/>
  <c r="L40" i="25"/>
  <c r="L31" i="25"/>
  <c r="L26" i="25"/>
  <c r="L24" i="25"/>
  <c r="L12" i="25"/>
  <c r="L7" i="25"/>
  <c r="L99" i="25"/>
  <c r="L128" i="25"/>
  <c r="L110" i="25"/>
  <c r="K76" i="25"/>
  <c r="K52" i="25"/>
  <c r="K26" i="25"/>
  <c r="K24" i="25"/>
  <c r="K110" i="25"/>
  <c r="J76" i="25"/>
  <c r="J13" i="25"/>
  <c r="J99" i="25"/>
  <c r="J128" i="25"/>
  <c r="J110" i="25"/>
  <c r="I99" i="25"/>
  <c r="G76" i="25"/>
  <c r="G113" i="25"/>
  <c r="G110" i="25"/>
  <c r="F76" i="25"/>
  <c r="F46" i="25"/>
  <c r="F45" i="25"/>
  <c r="F31" i="25"/>
  <c r="F26" i="25"/>
  <c r="F24" i="25"/>
  <c r="F99" i="25"/>
  <c r="E85" i="25"/>
  <c r="A1" i="30" l="1"/>
  <c r="AA14" i="24"/>
  <c r="AA20" i="24"/>
  <c r="AA28" i="24"/>
  <c r="AA37" i="24"/>
  <c r="AA79" i="24"/>
  <c r="AA72" i="24"/>
  <c r="AA60" i="24"/>
  <c r="AA53" i="24"/>
  <c r="AA47" i="24"/>
  <c r="W94" i="24"/>
  <c r="T92" i="24"/>
  <c r="U92" i="24"/>
  <c r="V92" i="24"/>
  <c r="R92" i="24"/>
  <c r="R79" i="24"/>
  <c r="R72" i="24"/>
  <c r="R60" i="24"/>
  <c r="R53" i="24"/>
  <c r="R47" i="24"/>
  <c r="R37" i="24"/>
  <c r="R28" i="24"/>
  <c r="R20" i="24"/>
  <c r="R94" i="24" s="1"/>
  <c r="R165" i="24" s="1"/>
  <c r="R14" i="24"/>
  <c r="I5" i="23"/>
  <c r="F69" i="28"/>
  <c r="B1" i="28"/>
  <c r="F98" i="37"/>
  <c r="F90" i="37"/>
  <c r="F94" i="37"/>
  <c r="F96" i="37"/>
  <c r="F89" i="37"/>
  <c r="E84" i="37"/>
  <c r="G84" i="37" s="1"/>
  <c r="F87" i="37"/>
  <c r="G87" i="37" s="1"/>
  <c r="E88" i="37"/>
  <c r="G88" i="37" s="1"/>
  <c r="E75" i="37"/>
  <c r="F78" i="37"/>
  <c r="E79" i="37"/>
  <c r="B62" i="37"/>
  <c r="C62" i="37"/>
  <c r="D62" i="37"/>
  <c r="E62" i="37"/>
  <c r="B63" i="37"/>
  <c r="C63" i="37"/>
  <c r="D63" i="37"/>
  <c r="E63" i="37"/>
  <c r="B64" i="37"/>
  <c r="C64" i="37"/>
  <c r="D64" i="37"/>
  <c r="E64" i="37"/>
  <c r="F64" i="37" s="1"/>
  <c r="E61" i="37"/>
  <c r="D61" i="37"/>
  <c r="C61" i="37"/>
  <c r="B61" i="37"/>
  <c r="F61" i="37" s="1"/>
  <c r="B54" i="37"/>
  <c r="C54" i="37"/>
  <c r="D54" i="37"/>
  <c r="E54" i="37"/>
  <c r="B55" i="37"/>
  <c r="C55" i="37"/>
  <c r="D55" i="37"/>
  <c r="E55" i="37"/>
  <c r="B56" i="37"/>
  <c r="C56" i="37"/>
  <c r="D56" i="37"/>
  <c r="E56" i="37"/>
  <c r="F56" i="37" s="1"/>
  <c r="B57" i="37"/>
  <c r="C57" i="37"/>
  <c r="D57" i="37"/>
  <c r="E57" i="37"/>
  <c r="B58" i="37"/>
  <c r="C58" i="37"/>
  <c r="D58" i="37"/>
  <c r="E58" i="37"/>
  <c r="B59" i="37"/>
  <c r="C59" i="37"/>
  <c r="D59" i="37"/>
  <c r="E59" i="37"/>
  <c r="B60" i="37"/>
  <c r="C60" i="37"/>
  <c r="D60" i="37"/>
  <c r="E60" i="37"/>
  <c r="F60" i="37" s="1"/>
  <c r="E53" i="37"/>
  <c r="D53" i="37"/>
  <c r="C53" i="37"/>
  <c r="B53" i="37"/>
  <c r="F53" i="37" s="1"/>
  <c r="B47" i="37"/>
  <c r="C47" i="37"/>
  <c r="D47" i="37"/>
  <c r="E47" i="37"/>
  <c r="B48" i="37"/>
  <c r="C48" i="37"/>
  <c r="D48" i="37"/>
  <c r="E48" i="37"/>
  <c r="F48" i="37" s="1"/>
  <c r="B49" i="37"/>
  <c r="C49" i="37"/>
  <c r="D49" i="37"/>
  <c r="E49" i="37"/>
  <c r="B50" i="37"/>
  <c r="C50" i="37"/>
  <c r="D50" i="37"/>
  <c r="E50" i="37"/>
  <c r="B51" i="37"/>
  <c r="C51" i="37"/>
  <c r="D51" i="37"/>
  <c r="E51" i="37"/>
  <c r="F51" i="37" s="1"/>
  <c r="B52" i="37"/>
  <c r="C52" i="37"/>
  <c r="D52" i="37"/>
  <c r="E52" i="37"/>
  <c r="E46" i="37"/>
  <c r="D46" i="37"/>
  <c r="C46" i="37"/>
  <c r="B46" i="37"/>
  <c r="F46" i="37" s="1"/>
  <c r="B39" i="37"/>
  <c r="C39" i="37"/>
  <c r="D39" i="37"/>
  <c r="E39" i="37"/>
  <c r="F39" i="37" s="1"/>
  <c r="B40" i="37"/>
  <c r="C40" i="37"/>
  <c r="D40" i="37"/>
  <c r="E40" i="37"/>
  <c r="F40" i="37" s="1"/>
  <c r="B41" i="37"/>
  <c r="C41" i="37"/>
  <c r="D41" i="37"/>
  <c r="E41" i="37"/>
  <c r="B42" i="37"/>
  <c r="C42" i="37"/>
  <c r="D42" i="37"/>
  <c r="E42" i="37"/>
  <c r="B43" i="37"/>
  <c r="C43" i="37"/>
  <c r="D43" i="37"/>
  <c r="E43" i="37"/>
  <c r="B44" i="37"/>
  <c r="C44" i="37"/>
  <c r="D44" i="37"/>
  <c r="E44" i="37"/>
  <c r="B45" i="37"/>
  <c r="C45" i="37"/>
  <c r="D45" i="37"/>
  <c r="E45" i="37"/>
  <c r="E38" i="37"/>
  <c r="D38" i="37"/>
  <c r="C38" i="37"/>
  <c r="B38" i="37"/>
  <c r="F38" i="37" s="1"/>
  <c r="V123" i="24"/>
  <c r="V123" i="25"/>
  <c r="B24" i="37"/>
  <c r="C100" i="37"/>
  <c r="B100" i="37"/>
  <c r="C99" i="37"/>
  <c r="B99" i="37"/>
  <c r="C98" i="37"/>
  <c r="B98" i="37"/>
  <c r="I98" i="37" s="1"/>
  <c r="C97" i="37"/>
  <c r="B97" i="37"/>
  <c r="C96" i="37"/>
  <c r="I96" i="37" s="1"/>
  <c r="B96" i="37"/>
  <c r="C95" i="37"/>
  <c r="D95" i="37" s="1"/>
  <c r="B95" i="37"/>
  <c r="C94" i="37"/>
  <c r="B94" i="37"/>
  <c r="I94" i="37" s="1"/>
  <c r="C93" i="37"/>
  <c r="I93" i="37" s="1"/>
  <c r="B93" i="37"/>
  <c r="C92" i="37"/>
  <c r="B92" i="37"/>
  <c r="C91" i="37"/>
  <c r="D91" i="37" s="1"/>
  <c r="B91" i="37"/>
  <c r="C90" i="37"/>
  <c r="B90" i="37"/>
  <c r="I90" i="37" s="1"/>
  <c r="C89" i="37"/>
  <c r="B89" i="37"/>
  <c r="C88" i="37"/>
  <c r="B88" i="37"/>
  <c r="D88" i="37" s="1"/>
  <c r="C87" i="37"/>
  <c r="D87" i="37" s="1"/>
  <c r="B87" i="37"/>
  <c r="C86" i="37"/>
  <c r="B86" i="37"/>
  <c r="I86" i="37" s="1"/>
  <c r="C85" i="37"/>
  <c r="I85" i="37" s="1"/>
  <c r="B85" i="37"/>
  <c r="C84" i="37"/>
  <c r="B84" i="37"/>
  <c r="C83" i="37"/>
  <c r="D83" i="37" s="1"/>
  <c r="B83" i="37"/>
  <c r="C82" i="37"/>
  <c r="B82" i="37"/>
  <c r="I82" i="37" s="1"/>
  <c r="C81" i="37"/>
  <c r="B81" i="37"/>
  <c r="C80" i="37"/>
  <c r="B80" i="37"/>
  <c r="C79" i="37"/>
  <c r="D79" i="37" s="1"/>
  <c r="B79" i="37"/>
  <c r="C78" i="37"/>
  <c r="B78" i="37"/>
  <c r="I78" i="37" s="1"/>
  <c r="C77" i="37"/>
  <c r="I77" i="37" s="1"/>
  <c r="B77" i="37"/>
  <c r="C76" i="37"/>
  <c r="B76" i="37"/>
  <c r="C75" i="37"/>
  <c r="D75" i="37" s="1"/>
  <c r="H75" i="37" s="1"/>
  <c r="B75" i="37"/>
  <c r="C74" i="37"/>
  <c r="B74" i="37"/>
  <c r="I79" i="37"/>
  <c r="I99" i="37"/>
  <c r="G75" i="37"/>
  <c r="G79" i="37"/>
  <c r="H79" i="37"/>
  <c r="H88" i="37"/>
  <c r="G90" i="37"/>
  <c r="D98" i="37"/>
  <c r="F43" i="37"/>
  <c r="F44" i="37"/>
  <c r="F47" i="37"/>
  <c r="F52" i="37"/>
  <c r="F55" i="37"/>
  <c r="F59" i="37"/>
  <c r="F63" i="37"/>
  <c r="B3" i="23"/>
  <c r="H70" i="28"/>
  <c r="H69" i="28"/>
  <c r="F70" i="28"/>
  <c r="C161" i="25"/>
  <c r="D161" i="25"/>
  <c r="E161" i="25"/>
  <c r="F161" i="25"/>
  <c r="G161" i="25"/>
  <c r="H161" i="25"/>
  <c r="I161" i="25"/>
  <c r="J161" i="25"/>
  <c r="K161" i="25"/>
  <c r="L161" i="25"/>
  <c r="M161" i="25"/>
  <c r="N161" i="25"/>
  <c r="O161" i="25"/>
  <c r="P161" i="25"/>
  <c r="Q161" i="25"/>
  <c r="R161" i="25"/>
  <c r="S161" i="25"/>
  <c r="T161" i="25"/>
  <c r="U161" i="25"/>
  <c r="V161" i="25"/>
  <c r="W161" i="25"/>
  <c r="X161" i="25"/>
  <c r="Y161" i="25"/>
  <c r="Z161" i="25"/>
  <c r="AA161" i="25"/>
  <c r="AB161" i="25"/>
  <c r="AC161" i="25"/>
  <c r="E163" i="25"/>
  <c r="O163" i="25"/>
  <c r="Q163" i="25"/>
  <c r="Z163" i="25"/>
  <c r="AC163" i="25"/>
  <c r="AD161" i="25"/>
  <c r="AD160" i="25"/>
  <c r="F100" i="37" s="1"/>
  <c r="AD159" i="25"/>
  <c r="F99" i="37" s="1"/>
  <c r="AD158" i="25"/>
  <c r="AD157" i="25"/>
  <c r="F97" i="37" s="1"/>
  <c r="AD153" i="25"/>
  <c r="AD152" i="25"/>
  <c r="F95" i="37" s="1"/>
  <c r="AD151" i="25"/>
  <c r="AD150" i="25"/>
  <c r="F93" i="37" s="1"/>
  <c r="AD149" i="25"/>
  <c r="F92" i="37" s="1"/>
  <c r="AD148" i="25"/>
  <c r="F91" i="37" s="1"/>
  <c r="AD147" i="25"/>
  <c r="AD146" i="25"/>
  <c r="AD145" i="25"/>
  <c r="AD144" i="25"/>
  <c r="AD143" i="25"/>
  <c r="AD142" i="25"/>
  <c r="AD141" i="25"/>
  <c r="AD137" i="25"/>
  <c r="F88" i="37" s="1"/>
  <c r="AD136" i="25"/>
  <c r="AD135" i="25"/>
  <c r="F86" i="37" s="1"/>
  <c r="AD134" i="25"/>
  <c r="F85" i="37" s="1"/>
  <c r="AD133" i="25"/>
  <c r="F84" i="37" s="1"/>
  <c r="AD132" i="25"/>
  <c r="F83" i="37" s="1"/>
  <c r="AD131" i="25"/>
  <c r="F82" i="37" s="1"/>
  <c r="AD130" i="25"/>
  <c r="AD129" i="25"/>
  <c r="AD128" i="25"/>
  <c r="AD127" i="25"/>
  <c r="AD126" i="25"/>
  <c r="AD122" i="25"/>
  <c r="AD121" i="25"/>
  <c r="F81" i="37" s="1"/>
  <c r="AD120" i="25"/>
  <c r="F80" i="37" s="1"/>
  <c r="AD119" i="25"/>
  <c r="F79" i="37" s="1"/>
  <c r="AD118" i="25"/>
  <c r="AD117" i="25"/>
  <c r="F77" i="37" s="1"/>
  <c r="AD116" i="25"/>
  <c r="F76" i="37" s="1"/>
  <c r="AD115" i="25"/>
  <c r="F75" i="37" s="1"/>
  <c r="AD114" i="25"/>
  <c r="F74" i="37" s="1"/>
  <c r="AD113" i="25"/>
  <c r="AD112" i="25"/>
  <c r="AD111" i="25"/>
  <c r="AD110" i="25"/>
  <c r="AD109" i="25"/>
  <c r="AD108" i="25"/>
  <c r="AD107" i="25"/>
  <c r="AD106" i="25"/>
  <c r="AD105" i="25"/>
  <c r="AD99" i="25"/>
  <c r="AD98" i="25"/>
  <c r="AD91" i="25"/>
  <c r="AD90" i="25"/>
  <c r="AD89" i="25"/>
  <c r="AD88" i="25"/>
  <c r="AD87" i="25"/>
  <c r="AD86" i="25"/>
  <c r="AD85" i="25"/>
  <c r="AD84" i="25"/>
  <c r="AD83" i="25"/>
  <c r="AD82" i="25"/>
  <c r="AD78" i="25"/>
  <c r="AD77" i="25"/>
  <c r="AD76" i="25"/>
  <c r="AD75" i="25"/>
  <c r="AD71" i="25"/>
  <c r="AD70" i="25"/>
  <c r="AD69" i="25"/>
  <c r="AD68" i="25"/>
  <c r="AD67" i="25"/>
  <c r="AD66" i="25"/>
  <c r="AD65" i="25"/>
  <c r="AD64" i="25"/>
  <c r="AD63" i="25"/>
  <c r="AD59" i="25"/>
  <c r="AD58" i="25"/>
  <c r="AD57" i="25"/>
  <c r="AD56" i="25"/>
  <c r="AD52" i="25"/>
  <c r="AD51" i="25"/>
  <c r="AD50" i="25"/>
  <c r="AD46" i="25"/>
  <c r="AD45" i="25"/>
  <c r="AD44" i="25"/>
  <c r="AD43" i="25"/>
  <c r="AD42" i="25"/>
  <c r="AD41" i="25"/>
  <c r="AD40" i="25"/>
  <c r="AD36" i="25"/>
  <c r="AD35" i="25"/>
  <c r="AD34" i="25"/>
  <c r="AD33" i="25"/>
  <c r="AD32" i="25"/>
  <c r="AD31" i="25"/>
  <c r="AD27" i="25"/>
  <c r="AD26" i="25"/>
  <c r="AD25" i="25"/>
  <c r="AD24" i="25"/>
  <c r="AD23" i="25"/>
  <c r="AD19" i="25"/>
  <c r="AD18" i="25"/>
  <c r="AD17" i="25"/>
  <c r="AD13" i="25"/>
  <c r="AD12" i="25"/>
  <c r="AD11" i="25"/>
  <c r="AD10" i="25"/>
  <c r="AD9" i="25"/>
  <c r="AD8" i="25"/>
  <c r="AD7" i="25"/>
  <c r="AD6" i="25"/>
  <c r="C14" i="25"/>
  <c r="C20" i="25"/>
  <c r="C28" i="25"/>
  <c r="C37" i="25"/>
  <c r="C47" i="25"/>
  <c r="C53" i="25"/>
  <c r="C60" i="25"/>
  <c r="C72" i="25"/>
  <c r="C79" i="25"/>
  <c r="C92" i="25"/>
  <c r="C100" i="25"/>
  <c r="C123" i="25"/>
  <c r="C138" i="25"/>
  <c r="C154" i="25"/>
  <c r="AD160" i="24"/>
  <c r="E100" i="37" s="1"/>
  <c r="AD159" i="24"/>
  <c r="E99" i="37" s="1"/>
  <c r="AD158" i="24"/>
  <c r="E98" i="37" s="1"/>
  <c r="G98" i="37" s="1"/>
  <c r="AD157" i="24"/>
  <c r="E97" i="37" s="1"/>
  <c r="AD153" i="24"/>
  <c r="E96" i="37" s="1"/>
  <c r="AD152" i="24"/>
  <c r="E95" i="37" s="1"/>
  <c r="G95" i="37" s="1"/>
  <c r="AD151" i="24"/>
  <c r="E94" i="37" s="1"/>
  <c r="AD150" i="24"/>
  <c r="E93" i="37" s="1"/>
  <c r="G93" i="37" s="1"/>
  <c r="AD149" i="24"/>
  <c r="E92" i="37" s="1"/>
  <c r="AD148" i="24"/>
  <c r="E91" i="37" s="1"/>
  <c r="G91" i="37" s="1"/>
  <c r="AD147" i="24"/>
  <c r="E90" i="37" s="1"/>
  <c r="AD146" i="24"/>
  <c r="E89" i="37" s="1"/>
  <c r="G89" i="37" s="1"/>
  <c r="AD145" i="24"/>
  <c r="AD144" i="24"/>
  <c r="AD143" i="24"/>
  <c r="AD142" i="24"/>
  <c r="AD141" i="24"/>
  <c r="AD137" i="24"/>
  <c r="AD136" i="24"/>
  <c r="E87" i="37" s="1"/>
  <c r="AD135" i="24"/>
  <c r="E86" i="37" s="1"/>
  <c r="G86" i="37" s="1"/>
  <c r="AD134" i="24"/>
  <c r="E85" i="37" s="1"/>
  <c r="AD133" i="24"/>
  <c r="AD132" i="24"/>
  <c r="E83" i="37" s="1"/>
  <c r="AD131" i="24"/>
  <c r="E82" i="37" s="1"/>
  <c r="AD130" i="24"/>
  <c r="AD129" i="24"/>
  <c r="AD128" i="24"/>
  <c r="AD127" i="24"/>
  <c r="AD126" i="24"/>
  <c r="AD122" i="24"/>
  <c r="AD121" i="24"/>
  <c r="E81" i="37" s="1"/>
  <c r="G81" i="37" s="1"/>
  <c r="AD120" i="24"/>
  <c r="E80" i="37" s="1"/>
  <c r="AD119" i="24"/>
  <c r="AD118" i="24"/>
  <c r="E78" i="37" s="1"/>
  <c r="G78" i="37" s="1"/>
  <c r="AD117" i="24"/>
  <c r="E77" i="37" s="1"/>
  <c r="G77" i="37" s="1"/>
  <c r="AD116" i="24"/>
  <c r="E76" i="37" s="1"/>
  <c r="AD115" i="24"/>
  <c r="AD114" i="24"/>
  <c r="E74" i="37" s="1"/>
  <c r="G74" i="37" s="1"/>
  <c r="AD113" i="24"/>
  <c r="AD112" i="24"/>
  <c r="AD111" i="24"/>
  <c r="AD110" i="24"/>
  <c r="AD109" i="24"/>
  <c r="AD108" i="24"/>
  <c r="AD107" i="24"/>
  <c r="AD106" i="24"/>
  <c r="AD105" i="24"/>
  <c r="AD99" i="24"/>
  <c r="AD98" i="24"/>
  <c r="AD91" i="24"/>
  <c r="AD90" i="24"/>
  <c r="AD89" i="24"/>
  <c r="AD88" i="24"/>
  <c r="AD87" i="24"/>
  <c r="AD86" i="24"/>
  <c r="AD85" i="24"/>
  <c r="AD84" i="24"/>
  <c r="AD83" i="24"/>
  <c r="AD82" i="24"/>
  <c r="AD78" i="24"/>
  <c r="AD77" i="24"/>
  <c r="AD76" i="24"/>
  <c r="AD75" i="24"/>
  <c r="AD71" i="24"/>
  <c r="AD70" i="24"/>
  <c r="AD69" i="24"/>
  <c r="AD68" i="24"/>
  <c r="AD67" i="24"/>
  <c r="AD66" i="24"/>
  <c r="AD65" i="24"/>
  <c r="AD64" i="24"/>
  <c r="AD63" i="24"/>
  <c r="AD59" i="24"/>
  <c r="AD58" i="24"/>
  <c r="AD57" i="24"/>
  <c r="AD56" i="24"/>
  <c r="AD52" i="24"/>
  <c r="AD51" i="24"/>
  <c r="AD50" i="24"/>
  <c r="AD46" i="24"/>
  <c r="AD45" i="24"/>
  <c r="AD44" i="24"/>
  <c r="AD43" i="24"/>
  <c r="AD42" i="24"/>
  <c r="AD41" i="24"/>
  <c r="AD40" i="24"/>
  <c r="AD36" i="24"/>
  <c r="AD35" i="24"/>
  <c r="AD34" i="24"/>
  <c r="AD33" i="24"/>
  <c r="AD32" i="24"/>
  <c r="AD31" i="24"/>
  <c r="AD27" i="24"/>
  <c r="AD26" i="24"/>
  <c r="AD25" i="24"/>
  <c r="AD24" i="24"/>
  <c r="AD23" i="24"/>
  <c r="AD19" i="24"/>
  <c r="AD18" i="24"/>
  <c r="AD17" i="24"/>
  <c r="AD13" i="24"/>
  <c r="AD12" i="24"/>
  <c r="AD11" i="24"/>
  <c r="AD10" i="24"/>
  <c r="AD9" i="24"/>
  <c r="AD8" i="24"/>
  <c r="AD7" i="24"/>
  <c r="AD6" i="24"/>
  <c r="C14" i="24"/>
  <c r="C20" i="24"/>
  <c r="C28" i="24"/>
  <c r="C37" i="24"/>
  <c r="C47" i="24"/>
  <c r="C53" i="24"/>
  <c r="C60" i="24"/>
  <c r="C72" i="24"/>
  <c r="C79" i="24"/>
  <c r="C92" i="24"/>
  <c r="C100" i="24"/>
  <c r="C123" i="24"/>
  <c r="C138" i="24"/>
  <c r="C163" i="24" s="1"/>
  <c r="C154" i="24"/>
  <c r="C161" i="24"/>
  <c r="D92" i="25"/>
  <c r="E92" i="25"/>
  <c r="F92" i="25"/>
  <c r="G92" i="25"/>
  <c r="H92" i="25"/>
  <c r="H94" i="25" s="1"/>
  <c r="H165" i="25" s="1"/>
  <c r="I92" i="25"/>
  <c r="J92" i="25"/>
  <c r="K92" i="25"/>
  <c r="L92" i="25"/>
  <c r="M92" i="25"/>
  <c r="N92" i="25"/>
  <c r="O92" i="25"/>
  <c r="P92" i="25"/>
  <c r="Q92" i="25"/>
  <c r="R92" i="25"/>
  <c r="S92" i="25"/>
  <c r="T92" i="25"/>
  <c r="U92" i="25"/>
  <c r="V92" i="25"/>
  <c r="W92" i="25"/>
  <c r="X92" i="25"/>
  <c r="Y92" i="25"/>
  <c r="Z92" i="25"/>
  <c r="AA92" i="25"/>
  <c r="AB92" i="25"/>
  <c r="AC92" i="25"/>
  <c r="D92" i="24"/>
  <c r="E92" i="24"/>
  <c r="F92" i="24"/>
  <c r="F94" i="24" s="1"/>
  <c r="G92" i="24"/>
  <c r="H92" i="24"/>
  <c r="I92" i="24"/>
  <c r="J92" i="24"/>
  <c r="K92" i="24"/>
  <c r="L92" i="24"/>
  <c r="M92" i="24"/>
  <c r="N92" i="24"/>
  <c r="O92" i="24"/>
  <c r="P92" i="24"/>
  <c r="Q92" i="24"/>
  <c r="S92" i="24"/>
  <c r="W92" i="24"/>
  <c r="X92" i="24"/>
  <c r="Y92" i="24"/>
  <c r="Z92" i="24"/>
  <c r="AA92" i="24"/>
  <c r="AB92" i="24"/>
  <c r="AC92" i="24"/>
  <c r="D94" i="25"/>
  <c r="D165" i="25" s="1"/>
  <c r="V94" i="25"/>
  <c r="AA94" i="25"/>
  <c r="D154" i="25"/>
  <c r="E154" i="25"/>
  <c r="F154" i="25"/>
  <c r="G154" i="25"/>
  <c r="H154" i="25"/>
  <c r="I154" i="25"/>
  <c r="J154" i="25"/>
  <c r="K154" i="25"/>
  <c r="L154" i="25"/>
  <c r="M154" i="25"/>
  <c r="N154" i="25"/>
  <c r="O154" i="25"/>
  <c r="P154" i="25"/>
  <c r="Q154" i="25"/>
  <c r="R154" i="25"/>
  <c r="S154" i="25"/>
  <c r="T154" i="25"/>
  <c r="U154" i="25"/>
  <c r="V154" i="25"/>
  <c r="W154" i="25"/>
  <c r="X154" i="25"/>
  <c r="X163" i="25" s="1"/>
  <c r="Y154" i="25"/>
  <c r="Z154" i="25"/>
  <c r="AA154" i="25"/>
  <c r="AB154" i="25"/>
  <c r="AC154" i="25"/>
  <c r="D138" i="25"/>
  <c r="E138" i="25"/>
  <c r="F138" i="25"/>
  <c r="G138" i="25"/>
  <c r="H138" i="25"/>
  <c r="I138" i="25"/>
  <c r="J138" i="25"/>
  <c r="K138" i="25"/>
  <c r="L138" i="25"/>
  <c r="M138" i="25"/>
  <c r="N138" i="25"/>
  <c r="O138" i="25"/>
  <c r="P138" i="25"/>
  <c r="Q138" i="25"/>
  <c r="R138" i="25"/>
  <c r="S138" i="25"/>
  <c r="T138" i="25"/>
  <c r="U138" i="25"/>
  <c r="V138" i="25"/>
  <c r="W138" i="25"/>
  <c r="X138" i="25"/>
  <c r="Y138" i="25"/>
  <c r="Z138" i="25"/>
  <c r="AA138" i="25"/>
  <c r="AB138" i="25"/>
  <c r="AC138" i="25"/>
  <c r="D123" i="25"/>
  <c r="D163" i="25" s="1"/>
  <c r="E123" i="25"/>
  <c r="F123" i="25"/>
  <c r="G123" i="25"/>
  <c r="H123" i="25"/>
  <c r="H163" i="25" s="1"/>
  <c r="I123" i="25"/>
  <c r="I163" i="25" s="1"/>
  <c r="J123" i="25"/>
  <c r="K123" i="25"/>
  <c r="K163" i="25" s="1"/>
  <c r="L123" i="25"/>
  <c r="M123" i="25"/>
  <c r="N123" i="25"/>
  <c r="O123" i="25"/>
  <c r="P123" i="25"/>
  <c r="P163" i="25" s="1"/>
  <c r="Q123" i="25"/>
  <c r="R123" i="25"/>
  <c r="S123" i="25"/>
  <c r="S163" i="25" s="1"/>
  <c r="T123" i="25"/>
  <c r="U123" i="25"/>
  <c r="W123" i="25"/>
  <c r="X123" i="25"/>
  <c r="Y123" i="25"/>
  <c r="Z123" i="25"/>
  <c r="AA123" i="25"/>
  <c r="AB123" i="25"/>
  <c r="AC123" i="25"/>
  <c r="D100" i="25"/>
  <c r="E100" i="25"/>
  <c r="F100" i="25"/>
  <c r="G100" i="25"/>
  <c r="H100" i="25"/>
  <c r="I100" i="25"/>
  <c r="J100" i="25"/>
  <c r="K100" i="25"/>
  <c r="L100" i="25"/>
  <c r="M100" i="25"/>
  <c r="N100" i="25"/>
  <c r="O100" i="25"/>
  <c r="P100" i="25"/>
  <c r="Q100" i="25"/>
  <c r="R100" i="25"/>
  <c r="S100" i="25"/>
  <c r="T100" i="25"/>
  <c r="U100" i="25"/>
  <c r="V100" i="25"/>
  <c r="W100" i="25"/>
  <c r="X100" i="25"/>
  <c r="Y100" i="25"/>
  <c r="Z100" i="25"/>
  <c r="AA100" i="25"/>
  <c r="AB100" i="25"/>
  <c r="AC100" i="25"/>
  <c r="D79" i="25"/>
  <c r="E79" i="25"/>
  <c r="F79" i="25"/>
  <c r="G79" i="25"/>
  <c r="H79" i="25"/>
  <c r="I79" i="25"/>
  <c r="J79" i="25"/>
  <c r="K79" i="25"/>
  <c r="L79" i="25"/>
  <c r="M79" i="25"/>
  <c r="N79" i="25"/>
  <c r="O79" i="25"/>
  <c r="P79" i="25"/>
  <c r="Q79" i="25"/>
  <c r="R79" i="25"/>
  <c r="S79" i="25"/>
  <c r="T79" i="25"/>
  <c r="U79" i="25"/>
  <c r="V79" i="25"/>
  <c r="W79" i="25"/>
  <c r="X79" i="25"/>
  <c r="Y79" i="25"/>
  <c r="Z79" i="25"/>
  <c r="AA79" i="25"/>
  <c r="AB79" i="25"/>
  <c r="AC79" i="25"/>
  <c r="D72" i="25"/>
  <c r="E72" i="25"/>
  <c r="F72" i="25"/>
  <c r="G72" i="25"/>
  <c r="H72" i="25"/>
  <c r="I72" i="25"/>
  <c r="J72" i="25"/>
  <c r="K72" i="25"/>
  <c r="L72" i="25"/>
  <c r="M72" i="25"/>
  <c r="N72" i="25"/>
  <c r="O72" i="25"/>
  <c r="P72" i="25"/>
  <c r="Q72" i="25"/>
  <c r="R72" i="25"/>
  <c r="S72" i="25"/>
  <c r="T72" i="25"/>
  <c r="U72" i="25"/>
  <c r="V72" i="25"/>
  <c r="W72" i="25"/>
  <c r="X72" i="25"/>
  <c r="Y72" i="25"/>
  <c r="Z72" i="25"/>
  <c r="AA72" i="25"/>
  <c r="AB72" i="25"/>
  <c r="AC72" i="25"/>
  <c r="D60" i="25"/>
  <c r="E60" i="25"/>
  <c r="F60" i="25"/>
  <c r="G60" i="25"/>
  <c r="H60" i="25"/>
  <c r="I60" i="25"/>
  <c r="J60" i="25"/>
  <c r="K60" i="25"/>
  <c r="L60" i="25"/>
  <c r="M60" i="25"/>
  <c r="N60" i="25"/>
  <c r="O60" i="25"/>
  <c r="P60" i="25"/>
  <c r="Q60" i="25"/>
  <c r="R60" i="25"/>
  <c r="S60" i="25"/>
  <c r="T60" i="25"/>
  <c r="U60" i="25"/>
  <c r="V60" i="25"/>
  <c r="W60" i="25"/>
  <c r="X60" i="25"/>
  <c r="Y60" i="25"/>
  <c r="Z60" i="25"/>
  <c r="AA60" i="25"/>
  <c r="AB60" i="25"/>
  <c r="AC60" i="25"/>
  <c r="D53" i="25"/>
  <c r="E53" i="25"/>
  <c r="F53" i="25"/>
  <c r="G53" i="25"/>
  <c r="H53" i="25"/>
  <c r="I53" i="25"/>
  <c r="J53" i="25"/>
  <c r="K53" i="25"/>
  <c r="L53" i="25"/>
  <c r="M53" i="25"/>
  <c r="O53" i="25"/>
  <c r="P53" i="25"/>
  <c r="Q53" i="25"/>
  <c r="R53" i="25"/>
  <c r="S53" i="25"/>
  <c r="T53" i="25"/>
  <c r="U53" i="25"/>
  <c r="V53" i="25"/>
  <c r="W53" i="25"/>
  <c r="X53" i="25"/>
  <c r="Y53" i="25"/>
  <c r="Z53" i="25"/>
  <c r="AA53" i="25"/>
  <c r="AB53" i="25"/>
  <c r="AC53" i="25"/>
  <c r="D47" i="25"/>
  <c r="E47" i="25"/>
  <c r="F47" i="25"/>
  <c r="G47" i="25"/>
  <c r="H47" i="25"/>
  <c r="I47" i="25"/>
  <c r="J47" i="25"/>
  <c r="K47" i="25"/>
  <c r="L47" i="25"/>
  <c r="M47" i="25"/>
  <c r="N47" i="25"/>
  <c r="O47" i="25"/>
  <c r="P47" i="25"/>
  <c r="Q47" i="25"/>
  <c r="R47" i="25"/>
  <c r="S47" i="25"/>
  <c r="T47" i="25"/>
  <c r="U47" i="25"/>
  <c r="V47" i="25"/>
  <c r="W47" i="25"/>
  <c r="X47" i="25"/>
  <c r="Y47" i="25"/>
  <c r="Z47" i="25"/>
  <c r="AA47" i="25"/>
  <c r="AB47" i="25"/>
  <c r="AC47" i="25"/>
  <c r="D37" i="25"/>
  <c r="E37" i="25"/>
  <c r="F37" i="25"/>
  <c r="G37" i="25"/>
  <c r="H37" i="25"/>
  <c r="I37" i="25"/>
  <c r="J37" i="25"/>
  <c r="K37" i="25"/>
  <c r="L37" i="25"/>
  <c r="M37" i="25"/>
  <c r="N37" i="25"/>
  <c r="O37" i="25"/>
  <c r="P37" i="25"/>
  <c r="Q37" i="25"/>
  <c r="R37" i="25"/>
  <c r="S37" i="25"/>
  <c r="T37" i="25"/>
  <c r="U37" i="25"/>
  <c r="V37" i="25"/>
  <c r="W37" i="25"/>
  <c r="X37" i="25"/>
  <c r="Y37" i="25"/>
  <c r="Z37" i="25"/>
  <c r="AA37" i="25"/>
  <c r="AB37" i="25"/>
  <c r="AC37" i="25"/>
  <c r="D28" i="25"/>
  <c r="E28" i="25"/>
  <c r="F28" i="25"/>
  <c r="G28" i="25"/>
  <c r="H28" i="25"/>
  <c r="I28" i="25"/>
  <c r="J28" i="25"/>
  <c r="K28" i="25"/>
  <c r="K94" i="25" s="1"/>
  <c r="L28" i="25"/>
  <c r="M28" i="25"/>
  <c r="N28" i="25"/>
  <c r="O28" i="25"/>
  <c r="P28" i="25"/>
  <c r="Q28" i="25"/>
  <c r="R28" i="25"/>
  <c r="S28" i="25"/>
  <c r="T28" i="25"/>
  <c r="U28" i="25"/>
  <c r="V28" i="25"/>
  <c r="W28" i="25"/>
  <c r="X28" i="25"/>
  <c r="Y28" i="25"/>
  <c r="Z28" i="25"/>
  <c r="AA28" i="25"/>
  <c r="AB28" i="25"/>
  <c r="AC28" i="25"/>
  <c r="D20" i="25"/>
  <c r="AD20" i="25" s="1"/>
  <c r="E20" i="25"/>
  <c r="F20" i="25"/>
  <c r="G20" i="25"/>
  <c r="H20" i="25"/>
  <c r="I20" i="25"/>
  <c r="J20" i="25"/>
  <c r="K20" i="25"/>
  <c r="L20" i="25"/>
  <c r="M20" i="25"/>
  <c r="N20" i="25"/>
  <c r="O20" i="25"/>
  <c r="P20" i="25"/>
  <c r="Q20" i="25"/>
  <c r="R20" i="25"/>
  <c r="S20" i="25"/>
  <c r="T20" i="25"/>
  <c r="U20" i="25"/>
  <c r="V20" i="25"/>
  <c r="W20" i="25"/>
  <c r="W94" i="25" s="1"/>
  <c r="X20" i="25"/>
  <c r="Y20" i="25"/>
  <c r="Z20" i="25"/>
  <c r="AA20" i="25"/>
  <c r="AB20" i="25"/>
  <c r="AC20" i="25"/>
  <c r="D14" i="25"/>
  <c r="E14" i="25"/>
  <c r="E94" i="25" s="1"/>
  <c r="E165" i="25" s="1"/>
  <c r="F14" i="25"/>
  <c r="F94" i="25" s="1"/>
  <c r="G14" i="25"/>
  <c r="G94" i="25" s="1"/>
  <c r="H14" i="25"/>
  <c r="I14" i="25"/>
  <c r="I94" i="25" s="1"/>
  <c r="J14" i="25"/>
  <c r="J94" i="25" s="1"/>
  <c r="K14" i="25"/>
  <c r="L14" i="25"/>
  <c r="M14" i="25"/>
  <c r="M94" i="25" s="1"/>
  <c r="N14" i="25"/>
  <c r="O14" i="25"/>
  <c r="P14" i="25"/>
  <c r="Q14" i="25"/>
  <c r="R14" i="25"/>
  <c r="R94" i="25" s="1"/>
  <c r="S14" i="25"/>
  <c r="T14" i="25"/>
  <c r="U14" i="25"/>
  <c r="U94" i="25" s="1"/>
  <c r="V14" i="25"/>
  <c r="W14" i="25"/>
  <c r="X14" i="25"/>
  <c r="Y14" i="25"/>
  <c r="Y94" i="25" s="1"/>
  <c r="Z14" i="25"/>
  <c r="Z94" i="25" s="1"/>
  <c r="Z165" i="25" s="1"/>
  <c r="AA14" i="25"/>
  <c r="AB14" i="25"/>
  <c r="AC14" i="25"/>
  <c r="AC94" i="25" s="1"/>
  <c r="AC165" i="25" s="1"/>
  <c r="C118" i="37" s="1"/>
  <c r="AA123" i="24"/>
  <c r="T123" i="24"/>
  <c r="AC138" i="24"/>
  <c r="AB138" i="24"/>
  <c r="AB94" i="24"/>
  <c r="T163" i="24"/>
  <c r="Z123" i="24"/>
  <c r="G94" i="24"/>
  <c r="D161" i="24"/>
  <c r="E161" i="24"/>
  <c r="F161" i="24"/>
  <c r="G161" i="24"/>
  <c r="H161" i="24"/>
  <c r="I161" i="24"/>
  <c r="J161" i="24"/>
  <c r="K161" i="24"/>
  <c r="L161" i="24"/>
  <c r="M161" i="24"/>
  <c r="N161" i="24"/>
  <c r="O161" i="24"/>
  <c r="P161" i="24"/>
  <c r="Q161" i="24"/>
  <c r="R161" i="24"/>
  <c r="S161" i="24"/>
  <c r="T161" i="24"/>
  <c r="U161" i="24"/>
  <c r="V161" i="24"/>
  <c r="W161" i="24"/>
  <c r="X161" i="24"/>
  <c r="Y161" i="24"/>
  <c r="Z161" i="24"/>
  <c r="AA161" i="24"/>
  <c r="AB161" i="24"/>
  <c r="AC161" i="24"/>
  <c r="D154" i="24"/>
  <c r="E154" i="24"/>
  <c r="F154" i="24"/>
  <c r="F163" i="24" s="1"/>
  <c r="G154" i="24"/>
  <c r="G163" i="24" s="1"/>
  <c r="H154" i="24"/>
  <c r="I154" i="24"/>
  <c r="J154" i="24"/>
  <c r="K154" i="24"/>
  <c r="K163" i="24" s="1"/>
  <c r="L154" i="24"/>
  <c r="M154" i="24"/>
  <c r="N154" i="24"/>
  <c r="N163" i="24" s="1"/>
  <c r="O154" i="24"/>
  <c r="O163" i="24" s="1"/>
  <c r="P154" i="24"/>
  <c r="Q154" i="24"/>
  <c r="R154" i="24"/>
  <c r="R163" i="24" s="1"/>
  <c r="S154" i="24"/>
  <c r="S163" i="24" s="1"/>
  <c r="T154" i="24"/>
  <c r="U154" i="24"/>
  <c r="V154" i="24"/>
  <c r="W154" i="24"/>
  <c r="X154" i="24"/>
  <c r="Y154" i="24"/>
  <c r="Z154" i="24"/>
  <c r="AA154" i="24"/>
  <c r="AB154" i="24"/>
  <c r="AC154" i="24"/>
  <c r="D138" i="24"/>
  <c r="E138" i="24"/>
  <c r="F138" i="24"/>
  <c r="G138" i="24"/>
  <c r="H138" i="24"/>
  <c r="I138" i="24"/>
  <c r="J138" i="24"/>
  <c r="K138" i="24"/>
  <c r="L138" i="24"/>
  <c r="M138" i="24"/>
  <c r="N138" i="24"/>
  <c r="O138" i="24"/>
  <c r="P138" i="24"/>
  <c r="Q138" i="24"/>
  <c r="R138" i="24"/>
  <c r="S138" i="24"/>
  <c r="T138" i="24"/>
  <c r="U138" i="24"/>
  <c r="V138" i="24"/>
  <c r="V163" i="24" s="1"/>
  <c r="W138" i="24"/>
  <c r="X138" i="24"/>
  <c r="X163" i="24" s="1"/>
  <c r="Y138" i="24"/>
  <c r="Y163" i="24" s="1"/>
  <c r="Z138" i="24"/>
  <c r="AA138" i="24"/>
  <c r="AA163" i="24" s="1"/>
  <c r="D123" i="24"/>
  <c r="D163" i="24" s="1"/>
  <c r="E123" i="24"/>
  <c r="E163" i="24" s="1"/>
  <c r="F123" i="24"/>
  <c r="G123" i="24"/>
  <c r="H123" i="24"/>
  <c r="H163" i="24" s="1"/>
  <c r="I123" i="24"/>
  <c r="I163" i="24" s="1"/>
  <c r="J123" i="24"/>
  <c r="K123" i="24"/>
  <c r="L123" i="24"/>
  <c r="L163" i="24" s="1"/>
  <c r="M123" i="24"/>
  <c r="M163" i="24" s="1"/>
  <c r="N123" i="24"/>
  <c r="O123" i="24"/>
  <c r="P123" i="24"/>
  <c r="P163" i="24" s="1"/>
  <c r="Q123" i="24"/>
  <c r="Q163" i="24" s="1"/>
  <c r="R123" i="24"/>
  <c r="S123" i="24"/>
  <c r="U123" i="24"/>
  <c r="U163" i="24" s="1"/>
  <c r="W123" i="24"/>
  <c r="W163" i="24" s="1"/>
  <c r="X123" i="24"/>
  <c r="Y123" i="24"/>
  <c r="AB123" i="24"/>
  <c r="AC123" i="24"/>
  <c r="AC163" i="24" s="1"/>
  <c r="D100" i="24"/>
  <c r="E100" i="24"/>
  <c r="F100" i="24"/>
  <c r="G100" i="24"/>
  <c r="H100" i="24"/>
  <c r="I100" i="24"/>
  <c r="J100" i="24"/>
  <c r="K100" i="24"/>
  <c r="L100" i="24"/>
  <c r="M100" i="24"/>
  <c r="N100" i="24"/>
  <c r="O100" i="24"/>
  <c r="P100" i="24"/>
  <c r="Q100" i="24"/>
  <c r="R100" i="24"/>
  <c r="S100" i="24"/>
  <c r="T100" i="24"/>
  <c r="U100" i="24"/>
  <c r="V100" i="24"/>
  <c r="W100" i="24"/>
  <c r="X100" i="24"/>
  <c r="Y100" i="24"/>
  <c r="Z100" i="24"/>
  <c r="AA100" i="24"/>
  <c r="AB100" i="24"/>
  <c r="AC100" i="24"/>
  <c r="D79" i="24"/>
  <c r="E79" i="24"/>
  <c r="F79" i="24"/>
  <c r="G79" i="24"/>
  <c r="H79" i="24"/>
  <c r="I79" i="24"/>
  <c r="J79" i="24"/>
  <c r="K79" i="24"/>
  <c r="L79" i="24"/>
  <c r="M79" i="24"/>
  <c r="N79" i="24"/>
  <c r="O79" i="24"/>
  <c r="P79" i="24"/>
  <c r="Q79" i="24"/>
  <c r="S79" i="24"/>
  <c r="T79" i="24"/>
  <c r="U79" i="24"/>
  <c r="V79" i="24"/>
  <c r="W79" i="24"/>
  <c r="X79" i="24"/>
  <c r="Y79" i="24"/>
  <c r="Z79" i="24"/>
  <c r="AB79" i="24"/>
  <c r="AC79" i="24"/>
  <c r="D72" i="24"/>
  <c r="E72" i="24"/>
  <c r="F72" i="24"/>
  <c r="G72" i="24"/>
  <c r="H72" i="24"/>
  <c r="I72" i="24"/>
  <c r="J72" i="24"/>
  <c r="K72" i="24"/>
  <c r="L72" i="24"/>
  <c r="M72" i="24"/>
  <c r="N72" i="24"/>
  <c r="O72" i="24"/>
  <c r="P72" i="24"/>
  <c r="Q72" i="24"/>
  <c r="S72" i="24"/>
  <c r="T72" i="24"/>
  <c r="U72" i="24"/>
  <c r="V72" i="24"/>
  <c r="W72" i="24"/>
  <c r="X72" i="24"/>
  <c r="Y72" i="24"/>
  <c r="Z72" i="24"/>
  <c r="AB72" i="24"/>
  <c r="AC72" i="24"/>
  <c r="D60" i="24"/>
  <c r="E60" i="24"/>
  <c r="F60" i="24"/>
  <c r="G60" i="24"/>
  <c r="H60" i="24"/>
  <c r="I60" i="24"/>
  <c r="J60" i="24"/>
  <c r="K60" i="24"/>
  <c r="L60" i="24"/>
  <c r="M60" i="24"/>
  <c r="N60" i="24"/>
  <c r="O60" i="24"/>
  <c r="P60" i="24"/>
  <c r="Q60" i="24"/>
  <c r="S60" i="24"/>
  <c r="T60" i="24"/>
  <c r="U60" i="24"/>
  <c r="V60" i="24"/>
  <c r="W60" i="24"/>
  <c r="X60" i="24"/>
  <c r="Y60" i="24"/>
  <c r="Z60" i="24"/>
  <c r="AB60" i="24"/>
  <c r="AC60" i="24"/>
  <c r="D53" i="24"/>
  <c r="E53" i="24"/>
  <c r="F53" i="24"/>
  <c r="G53" i="24"/>
  <c r="H53" i="24"/>
  <c r="I53" i="24"/>
  <c r="J53" i="24"/>
  <c r="K53" i="24"/>
  <c r="L53" i="24"/>
  <c r="M53" i="24"/>
  <c r="N53" i="24"/>
  <c r="O53" i="24"/>
  <c r="P53" i="24"/>
  <c r="Q53" i="24"/>
  <c r="S53" i="24"/>
  <c r="T53" i="24"/>
  <c r="U53" i="24"/>
  <c r="V53" i="24"/>
  <c r="W53" i="24"/>
  <c r="X53" i="24"/>
  <c r="Y53" i="24"/>
  <c r="Z53" i="24"/>
  <c r="AB53" i="24"/>
  <c r="AC53" i="24"/>
  <c r="D47" i="24"/>
  <c r="E47" i="24"/>
  <c r="F47" i="24"/>
  <c r="G47" i="24"/>
  <c r="H47" i="24"/>
  <c r="I47" i="24"/>
  <c r="J47" i="24"/>
  <c r="K47" i="24"/>
  <c r="L47" i="24"/>
  <c r="M47" i="24"/>
  <c r="N47" i="24"/>
  <c r="O47" i="24"/>
  <c r="P47" i="24"/>
  <c r="Q47" i="24"/>
  <c r="S47" i="24"/>
  <c r="T47" i="24"/>
  <c r="U47" i="24"/>
  <c r="V47" i="24"/>
  <c r="W47" i="24"/>
  <c r="X47" i="24"/>
  <c r="Y47" i="24"/>
  <c r="Z47" i="24"/>
  <c r="AB47" i="24"/>
  <c r="AC47" i="24"/>
  <c r="D37" i="24"/>
  <c r="E37" i="24"/>
  <c r="F37" i="24"/>
  <c r="G37" i="24"/>
  <c r="H37" i="24"/>
  <c r="I37" i="24"/>
  <c r="J37" i="24"/>
  <c r="K37" i="24"/>
  <c r="L37" i="24"/>
  <c r="M37" i="24"/>
  <c r="N37" i="24"/>
  <c r="O37" i="24"/>
  <c r="P37" i="24"/>
  <c r="Q37" i="24"/>
  <c r="S37" i="24"/>
  <c r="T37" i="24"/>
  <c r="U37" i="24"/>
  <c r="V37" i="24"/>
  <c r="W37" i="24"/>
  <c r="X37" i="24"/>
  <c r="Y37" i="24"/>
  <c r="Z37" i="24"/>
  <c r="AB37" i="24"/>
  <c r="AC37" i="24"/>
  <c r="D28" i="24"/>
  <c r="E28" i="24"/>
  <c r="F28" i="24"/>
  <c r="G28" i="24"/>
  <c r="H28" i="24"/>
  <c r="H94" i="24" s="1"/>
  <c r="I28" i="24"/>
  <c r="J28" i="24"/>
  <c r="K28" i="24"/>
  <c r="L28" i="24"/>
  <c r="L94" i="24" s="1"/>
  <c r="M28" i="24"/>
  <c r="N28" i="24"/>
  <c r="O28" i="24"/>
  <c r="P28" i="24"/>
  <c r="P94" i="24" s="1"/>
  <c r="Q28" i="24"/>
  <c r="S28" i="24"/>
  <c r="T28" i="24"/>
  <c r="U28" i="24"/>
  <c r="V28" i="24"/>
  <c r="W28" i="24"/>
  <c r="X28" i="24"/>
  <c r="Y28" i="24"/>
  <c r="Z28" i="24"/>
  <c r="AB28" i="24"/>
  <c r="AC28" i="24"/>
  <c r="D20" i="24"/>
  <c r="E20" i="24"/>
  <c r="F20" i="24"/>
  <c r="G20" i="24"/>
  <c r="H20" i="24"/>
  <c r="I20" i="24"/>
  <c r="J20" i="24"/>
  <c r="K20" i="24"/>
  <c r="L20" i="24"/>
  <c r="M20" i="24"/>
  <c r="N20" i="24"/>
  <c r="O20" i="24"/>
  <c r="P20" i="24"/>
  <c r="Q20" i="24"/>
  <c r="S20" i="24"/>
  <c r="T20" i="24"/>
  <c r="U20" i="24"/>
  <c r="V20" i="24"/>
  <c r="W20" i="24"/>
  <c r="X20" i="24"/>
  <c r="Y20" i="24"/>
  <c r="Z20" i="24"/>
  <c r="AB20" i="24"/>
  <c r="AC20" i="24"/>
  <c r="D14" i="24"/>
  <c r="D94" i="24" s="1"/>
  <c r="E14" i="24"/>
  <c r="E94" i="24" s="1"/>
  <c r="E165" i="24" s="1"/>
  <c r="F14" i="24"/>
  <c r="G14" i="24"/>
  <c r="H14" i="24"/>
  <c r="I14" i="24"/>
  <c r="I94" i="24" s="1"/>
  <c r="I165" i="24" s="1"/>
  <c r="J14" i="24"/>
  <c r="J94" i="24" s="1"/>
  <c r="K14" i="24"/>
  <c r="K94" i="24" s="1"/>
  <c r="L14" i="24"/>
  <c r="M14" i="24"/>
  <c r="M94" i="24" s="1"/>
  <c r="M165" i="24" s="1"/>
  <c r="N14" i="24"/>
  <c r="O14" i="24"/>
  <c r="O94" i="24" s="1"/>
  <c r="P14" i="24"/>
  <c r="Q14" i="24"/>
  <c r="Q94" i="24" s="1"/>
  <c r="Q165" i="24" s="1"/>
  <c r="S14" i="24"/>
  <c r="S94" i="24" s="1"/>
  <c r="T14" i="24"/>
  <c r="U14" i="24"/>
  <c r="U94" i="24" s="1"/>
  <c r="V14" i="24"/>
  <c r="V94" i="24" s="1"/>
  <c r="V165" i="24" s="1"/>
  <c r="W14" i="24"/>
  <c r="X14" i="24"/>
  <c r="X94" i="24" s="1"/>
  <c r="Y14" i="24"/>
  <c r="Y94" i="24" s="1"/>
  <c r="Z14" i="24"/>
  <c r="Z94" i="24" s="1"/>
  <c r="AB14" i="24"/>
  <c r="AC14" i="24"/>
  <c r="AC94" i="24" s="1"/>
  <c r="AC165" i="24" s="1"/>
  <c r="B118" i="37" s="1"/>
  <c r="A1" i="25"/>
  <c r="A1" i="24"/>
  <c r="D96" i="37" l="1"/>
  <c r="D80" i="37"/>
  <c r="I74" i="37"/>
  <c r="D90" i="37"/>
  <c r="D99" i="37"/>
  <c r="D94" i="37"/>
  <c r="D86" i="37"/>
  <c r="D78" i="37"/>
  <c r="H78" i="37" s="1"/>
  <c r="I88" i="37"/>
  <c r="D82" i="37"/>
  <c r="H82" i="37" s="1"/>
  <c r="G82" i="37"/>
  <c r="G99" i="37"/>
  <c r="X165" i="24"/>
  <c r="G83" i="37"/>
  <c r="H83" i="37" s="1"/>
  <c r="N94" i="24"/>
  <c r="N165" i="24" s="1"/>
  <c r="K165" i="24"/>
  <c r="AD60" i="24"/>
  <c r="AD154" i="24"/>
  <c r="J163" i="24"/>
  <c r="J165" i="24" s="1"/>
  <c r="AD79" i="24"/>
  <c r="AD47" i="24"/>
  <c r="AD37" i="24"/>
  <c r="AD28" i="24"/>
  <c r="AD53" i="24"/>
  <c r="G165" i="24"/>
  <c r="G100" i="37"/>
  <c r="AA163" i="25"/>
  <c r="AA165" i="25"/>
  <c r="Y163" i="25"/>
  <c r="Y165" i="25"/>
  <c r="H87" i="37"/>
  <c r="T163" i="25"/>
  <c r="S94" i="25"/>
  <c r="S165" i="25" s="1"/>
  <c r="C116" i="37" s="1"/>
  <c r="Q94" i="25"/>
  <c r="Q165" i="25" s="1"/>
  <c r="AD53" i="25"/>
  <c r="O94" i="25"/>
  <c r="O165" i="25" s="1"/>
  <c r="N94" i="25"/>
  <c r="AD72" i="25"/>
  <c r="AD37" i="25"/>
  <c r="L163" i="25"/>
  <c r="AD138" i="25"/>
  <c r="AD79" i="25"/>
  <c r="AD47" i="25"/>
  <c r="AD100" i="25"/>
  <c r="AD92" i="25"/>
  <c r="D118" i="37"/>
  <c r="E118" i="37"/>
  <c r="S165" i="24"/>
  <c r="B116" i="37" s="1"/>
  <c r="O165" i="24"/>
  <c r="U165" i="25"/>
  <c r="I165" i="25"/>
  <c r="H95" i="37"/>
  <c r="AB165" i="24"/>
  <c r="B117" i="37" s="1"/>
  <c r="F165" i="25"/>
  <c r="K165" i="25"/>
  <c r="Y165" i="24"/>
  <c r="F165" i="24"/>
  <c r="AD20" i="24"/>
  <c r="AD138" i="24"/>
  <c r="H98" i="37"/>
  <c r="H91" i="37"/>
  <c r="U165" i="24"/>
  <c r="AD14" i="24"/>
  <c r="AB163" i="24"/>
  <c r="U163" i="25"/>
  <c r="M163" i="25"/>
  <c r="M165" i="25" s="1"/>
  <c r="AD123" i="24"/>
  <c r="D93" i="37"/>
  <c r="H93" i="37" s="1"/>
  <c r="H90" i="37"/>
  <c r="H86" i="37"/>
  <c r="I87" i="37"/>
  <c r="I75" i="37"/>
  <c r="D76" i="37"/>
  <c r="I76" i="37"/>
  <c r="D84" i="37"/>
  <c r="H84" i="37" s="1"/>
  <c r="I84" i="37"/>
  <c r="D92" i="37"/>
  <c r="H92" i="37" s="1"/>
  <c r="I92" i="37"/>
  <c r="D100" i="37"/>
  <c r="H100" i="37" s="1"/>
  <c r="I100" i="37"/>
  <c r="V163" i="25"/>
  <c r="V165" i="25" s="1"/>
  <c r="L165" i="24"/>
  <c r="D165" i="24"/>
  <c r="AD92" i="24"/>
  <c r="G85" i="37"/>
  <c r="H94" i="37"/>
  <c r="I81" i="37"/>
  <c r="D81" i="37"/>
  <c r="H81" i="37" s="1"/>
  <c r="I89" i="37"/>
  <c r="D89" i="37"/>
  <c r="H89" i="37" s="1"/>
  <c r="I97" i="37"/>
  <c r="D97" i="37"/>
  <c r="T94" i="24"/>
  <c r="T165" i="24" s="1"/>
  <c r="P165" i="24"/>
  <c r="H165" i="24"/>
  <c r="AD100" i="24"/>
  <c r="AD72" i="24"/>
  <c r="C94" i="25"/>
  <c r="D85" i="37"/>
  <c r="I95" i="37"/>
  <c r="I83" i="37"/>
  <c r="W165" i="24"/>
  <c r="AA94" i="24"/>
  <c r="AA165" i="24" s="1"/>
  <c r="Z163" i="24"/>
  <c r="Z165" i="24" s="1"/>
  <c r="AB94" i="25"/>
  <c r="X94" i="25"/>
  <c r="X165" i="25" s="1"/>
  <c r="T94" i="25"/>
  <c r="T165" i="25" s="1"/>
  <c r="P94" i="25"/>
  <c r="P165" i="25" s="1"/>
  <c r="L94" i="25"/>
  <c r="AB163" i="25"/>
  <c r="G163" i="25"/>
  <c r="G165" i="25" s="1"/>
  <c r="C94" i="24"/>
  <c r="G94" i="37"/>
  <c r="G97" i="37"/>
  <c r="C163" i="25"/>
  <c r="AD123" i="25"/>
  <c r="AD14" i="25"/>
  <c r="D77" i="37"/>
  <c r="H77" i="37" s="1"/>
  <c r="D74" i="37"/>
  <c r="H74" i="37" s="1"/>
  <c r="I91" i="37"/>
  <c r="I80" i="37"/>
  <c r="W163" i="25"/>
  <c r="W165" i="25" s="1"/>
  <c r="R163" i="25"/>
  <c r="R165" i="25" s="1"/>
  <c r="N163" i="25"/>
  <c r="N165" i="25" s="1"/>
  <c r="J163" i="25"/>
  <c r="J165" i="25" s="1"/>
  <c r="F163" i="25"/>
  <c r="AD161" i="24"/>
  <c r="G76" i="37"/>
  <c r="G80" i="37"/>
  <c r="G92" i="37"/>
  <c r="G96" i="37"/>
  <c r="AD154" i="25"/>
  <c r="AD60" i="25"/>
  <c r="AD28" i="25"/>
  <c r="F45" i="37"/>
  <c r="F42" i="37"/>
  <c r="F41" i="37"/>
  <c r="F65" i="37" s="1"/>
  <c r="B66" i="37" s="1"/>
  <c r="F50" i="37"/>
  <c r="F49" i="37"/>
  <c r="F58" i="37"/>
  <c r="F57" i="37"/>
  <c r="F54" i="37"/>
  <c r="F62" i="37"/>
  <c r="H96" i="37" l="1"/>
  <c r="H80" i="37"/>
  <c r="H99" i="37"/>
  <c r="I101" i="37"/>
  <c r="B103" i="37" s="1"/>
  <c r="H85" i="37"/>
  <c r="L165" i="25"/>
  <c r="AD94" i="24"/>
  <c r="C165" i="24"/>
  <c r="AD163" i="24"/>
  <c r="A24" i="37"/>
  <c r="C24" i="37" s="1"/>
  <c r="B124" i="37" s="1"/>
  <c r="B30" i="37"/>
  <c r="E116" i="37"/>
  <c r="D116" i="37"/>
  <c r="H76" i="37"/>
  <c r="AD163" i="25"/>
  <c r="C165" i="25"/>
  <c r="AD94" i="25"/>
  <c r="AB165" i="25"/>
  <c r="H97" i="37"/>
  <c r="H101" i="37" l="1"/>
  <c r="B102" i="37" s="1"/>
  <c r="B104" i="37" s="1"/>
  <c r="B68" i="37"/>
  <c r="B13" i="37" s="1"/>
  <c r="B29" i="37"/>
  <c r="B31" i="37" s="1"/>
  <c r="B32" i="37" s="1"/>
  <c r="C117" i="37"/>
  <c r="B108" i="37"/>
  <c r="AD165" i="24"/>
  <c r="B109" i="37"/>
  <c r="AD165" i="25"/>
  <c r="B105" i="37" l="1"/>
  <c r="C14" i="37" s="1"/>
  <c r="G14" i="37" s="1"/>
  <c r="B14" i="37"/>
  <c r="B69" i="37"/>
  <c r="C13" i="37" s="1"/>
  <c r="G13" i="37" s="1"/>
  <c r="B12" i="37"/>
  <c r="B33" i="37"/>
  <c r="C12" i="37" s="1"/>
  <c r="G12" i="37" s="1"/>
  <c r="D117" i="37"/>
  <c r="D122" i="37" s="1"/>
  <c r="B123" i="37" s="1"/>
  <c r="B125" i="37" s="1"/>
  <c r="E117" i="37"/>
  <c r="E122" i="37" s="1"/>
  <c r="B110" i="37"/>
  <c r="B111" i="37" s="1"/>
  <c r="B126" i="37" l="1"/>
  <c r="C16" i="37" s="1"/>
  <c r="G16" i="37" s="1"/>
  <c r="B16" i="37"/>
  <c r="B15" i="37"/>
  <c r="B112" i="37"/>
  <c r="C15" i="37" s="1"/>
  <c r="G15" i="37" s="1"/>
  <c r="G18" i="37" l="1"/>
  <c r="C18" i="37" s="1"/>
</calcChain>
</file>

<file path=xl/comments1.xml><?xml version="1.0" encoding="utf-8"?>
<comments xmlns="http://schemas.openxmlformats.org/spreadsheetml/2006/main">
  <authors>
    <author>Administrator</author>
  </authors>
  <commentList>
    <comment ref="M2" authorId="0">
      <text>
        <r>
          <rPr>
            <b/>
            <sz val="8"/>
            <color indexed="81"/>
            <rFont val="Tahoma"/>
            <family val="2"/>
          </rPr>
          <t>Administrator:</t>
        </r>
        <r>
          <rPr>
            <sz val="8"/>
            <color indexed="81"/>
            <rFont val="Tahoma"/>
            <family val="2"/>
          </rPr>
          <t xml:space="preserve">
tot de winsten behoren ook de exploitatieoverschotten van bedrijven. Deze worden ten gunste van de functie gebracht (zie bijlage 2)</t>
        </r>
      </text>
    </comment>
  </commentList>
</comments>
</file>

<file path=xl/sharedStrings.xml><?xml version="1.0" encoding="utf-8"?>
<sst xmlns="http://schemas.openxmlformats.org/spreadsheetml/2006/main" count="1015" uniqueCount="552">
  <si>
    <t>Invuller:</t>
  </si>
  <si>
    <t>Kostenplaatsen en balansmutaties bij begroting niet verplicht!</t>
  </si>
  <si>
    <t>De verstrekte informatie geeft naar ons oordeel een getrouw beeld. Daarbij is meer in het bijzonder het volgende van toepassing:</t>
  </si>
  <si>
    <t xml:space="preserve">De functionele indeling van baten en lasten is overeenkomstig de toelichting in de Ministeriële regeling informatie voor derden van 6 februari 2003. </t>
  </si>
  <si>
    <t>Er is sinds de vorige rapportage informatie voor derden geen belangrijke wijziging doorgevoerd in de organisatie en systemen voor het opstellen van de informatie.</t>
  </si>
  <si>
    <t>Bureau Kredo</t>
  </si>
  <si>
    <t>tel. (070) 337 47 08</t>
  </si>
  <si>
    <t>Geachte heer / mevrouw,</t>
  </si>
  <si>
    <t>Onderwerp</t>
  </si>
  <si>
    <t>Met vriendelijke groet,</t>
  </si>
  <si>
    <t xml:space="preserve">www.cbs.nl/kredo </t>
  </si>
  <si>
    <t xml:space="preserve">kredo@cbs.nl </t>
  </si>
  <si>
    <t>Aan het Centraal Bureau voor de Statistiek</t>
  </si>
  <si>
    <t>-</t>
  </si>
  <si>
    <r>
      <t xml:space="preserve">Meer informatie kunt u vinden op </t>
    </r>
    <r>
      <rPr>
        <b/>
        <sz val="10"/>
        <color indexed="10"/>
        <rFont val="Arial"/>
        <family val="2"/>
      </rPr>
      <t>www.cbs.nl/kredo</t>
    </r>
    <r>
      <rPr>
        <sz val="10"/>
        <rFont val="Arial"/>
        <family val="2"/>
      </rPr>
      <t>. Hier wordt u op de hoogte gehouden van de laatste stand van zaken. Er is ook een vraag- en antwoordrubriek opgenomen, waarin vragen over de inhoud en het gebruik van categorieën beantwoord worden.</t>
    </r>
  </si>
  <si>
    <t>Naamgeving</t>
  </si>
  <si>
    <r>
      <t xml:space="preserve">Wij verzoeken u de bedragen op te geven als positieve getallen (zowel lasten als baten) en in duizendtallen, 
bijv. </t>
    </r>
    <r>
      <rPr>
        <b/>
        <sz val="10"/>
        <color indexed="10"/>
        <rFont val="Arial"/>
        <family val="2"/>
      </rPr>
      <t>€ 23.810,-</t>
    </r>
    <r>
      <rPr>
        <sz val="10"/>
        <rFont val="Arial"/>
        <family val="2"/>
      </rPr>
      <t xml:space="preserve"> invullen als </t>
    </r>
    <r>
      <rPr>
        <b/>
        <sz val="10"/>
        <color indexed="10"/>
        <rFont val="Arial"/>
        <family val="2"/>
      </rPr>
      <t>24</t>
    </r>
    <r>
      <rPr>
        <sz val="10"/>
        <rFont val="Arial"/>
        <family val="2"/>
      </rPr>
      <t>.</t>
    </r>
  </si>
  <si>
    <t>Vragenlijst</t>
  </si>
  <si>
    <t>Informatie voor derden (iv3) volgens het BBV</t>
  </si>
  <si>
    <t>Jaar</t>
  </si>
  <si>
    <t>Periode</t>
  </si>
  <si>
    <t>LET OP DE PERIODE!</t>
  </si>
  <si>
    <t>Naam:</t>
  </si>
  <si>
    <t>Afdeling:</t>
  </si>
  <si>
    <t>Functie:</t>
  </si>
  <si>
    <t>Telefoon:</t>
  </si>
  <si>
    <t>E-mail:</t>
  </si>
  <si>
    <t>Datum:</t>
  </si>
  <si>
    <t>Ruimte voor toelichting</t>
  </si>
  <si>
    <t>0.0</t>
  </si>
  <si>
    <t>1.1</t>
  </si>
  <si>
    <t>1.2</t>
  </si>
  <si>
    <t>2.1</t>
  </si>
  <si>
    <t>2.2</t>
  </si>
  <si>
    <t>2.3</t>
  </si>
  <si>
    <t>3.0</t>
  </si>
  <si>
    <t>3.1</t>
  </si>
  <si>
    <t>4.1.1</t>
  </si>
  <si>
    <t>4.1.2</t>
  </si>
  <si>
    <t>5.1</t>
  </si>
  <si>
    <t>5.2</t>
  </si>
  <si>
    <t>5.3</t>
  </si>
  <si>
    <t>5.4</t>
  </si>
  <si>
    <t>5.5</t>
  </si>
  <si>
    <t>5.6</t>
  </si>
  <si>
    <t>6.0</t>
  </si>
  <si>
    <t>6.1</t>
  </si>
  <si>
    <t>Functies</t>
  </si>
  <si>
    <t>Categorieën</t>
  </si>
  <si>
    <t>Loonbetalingen en sociale premies</t>
  </si>
  <si>
    <t>Sociale uitkeringen personeel</t>
  </si>
  <si>
    <t>Betaalde pachten en erfpachten</t>
  </si>
  <si>
    <t>Aankopen niet duurzame goederen en diensten</t>
  </si>
  <si>
    <t>Kortlopende effecten m.u.v. aandelen</t>
  </si>
  <si>
    <t>Financiële derivaten</t>
  </si>
  <si>
    <t>Kortlopende leningen</t>
  </si>
  <si>
    <t>Langlopende leningen</t>
  </si>
  <si>
    <t>Aandelen en overige deelnemingen</t>
  </si>
  <si>
    <t>Handelskredieten en transitorische posten</t>
  </si>
  <si>
    <t>Overige verrekeningen</t>
  </si>
  <si>
    <t>Hoofdfunctie 0</t>
  </si>
  <si>
    <t>ALGEMEEN BESTUUR</t>
  </si>
  <si>
    <t>Totaal hoofdfunctie 0</t>
  </si>
  <si>
    <t>Hoofdfunctie 1</t>
  </si>
  <si>
    <t>OPENBARE ORDE EN VEILIGHEID</t>
  </si>
  <si>
    <t>Openbare orde en veiligheid</t>
  </si>
  <si>
    <t>Totaal hoofdfunctie 1</t>
  </si>
  <si>
    <t>Hoofdfunctie 2</t>
  </si>
  <si>
    <t>Totaal hoofdfunctie 2</t>
  </si>
  <si>
    <t>Hoofdfunctie 3</t>
  </si>
  <si>
    <t>Totaal hoofdfunctie 3</t>
  </si>
  <si>
    <t>Hoofdfunctie 4</t>
  </si>
  <si>
    <t>Totaal hoofdfunctie 4</t>
  </si>
  <si>
    <t>Hoofdfunctie 5</t>
  </si>
  <si>
    <t>Totaal hoofdfunctie 5</t>
  </si>
  <si>
    <t>Hoofdfunctie 6</t>
  </si>
  <si>
    <t>Totaal hoofdfunctie 6</t>
  </si>
  <si>
    <t>Hoofdfunctie 7</t>
  </si>
  <si>
    <t>Totaal hoofdfunctie 7</t>
  </si>
  <si>
    <t>Hoofdfunctie 8</t>
  </si>
  <si>
    <t>RUIMTELIJKE ORDENING EN VOLKSHUISVESTING</t>
  </si>
  <si>
    <t>Ruimtelijke ordening</t>
  </si>
  <si>
    <t>Totaal hoofdfunctie 8</t>
  </si>
  <si>
    <t>Hoofdfunctie 9</t>
  </si>
  <si>
    <t>FINANCIERING EN ALGEMENE DEKKINGSMIDDELEN</t>
  </si>
  <si>
    <t>Geldleningen en uitzettingen korter dan 1 jaar</t>
  </si>
  <si>
    <t>Overige financiële middelen</t>
  </si>
  <si>
    <t>Geldleningen en uitzettingen langer of gelijk aan 1 jaar</t>
  </si>
  <si>
    <t>Saldo van kostenplaatsen</t>
  </si>
  <si>
    <t>Saldo van de rekening van baten en lasten voor bestemming</t>
  </si>
  <si>
    <t>Saldo van de rekening van baten en lasten na bestemming</t>
  </si>
  <si>
    <t>Totaal hoofdfunctie 9</t>
  </si>
  <si>
    <t>Kostenplaatsen</t>
  </si>
  <si>
    <t>Kostenplaats kapitaallasten</t>
  </si>
  <si>
    <t>Overige kostenplaatsen</t>
  </si>
  <si>
    <t>Totaal Kostenplaatsen</t>
  </si>
  <si>
    <t>Balansmutaties</t>
  </si>
  <si>
    <t>Vaste Activa</t>
  </si>
  <si>
    <t>A111</t>
  </si>
  <si>
    <t>Immateriële vaste activa: Kosten verbonden aan sluiten geldlening en saldo agio/disagio</t>
  </si>
  <si>
    <t>A112</t>
  </si>
  <si>
    <t>Immateriële vaste activa: Kosten onderzoek en ontwikkeling voor een bepaald actief</t>
  </si>
  <si>
    <t>A121</t>
  </si>
  <si>
    <t>Materiële vaste activa: Gronden en terreinen</t>
  </si>
  <si>
    <t>A122</t>
  </si>
  <si>
    <t>Materiële vaste activa: Woonruimten</t>
  </si>
  <si>
    <t>A123</t>
  </si>
  <si>
    <t>Materiële vaste activa: Bedrijfsgebouwen</t>
  </si>
  <si>
    <t>A124</t>
  </si>
  <si>
    <t>Materiële vaste activa: Grond-, weg- en waterbouwkundige werken</t>
  </si>
  <si>
    <t>A125</t>
  </si>
  <si>
    <t>Materiële vaste activa: Vervoermiddelen</t>
  </si>
  <si>
    <t>A126</t>
  </si>
  <si>
    <t>Materiële vaste activa: Machines, apparaten en installaties</t>
  </si>
  <si>
    <t>A129</t>
  </si>
  <si>
    <t>Materiële vaste activa: Overig</t>
  </si>
  <si>
    <t>A1311</t>
  </si>
  <si>
    <t>Financiële vaste activa: Kapitaalverstrekking aan deelnemingen</t>
  </si>
  <si>
    <t>A1312</t>
  </si>
  <si>
    <t>Financiële vaste activa: Kapitaalverstrekking aan gemeenschappelijke regelingen</t>
  </si>
  <si>
    <t>A1313</t>
  </si>
  <si>
    <t>Financiële vaste activa: Kapitaalverstrekking aan overige verbonden partijen</t>
  </si>
  <si>
    <t>A1321</t>
  </si>
  <si>
    <t>Financiële vaste activa: Leningen aan woningbouwcorporaties</t>
  </si>
  <si>
    <t>A1322</t>
  </si>
  <si>
    <t>Financiële vaste activa: Leningen aan deelnemingen</t>
  </si>
  <si>
    <t>A1323</t>
  </si>
  <si>
    <t>Financiële vaste activa: Leningen aan overige verbonden partijen</t>
  </si>
  <si>
    <t>A1331</t>
  </si>
  <si>
    <t>Financiële vaste activa: Overige langlopende leningen</t>
  </si>
  <si>
    <t>A1332</t>
  </si>
  <si>
    <t>Financiële vaste activa: Overige uitzettingen met looptijd ≥ 1 jaar</t>
  </si>
  <si>
    <t>A1333</t>
  </si>
  <si>
    <t>Financiële vaste activa: Bijdragen aan activa in eigendom van derden</t>
  </si>
  <si>
    <t>Totaal Vaste Activa</t>
  </si>
  <si>
    <t>Vlottende Activa</t>
  </si>
  <si>
    <t>A211</t>
  </si>
  <si>
    <t>Voorraden: Niet in exploitatie bouwgronden</t>
  </si>
  <si>
    <t>A212</t>
  </si>
  <si>
    <t>Voorraden: Overige grond- en hulpstoffen</t>
  </si>
  <si>
    <t>A213</t>
  </si>
  <si>
    <t>Voorraden: Onderhanden werk (incl. bouwgronden in exploitatie)</t>
  </si>
  <si>
    <t>A214</t>
  </si>
  <si>
    <t>Voorraden: Gereed product en handelsgoederen</t>
  </si>
  <si>
    <t>A215</t>
  </si>
  <si>
    <t>Voorraden: Vooruitbetalingen</t>
  </si>
  <si>
    <t>A221</t>
  </si>
  <si>
    <t>Uitzettingen: Vorderingen op openbare lichamen</t>
  </si>
  <si>
    <t>A222</t>
  </si>
  <si>
    <t>Uitzettingen: Verstrekte kasgeldleningen</t>
  </si>
  <si>
    <t>A223</t>
  </si>
  <si>
    <t>Uitzettingen: Rekening courant verhoudingen niet-financiële instellingen</t>
  </si>
  <si>
    <t>A224</t>
  </si>
  <si>
    <t>Uitzettingen: Overige vorderingen</t>
  </si>
  <si>
    <t>A225</t>
  </si>
  <si>
    <t>Uitzettingen: Overige uitzettingen</t>
  </si>
  <si>
    <t>A23</t>
  </si>
  <si>
    <t>Liquide middelen (kas, bank en giro)</t>
  </si>
  <si>
    <t>A29</t>
  </si>
  <si>
    <t>Overlopende activa</t>
  </si>
  <si>
    <t>Totaal Vlottende Activa</t>
  </si>
  <si>
    <t>Vaste Passiva</t>
  </si>
  <si>
    <t>P111</t>
  </si>
  <si>
    <t>Eigen vermogen: Algemene reserve</t>
  </si>
  <si>
    <t>P112</t>
  </si>
  <si>
    <t>Eigen vermogen: Bestemmingsreserve</t>
  </si>
  <si>
    <t>P113</t>
  </si>
  <si>
    <t>Eigen vermogen: Overige bestemmingsreserves</t>
  </si>
  <si>
    <t>P114</t>
  </si>
  <si>
    <t>Eigen vermogen: Saldo van rekening</t>
  </si>
  <si>
    <t>P12</t>
  </si>
  <si>
    <t>Voorzieningen</t>
  </si>
  <si>
    <t>P131</t>
  </si>
  <si>
    <t>Vaste schuld: Obligatieleningen</t>
  </si>
  <si>
    <t>P132</t>
  </si>
  <si>
    <t>Vaste schuld: Onderhandse leningen van binnenlandse pensioenfondsen en verzekeraars</t>
  </si>
  <si>
    <t>P133</t>
  </si>
  <si>
    <t>Vaste schuld: Onderhandse leningen van binnenlandse banken en overige financiële instellingen</t>
  </si>
  <si>
    <t>P134</t>
  </si>
  <si>
    <t>Vaste schuld: Onderhandse leningen van binnenlandse bedrijven</t>
  </si>
  <si>
    <t>P135</t>
  </si>
  <si>
    <t>Vaste schuld: Onderhandse leningen van overige binnenlandse sectoren</t>
  </si>
  <si>
    <t>P136</t>
  </si>
  <si>
    <t>Vaste schuld: Onderhandse leningen van buitenlandse instellingen, …</t>
  </si>
  <si>
    <t>P137</t>
  </si>
  <si>
    <t>Vaste schuld: Door derden belegde gelden</t>
  </si>
  <si>
    <t>P138</t>
  </si>
  <si>
    <t>Waarborgsommen</t>
  </si>
  <si>
    <t>Totaal Vaste Passiva</t>
  </si>
  <si>
    <t>Vlottende Passiva</t>
  </si>
  <si>
    <t>P211</t>
  </si>
  <si>
    <t>Vlottende schuld: Kasgeldleningen o/g</t>
  </si>
  <si>
    <t>P212</t>
  </si>
  <si>
    <t>Vlottende schuld: Bank- en girosaldi</t>
  </si>
  <si>
    <t>P213</t>
  </si>
  <si>
    <t>Vlottende schuld: Overig</t>
  </si>
  <si>
    <t>P29</t>
  </si>
  <si>
    <t>Overlopende passiva</t>
  </si>
  <si>
    <t>Totaal Vlottende Passiva</t>
  </si>
  <si>
    <t>Totaal Balansmutaties</t>
  </si>
  <si>
    <t xml:space="preserve">Totaal lastencategorieën </t>
  </si>
  <si>
    <t>De functies worden toegelicht bij bijlage 1, de categorieën bij bijlage 2 en de kostenplaatsen en balansmutaties in het Besluit begroting en verantwoording provincies en gemeenten</t>
  </si>
  <si>
    <t>3.4</t>
  </si>
  <si>
    <t>4.0.1</t>
  </si>
  <si>
    <t>4.0.2</t>
  </si>
  <si>
    <t>4.0.3</t>
  </si>
  <si>
    <t>Huren</t>
  </si>
  <si>
    <t>Overige goederen en diensten</t>
  </si>
  <si>
    <t>Belastingen op producenten</t>
  </si>
  <si>
    <t>Belasting op inkomen van gezinnen</t>
  </si>
  <si>
    <t xml:space="preserve">Totaal batencategorieën </t>
  </si>
  <si>
    <t>Code</t>
  </si>
  <si>
    <t>ACTIVA</t>
  </si>
  <si>
    <t>Bedragen x € 1000,-</t>
  </si>
  <si>
    <t>Vaste activa</t>
  </si>
  <si>
    <t>Financiële vaste activa</t>
  </si>
  <si>
    <t>Kapitaalverstrekking aan deelnemingen</t>
  </si>
  <si>
    <t>Kapitaalverstrekking aan gemeenschappelijke regelingen</t>
  </si>
  <si>
    <t>Kapitaalverstrekking aan overige verbonden partijen</t>
  </si>
  <si>
    <t>Leningen aan woningbouwcorporaties</t>
  </si>
  <si>
    <t>Leningen aan deelnemingen</t>
  </si>
  <si>
    <t>Leningen aan overige verbonden partijen</t>
  </si>
  <si>
    <t>Overige langlopende leningen</t>
  </si>
  <si>
    <t>Overige uitzettingen met looptijd ≥ 1 jaar</t>
  </si>
  <si>
    <t>Uitzettingen</t>
  </si>
  <si>
    <t>Verstrekte kasgeldleningen</t>
  </si>
  <si>
    <t>Rekening courant verhoudingen niet-financiële instellingen</t>
  </si>
  <si>
    <t>Overige vorderingen</t>
  </si>
  <si>
    <t>Overige uitzettingen</t>
  </si>
  <si>
    <t>PASSIVA</t>
  </si>
  <si>
    <t>Vaste schuld</t>
  </si>
  <si>
    <t>Obligatieleningen</t>
  </si>
  <si>
    <t>Onderhandse leningen van overige binnenlandse sectoren</t>
  </si>
  <si>
    <t>Onderhandse leningen van buitenlandse instellingen, …</t>
  </si>
  <si>
    <t>Door derden belegde gelden</t>
  </si>
  <si>
    <t>Vlottende schuld</t>
  </si>
  <si>
    <t>Kasgeldleningen o/g</t>
  </si>
  <si>
    <t>Bank- en girosaldi</t>
  </si>
  <si>
    <t>Overige vlottende schulden</t>
  </si>
  <si>
    <r>
      <t>* Grijze cellen: combinaties die</t>
    </r>
    <r>
      <rPr>
        <i/>
        <sz val="11"/>
        <rFont val="Arial"/>
        <family val="2"/>
      </rPr>
      <t xml:space="preserve"> vrijwel niet voorkomen</t>
    </r>
  </si>
  <si>
    <r>
      <t xml:space="preserve">* Lege cellen:  combinaties die </t>
    </r>
    <r>
      <rPr>
        <i/>
        <sz val="11"/>
        <rFont val="Arial"/>
        <family val="2"/>
      </rPr>
      <t>wel kunnen</t>
    </r>
    <r>
      <rPr>
        <sz val="11"/>
        <rFont val="Arial"/>
        <family val="2"/>
      </rPr>
      <t xml:space="preserve"> voorkomen, invullen indien van toepassing</t>
    </r>
  </si>
  <si>
    <t>Verdelingsmatrix lasten en baten</t>
  </si>
  <si>
    <t>Toezending van de gegevens</t>
  </si>
  <si>
    <t>www.cbs.nl/kredo</t>
  </si>
  <si>
    <t>Algemene toelichting bij de levering Informatie voor derden (iv3).</t>
  </si>
  <si>
    <t>Opmerkingen of een toelichting kunt u eveneens in dit tabblad vermelden.</t>
  </si>
  <si>
    <r>
      <t xml:space="preserve">De verdelingsmatrix gaat uit van een </t>
    </r>
    <r>
      <rPr>
        <b/>
        <i/>
        <sz val="10"/>
        <color indexed="10"/>
        <rFont val="Arial"/>
        <family val="2"/>
      </rPr>
      <t>bruto</t>
    </r>
    <r>
      <rPr>
        <sz val="10"/>
        <rFont val="Arial"/>
        <family val="2"/>
      </rPr>
      <t xml:space="preserve"> invulling. Dit houdt in dat vermeerderingen en verminderingen 
apart weergegeven worden.</t>
    </r>
  </si>
  <si>
    <t>Informatie provincie</t>
  </si>
  <si>
    <t>Provincienaam</t>
  </si>
  <si>
    <t>Provincienummer</t>
  </si>
  <si>
    <t>De commissaris,                                            De secretaris,</t>
  </si>
  <si>
    <t>2.0.1</t>
  </si>
  <si>
    <t>2.0.2</t>
  </si>
  <si>
    <t>2.3.1</t>
  </si>
  <si>
    <t>2.3.2</t>
  </si>
  <si>
    <t>5.0</t>
  </si>
  <si>
    <t>7.1</t>
  </si>
  <si>
    <t>7.2</t>
  </si>
  <si>
    <t>7.3</t>
  </si>
  <si>
    <t>7.4</t>
  </si>
  <si>
    <t>7.5</t>
  </si>
  <si>
    <t>7.6</t>
  </si>
  <si>
    <t>7.7</t>
  </si>
  <si>
    <t>7.8</t>
  </si>
  <si>
    <t>8.1</t>
  </si>
  <si>
    <t>8.2</t>
  </si>
  <si>
    <t>Aankoop grond</t>
  </si>
  <si>
    <t xml:space="preserve">Overige aankopen onroerende zaken </t>
  </si>
  <si>
    <t>Uitbestede investeringen</t>
  </si>
  <si>
    <t>Aankoop van duurzame roerende zaken</t>
  </si>
  <si>
    <t>Belastingen</t>
  </si>
  <si>
    <t>Subsidies aan producenten</t>
  </si>
  <si>
    <t>Inkomensoverdrachten aan overheden</t>
  </si>
  <si>
    <t>Overige inkomesover-drachten</t>
  </si>
  <si>
    <t>Vermogensover-drachten aan overheden</t>
  </si>
  <si>
    <t>Rente</t>
  </si>
  <si>
    <t>Administratieve boekingen</t>
  </si>
  <si>
    <t>Chartaal geld en deposito's</t>
  </si>
  <si>
    <t>Langlopende effecten m.u.v. aandelen</t>
  </si>
  <si>
    <t>Verrekening voor investeringsprojecten</t>
  </si>
  <si>
    <t>1.0</t>
  </si>
  <si>
    <t>Provinciale staten</t>
  </si>
  <si>
    <t>Gedeputeerde staten</t>
  </si>
  <si>
    <t>Kabinetszaken</t>
  </si>
  <si>
    <t>1.3</t>
  </si>
  <si>
    <t>Bestuurlijke organisatie</t>
  </si>
  <si>
    <t>1.4</t>
  </si>
  <si>
    <t>Financieel toezicht op de gemeenten</t>
  </si>
  <si>
    <t>1.5</t>
  </si>
  <si>
    <t>Uitvoering van overige wettelijke regelingen</t>
  </si>
  <si>
    <t>1.6</t>
  </si>
  <si>
    <t>Overige zaken betreffende algemeen bestuur</t>
  </si>
  <si>
    <t>1.7</t>
  </si>
  <si>
    <t xml:space="preserve">Overige baten en lasten </t>
  </si>
  <si>
    <t>2.0</t>
  </si>
  <si>
    <t>Openbare orde en veiligheid, algemeen</t>
  </si>
  <si>
    <t>Overige beschermende maatregelen</t>
  </si>
  <si>
    <t>VERKEER EN VERVOER</t>
  </si>
  <si>
    <t>Verkeer en vervoer, algemeen</t>
  </si>
  <si>
    <t>Landwegen</t>
  </si>
  <si>
    <t>3.2</t>
  </si>
  <si>
    <t>Boot- en veerdiensten</t>
  </si>
  <si>
    <t>3.3</t>
  </si>
  <si>
    <t>Waterwegen</t>
  </si>
  <si>
    <t>Vervoer</t>
  </si>
  <si>
    <t>WATERHUISHOUDING</t>
  </si>
  <si>
    <t>4.0</t>
  </si>
  <si>
    <t>Waterhuishouding, algemeen</t>
  </si>
  <si>
    <t>4.1</t>
  </si>
  <si>
    <t>Waterschapsaangelegenheden</t>
  </si>
  <si>
    <t>4.2</t>
  </si>
  <si>
    <t>Waterkeringen</t>
  </si>
  <si>
    <t>4.3</t>
  </si>
  <si>
    <t>Kwantitatief beheer oppervlaktewater</t>
  </si>
  <si>
    <t>4.4</t>
  </si>
  <si>
    <t>Kwantitatief beheer grondwater</t>
  </si>
  <si>
    <t>4.5</t>
  </si>
  <si>
    <t>Landaanwinning</t>
  </si>
  <si>
    <t>MILIEUBEHEER</t>
  </si>
  <si>
    <t>Milieubeheer, algemeen</t>
  </si>
  <si>
    <t>Kwalitatief beheer oppervlaktewater</t>
  </si>
  <si>
    <t>Kwalitatief beheer grondwater en bodem</t>
  </si>
  <si>
    <t>Bestrijding luchtverontreiniging</t>
  </si>
  <si>
    <t>Bestrijding geluidhinder</t>
  </si>
  <si>
    <t>Vergunningverlening en handhaving</t>
  </si>
  <si>
    <t>Ontgrondingen</t>
  </si>
  <si>
    <t>RECREATIE EN NATUUR</t>
  </si>
  <si>
    <t>Recreatie en natuur, algemeen</t>
  </si>
  <si>
    <t>Recreatie</t>
  </si>
  <si>
    <t>6.2</t>
  </si>
  <si>
    <t>Natuur</t>
  </si>
  <si>
    <t xml:space="preserve">ECONOMISCHE EN AGRARISCHE ZAKEN </t>
  </si>
  <si>
    <t>7.0</t>
  </si>
  <si>
    <t>Algemene economische aangelegenheden</t>
  </si>
  <si>
    <t>Bevordering economische activiteiten</t>
  </si>
  <si>
    <t>Nutsvoorzieningen</t>
  </si>
  <si>
    <t>Agrarische aangelegenheden</t>
  </si>
  <si>
    <t>WELZIJN</t>
  </si>
  <si>
    <t>8.0</t>
  </si>
  <si>
    <t>Welzijn, algemeen</t>
  </si>
  <si>
    <t>Educatie</t>
  </si>
  <si>
    <t>Lichamelijke vorming en sport</t>
  </si>
  <si>
    <t>8.3</t>
  </si>
  <si>
    <t>Kunst en oudheidkunde</t>
  </si>
  <si>
    <t>8.4</t>
  </si>
  <si>
    <t>Sociaal-cultureel werk en ontwikkeling</t>
  </si>
  <si>
    <t>8.5</t>
  </si>
  <si>
    <t>Maatschappelijke voorzieningen</t>
  </si>
  <si>
    <t>8.6</t>
  </si>
  <si>
    <t>Volksgezondheid</t>
  </si>
  <si>
    <t>8.7</t>
  </si>
  <si>
    <t>Ouderenzorg</t>
  </si>
  <si>
    <t>8.8</t>
  </si>
  <si>
    <t>Jeugdhulpverlening</t>
  </si>
  <si>
    <t>9.0</t>
  </si>
  <si>
    <t>Ruimtelijke ordening en volkshuisvesting, algemeen</t>
  </si>
  <si>
    <t>9.1</t>
  </si>
  <si>
    <t>9.2</t>
  </si>
  <si>
    <t>Volkshuisvesting</t>
  </si>
  <si>
    <t>9.3</t>
  </si>
  <si>
    <t>Stedelijke vernieuwing</t>
  </si>
  <si>
    <t>0.1</t>
  </si>
  <si>
    <t>0.2</t>
  </si>
  <si>
    <t>Algemene uitkering provinciefonds</t>
  </si>
  <si>
    <t>0.3</t>
  </si>
  <si>
    <t>Eigen middelen</t>
  </si>
  <si>
    <t>0.4</t>
  </si>
  <si>
    <t>0.5</t>
  </si>
  <si>
    <t>Algemene baten en lasten / onvoorzien</t>
  </si>
  <si>
    <t>0.6</t>
  </si>
  <si>
    <t>0.7</t>
  </si>
  <si>
    <t>0.8</t>
  </si>
  <si>
    <t>Mutaties reserves die verband houden met de hoofdfuncties</t>
  </si>
  <si>
    <t>0.9</t>
  </si>
  <si>
    <t>Totaal hoofdfuncties</t>
  </si>
  <si>
    <t>Vlottende schuld: Bank en girosaldi</t>
  </si>
  <si>
    <t>1.0.1</t>
  </si>
  <si>
    <t>1.0.2</t>
  </si>
  <si>
    <t>2.2.1</t>
  </si>
  <si>
    <t>2.2.2</t>
  </si>
  <si>
    <t>Leges en andere rechten</t>
  </si>
  <si>
    <t>Verkoop grond</t>
  </si>
  <si>
    <t>Overige verkopen onroerende zaken</t>
  </si>
  <si>
    <t>Verkoop van duurzame roerende zaken</t>
  </si>
  <si>
    <t>Pachten en erfpachten</t>
  </si>
  <si>
    <t>Dividenden en winsten</t>
  </si>
  <si>
    <t>Inkomensoverdrachten van overheden</t>
  </si>
  <si>
    <t>Overige inkomens-overdrachten</t>
  </si>
  <si>
    <t>Vermogensover-drachten van overheden</t>
  </si>
  <si>
    <t>Overige vermogensover-drachten</t>
  </si>
  <si>
    <t>De functies worden toegelicht bij bijlage 1, de categorieën bij bijlage 2 en de kostenplaatsen en balansmutaties in het Besluit begroting en verantwoording  provincies en gemeenten</t>
  </si>
  <si>
    <t>Onderhandse leningen van binnenlandse pensioenfondsen en verzekeraars</t>
  </si>
  <si>
    <t>Onderhandse leningen van binnenlandse banken en overige financiële instellingen</t>
  </si>
  <si>
    <t>Onderhandse leningen van binnenlandse bedrijven</t>
  </si>
  <si>
    <t>Bestandsnaam:</t>
  </si>
  <si>
    <t>Het college van Gedeputeerde Staten,</t>
  </si>
  <si>
    <t>Overige vermogens-overdrachten</t>
  </si>
  <si>
    <t>Totaal functies, kostenplaatsen en balansmutaties</t>
  </si>
  <si>
    <t>Immateriële vaste activa</t>
  </si>
  <si>
    <t>Kosten verbonden aan sluiten geldlening en saldo agio/disagio</t>
  </si>
  <si>
    <t>Kosten onderzoek en ontwikkeling voor een bepaald actief</t>
  </si>
  <si>
    <t>Materiële vaste activa</t>
  </si>
  <si>
    <t>Gronden en terreinen</t>
  </si>
  <si>
    <t>Woonruimten</t>
  </si>
  <si>
    <t>Bedrijfsgebouwen</t>
  </si>
  <si>
    <t>Grond-, weg- en waterbouwkundige werken</t>
  </si>
  <si>
    <t>Vervoermiddelen</t>
  </si>
  <si>
    <t>Machines, apparaten en installaties</t>
  </si>
  <si>
    <t>Overig</t>
  </si>
  <si>
    <t>Bijdragen aan activa van derden</t>
  </si>
  <si>
    <t>Voorraden</t>
  </si>
  <si>
    <t>Niet in exploitatie bouwgronden</t>
  </si>
  <si>
    <t>Overige grond- en hulpstoffen</t>
  </si>
  <si>
    <t>Onderhanden werk (incl. bouwgronden in exploitatie)</t>
  </si>
  <si>
    <t>Gereed product en handelsgoederen</t>
  </si>
  <si>
    <t>Vooruitbetalingen</t>
  </si>
  <si>
    <t xml:space="preserve">Eigen vermogen </t>
  </si>
  <si>
    <t>Algemene reserve</t>
  </si>
  <si>
    <t>Bestemmingsreserve</t>
  </si>
  <si>
    <t>Overige bestemmingsreserves</t>
  </si>
  <si>
    <t>Saldo van rekening</t>
  </si>
  <si>
    <t>Totalen</t>
  </si>
  <si>
    <t>Totaal Activa</t>
  </si>
  <si>
    <t>Totaal Passiva</t>
  </si>
  <si>
    <t>Activa</t>
  </si>
  <si>
    <t>Passiva</t>
  </si>
  <si>
    <t>Niet in te delen lasten</t>
  </si>
  <si>
    <t>De toedeling van de baten en lasten over de producten is overeenkomstig de definities van het handboek administratieve organisatie en interne controle van de provincie.</t>
  </si>
  <si>
    <t>Verzending (Uploaden)</t>
  </si>
  <si>
    <t>Ik verzoek u de gevraagde gegevens, conform het BBV, op de volgende manier te versturen:</t>
  </si>
  <si>
    <t>www.cbs.nl/bestandslevering</t>
  </si>
  <si>
    <t>Voor meer informatie over de informatiestroom aan het CBS verwijs ik u naar BZK-circulaire "Informatie voor derden" van 29 juni 2009, de circulaire "Begroten en verantwoorden, deel 4: Uitvoering informatie voor derden" van 5 september 2003 en de website van bureau Kredo:</t>
  </si>
  <si>
    <r>
      <t xml:space="preserve">              </t>
    </r>
    <r>
      <rPr>
        <b/>
        <sz val="10"/>
        <rFont val="Arial"/>
        <family val="2"/>
      </rPr>
      <t>KRD</t>
    </r>
    <r>
      <rPr>
        <sz val="10"/>
        <rFont val="Arial"/>
        <family val="2"/>
      </rPr>
      <t xml:space="preserve"> staat voor Kredo --&gt; Kwaliteitsslag Rapportage EU Decentrale Overheden</t>
    </r>
  </si>
  <si>
    <t xml:space="preserve">                                           te vinden op de website van bureau Kredo.</t>
  </si>
  <si>
    <t>Eindoordeel</t>
  </si>
  <si>
    <t>Hulpgegevens</t>
  </si>
  <si>
    <t xml:space="preserve">Uitkomsten:                                                                                              </t>
  </si>
  <si>
    <t>procenten</t>
  </si>
  <si>
    <t>waardering</t>
  </si>
  <si>
    <t>1. saldo niet-financiële rekening - saldo financiële rekening</t>
  </si>
  <si>
    <t>2. gebruik juiste categorieën op financiële balans</t>
  </si>
  <si>
    <t>3. ontwikkeling balansstanden - mutaties in de matrix</t>
  </si>
  <si>
    <t>4. categorie 0.0</t>
  </si>
  <si>
    <t>5. verrekencategorieën</t>
  </si>
  <si>
    <t>Eindoordeel:</t>
  </si>
  <si>
    <t>REFERENTIEWAARDE</t>
  </si>
  <si>
    <t>lastenjaartotaal</t>
  </si>
  <si>
    <t>kwartaal</t>
  </si>
  <si>
    <t>jaartotaal</t>
  </si>
  <si>
    <t>TOETSEN</t>
  </si>
  <si>
    <t>toets 1</t>
  </si>
  <si>
    <t>afwijking</t>
  </si>
  <si>
    <t>Afwijking_1 (%)</t>
  </si>
  <si>
    <t>oordeel</t>
  </si>
  <si>
    <t>toets 2</t>
  </si>
  <si>
    <t>Post</t>
  </si>
  <si>
    <t>som</t>
  </si>
  <si>
    <t xml:space="preserve">totaal </t>
  </si>
  <si>
    <t>noemer</t>
  </si>
  <si>
    <t>Afwijking_2 (%)</t>
  </si>
  <si>
    <t>toets 3</t>
  </si>
  <si>
    <t>post</t>
  </si>
  <si>
    <t>primo</t>
  </si>
  <si>
    <t>ultimo</t>
  </si>
  <si>
    <t>ult-prim</t>
  </si>
  <si>
    <t>lasten</t>
  </si>
  <si>
    <t>baten</t>
  </si>
  <si>
    <t>saldo</t>
  </si>
  <si>
    <t>teller</t>
  </si>
  <si>
    <t>Afwijking_3 (%)</t>
  </si>
  <si>
    <t>toets 4</t>
  </si>
  <si>
    <t xml:space="preserve">lasten </t>
  </si>
  <si>
    <t>Afwijking_4 (%)</t>
  </si>
  <si>
    <t>toets 5</t>
  </si>
  <si>
    <t>|(L-B)|</t>
  </si>
  <si>
    <t>|L|+|B|</t>
  </si>
  <si>
    <t>totaal</t>
  </si>
  <si>
    <t>Afwijking_5 (%)</t>
  </si>
  <si>
    <t>Deze hulpgegevens zijn noodzakelijk voor bepaling van het eindoordeel. Niet wijzigen a.u.b.</t>
  </si>
  <si>
    <t>EMU-saldo berekend uit de niet-financiële rekening (cat. 1 t/m 5, plus 8.1)</t>
  </si>
  <si>
    <t>totaal lasten cat 1 t/m 5</t>
  </si>
  <si>
    <t>L0 t/m 5</t>
  </si>
  <si>
    <t>L6.0+8.1</t>
  </si>
  <si>
    <t>B6.0+8.1</t>
  </si>
  <si>
    <t>Informatie voor derden (iv3)</t>
  </si>
  <si>
    <t>Volgens het Besluit Begroting en Verantwoording Provincies en Gemeenten (BBV), in het bijzonder de artikelen 72 en 74, dienen provincies en gemeenten op kwartaal- en jaarbasis informatie te verschaffen over:</t>
  </si>
  <si>
    <t>1) De baten en lasten van functies, kostenplaatsen en balansposten;</t>
  </si>
  <si>
    <t>2) Een overzicht van balansstanden.</t>
  </si>
  <si>
    <t xml:space="preserve">Het is de bedoeling dat u de bijgevoegde verdelingsmatrices (lasten en baten) en het balansstandenoverzicht (automatisch) vult met deze gegevens. </t>
  </si>
  <si>
    <t>De informatie wordt pas als ontvangen beschouwd indien ook de verklaring van het college in het bezit van het CBS is.</t>
  </si>
  <si>
    <t>Het gevulde bestand dient binnen de gestelde termijn naar het CBS te worden opgestuurd:</t>
  </si>
  <si>
    <t>Na ontvangst van het bestand toetst het CBS de informatie op plausibiliteit. Vervolgens zullen de resultaten van deze plausibiliteitcontrole teruggekoppeld worden naar het college.</t>
  </si>
  <si>
    <r>
      <t xml:space="preserve">De gegevens dienen </t>
    </r>
    <r>
      <rPr>
        <b/>
        <i/>
        <sz val="10"/>
        <color indexed="10"/>
        <rFont val="Arial"/>
        <family val="2"/>
      </rPr>
      <t>cumulatief</t>
    </r>
    <r>
      <rPr>
        <b/>
        <sz val="10"/>
        <color indexed="10"/>
        <rFont val="Arial"/>
        <family val="2"/>
      </rPr>
      <t xml:space="preserve"> </t>
    </r>
    <r>
      <rPr>
        <sz val="10"/>
        <rFont val="Arial"/>
        <family val="2"/>
      </rPr>
      <t>ingevuld</t>
    </r>
    <r>
      <rPr>
        <sz val="10"/>
        <color indexed="10"/>
        <rFont val="Arial"/>
        <family val="2"/>
      </rPr>
      <t xml:space="preserve"> </t>
    </r>
    <r>
      <rPr>
        <sz val="10"/>
        <rFont val="Arial"/>
        <family val="2"/>
      </rPr>
      <t>te worden. De opgave die het CBS bijvoorbeeld over het tweede kwartaal ontvangt, betreft dus de gegevens van 1 januari tot en met 30 juni.</t>
    </r>
  </si>
  <si>
    <t>In geval van vragen en/of onduidelijkheden over de levering zal het CBS direct met de betreffende persoon contact opnemen.</t>
  </si>
  <si>
    <t>Bij het onderdeel verdelingsmatrix wordt gevraagd naar een overzicht van de baten en lasten naar functies, kostenplaatsen en alle balansmutaties verbijzonderd naar economische categorieën. De voorschriften van het BBV en de Ministeriële Regeling Informatie voor derden van 6 februari 2003 zijn hierop van toepassing. Voor het vullen van de verdelingsmatrix zijn de tabbladen "5.Verdelingsmatrix lasten" en "6.Verdelingsmatrix baten" bestemd.</t>
  </si>
  <si>
    <t>De specificaties van de functies, kostenplaatsen en categorieën zijn opgenomen in de eerder genoemde Ministeriële Regeling. Een verdere specificatie van de balansposten is opgenomen in het BBV artikelen 30 t/m 58.</t>
  </si>
  <si>
    <r>
      <t xml:space="preserve">LET OP! </t>
    </r>
    <r>
      <rPr>
        <sz val="10"/>
        <rFont val="Arial"/>
        <family val="2"/>
      </rPr>
      <t>De balansmutaties worden in de verdelingsmatrix voorzien van economische categorieën.</t>
    </r>
  </si>
  <si>
    <t>Overzicht van balansstanden</t>
  </si>
  <si>
    <r>
      <t>Op kwartaal- en jaarbasis worden balans</t>
    </r>
    <r>
      <rPr>
        <b/>
        <sz val="10"/>
        <rFont val="Arial"/>
        <family val="2"/>
      </rPr>
      <t>standen</t>
    </r>
    <r>
      <rPr>
        <sz val="10"/>
        <rFont val="Arial"/>
        <family val="2"/>
      </rPr>
      <t xml:space="preserve"> gevraagd (zowel primo als ultimo). </t>
    </r>
  </si>
  <si>
    <t>Per kwartaal wordt de financiële balans en per jaar een volledige balans gevraagd.</t>
  </si>
  <si>
    <t>Volgens het BBV moet u op kwartaal- en jaarbasis financiële gegevens aan het CBS sturen in de vorm van een verdelingsmatrix en een overzicht van balansstanden. Het BBV stelt tevens dat het college verplicht is een schriftelijke verklaring over de betrouwbaarheid van de gegevens te sturen naar het CBS.</t>
  </si>
  <si>
    <t xml:space="preserve">Elke levering aan het CBS bestaat uit één zip-bestand, waarin de Iv3-matrix (Excel- of XBRL-formaat) en de </t>
  </si>
  <si>
    <t>Akkoordverklaring (gescand in pdf-formaat) zijn opgenomen. Verzending geschiedt middels uploaden via</t>
  </si>
  <si>
    <r>
      <t xml:space="preserve">              </t>
    </r>
    <r>
      <rPr>
        <b/>
        <sz val="10"/>
        <rFont val="Arial"/>
        <family val="2"/>
      </rPr>
      <t>AKK</t>
    </r>
    <r>
      <rPr>
        <sz val="10"/>
        <rFont val="Arial"/>
        <family val="2"/>
      </rPr>
      <t xml:space="preserve"> staat voor Akkoordverklaring </t>
    </r>
  </si>
  <si>
    <r>
      <t xml:space="preserve">                          </t>
    </r>
    <r>
      <rPr>
        <b/>
        <sz val="10"/>
        <rFont val="Arial"/>
        <family val="2"/>
      </rPr>
      <t>p</t>
    </r>
    <r>
      <rPr>
        <sz val="10"/>
        <rFont val="Arial"/>
        <family val="2"/>
      </rPr>
      <t xml:space="preserve">  = periode (0 = begroting, 1-4 = kwartalen, 5 = jaar)</t>
    </r>
  </si>
  <si>
    <r>
      <t xml:space="preserve">De gevraagde informatie behoort voorzien te zijn van een </t>
    </r>
    <r>
      <rPr>
        <b/>
        <i/>
        <sz val="10"/>
        <color indexed="10"/>
        <rFont val="Arial"/>
        <family val="2"/>
      </rPr>
      <t>ondertekende schriftelijke verklaring</t>
    </r>
    <r>
      <rPr>
        <sz val="10"/>
        <rFont val="Arial"/>
        <family val="2"/>
      </rPr>
      <t xml:space="preserve"> van het college (BBV art. 72 lid 3 en art. 74 lid 2) dat de gegevens aan de gestelde eisen voldoen. Een voorbeeldmodel is opgenomen in Begroten en Verantwoorden Deel 4: 'Uitvoering informatie voor derden', circulaire van 5 september 2003, en het tabblad 8.Akkoordverklaring.</t>
    </r>
  </si>
  <si>
    <t>Let op: deze hoeft niet gelijk te zijn aan de officiële, bij het ministerie van BZK geregistreerde, contactpersoon voor de communicatie over de aanlevering van de Iv3 (zie tabblad 3.Toelichting, Informatie provincie)</t>
  </si>
  <si>
    <t>0 = begroting, 1 - 4 = kwartalen, 5 = jaarrekening</t>
  </si>
  <si>
    <t>Deze post hoeft niet te worden ingevuld bij de kwartaalrapportage.</t>
  </si>
  <si>
    <t>Vorderingen op openbare lichamen</t>
  </si>
  <si>
    <t>De balansposten staan in tabblad "7.Balansstanden". De regels die op kwartaalbasis niet ingevuld hoeven te worden zijn in dit model verborgen. Uitleg over de afzonderlijke balansposten is opgenomen in de artikelen 30 t/m 58 van het BBV.</t>
  </si>
  <si>
    <r>
      <t xml:space="preserve">Let op: de invuller hoeft niet gelijk te zijn aan de officiële, bij het ministerie van BZK geregistreerde, contactpersoon. Conform de nieuwe leveringsprocedure beschreven in de </t>
    </r>
    <r>
      <rPr>
        <i/>
        <sz val="10"/>
        <rFont val="Arial"/>
        <family val="2"/>
      </rPr>
      <t xml:space="preserve">BZK-circulaire Informatie voor derden van 29 juni 2009 </t>
    </r>
    <r>
      <rPr>
        <sz val="10"/>
        <rFont val="Arial"/>
        <family val="2"/>
      </rPr>
      <t xml:space="preserve">verloopt de communicatie over de levering van de Iv3 en de berichtgever uitsluitend via deze contactpersoon. Het ministerie van BZK gaat uit van de huidige lijst van contactpersonen, zoals deze bij het CBS bekend zijn. Wijziging van deze contactpersoon dient, vanaf 1 oktober 2009, via de postbus IBI, </t>
    </r>
    <r>
      <rPr>
        <u/>
        <sz val="10"/>
        <rFont val="Arial"/>
        <family val="2"/>
      </rPr>
      <t>postbusibi@minbzk.nl</t>
    </r>
    <r>
      <rPr>
        <sz val="10"/>
        <rFont val="Arial"/>
        <family val="2"/>
      </rPr>
      <t xml:space="preserve"> te worden doorgegeven aan het Ministerie van BZK, </t>
    </r>
    <r>
      <rPr>
        <b/>
        <sz val="10"/>
        <rFont val="Arial"/>
        <family val="2"/>
      </rPr>
      <t>niet</t>
    </r>
    <r>
      <rPr>
        <sz val="10"/>
        <rFont val="Arial"/>
        <family val="2"/>
      </rPr>
      <t xml:space="preserve"> aan het CBS.</t>
    </r>
  </si>
  <si>
    <t>Overzicht berekeningen voor toetsen plausibiliteitoordeel</t>
  </si>
  <si>
    <t>Zoals beschreven in de Iv3-circulaire van 29 juni 2009 wordt de Iv3-levering beoordeeld op plausibiliteit. Hiervoor zijn door de toezichthouder (het ministerie van BZK) vijf toetsen vastgesteld. De berekening van deze toetsen is hieronder weergegeven. Deze berekening kunt u toepassen op het ingevulde Excelbestand.</t>
  </si>
  <si>
    <t xml:space="preserve">Voor een exacte beschrijving van de hieronder uitgewerkte toetsen verwijzen wij u naar het bijbehorende document op de website van bureau Kredo (www.cbs.nl/kredo) </t>
  </si>
  <si>
    <t xml:space="preserve">Onderstaande is onder voorbehoud van eventuele typefouten en wijzigingen. Het definitieve eindoordeel stelt het CBS vast. Dit definitieve eindoordeel wordt door het CBS binnen enkele werkdagen na inzending naar de officiële contactpersoon voor de Iv3-leveringen gestuurd. </t>
  </si>
  <si>
    <t>B0 t/m 5</t>
  </si>
  <si>
    <r>
      <t>Let op</t>
    </r>
    <r>
      <rPr>
        <sz val="10"/>
        <color indexed="8"/>
        <rFont val="Arial"/>
        <family val="2"/>
      </rPr>
      <t xml:space="preserve">: Wijzigingen van de contactpersoon kunt u </t>
    </r>
    <r>
      <rPr>
        <i/>
        <sz val="10"/>
        <color indexed="8"/>
        <rFont val="Arial"/>
        <family val="2"/>
      </rPr>
      <t>niet</t>
    </r>
    <r>
      <rPr>
        <sz val="10"/>
        <color indexed="8"/>
        <rFont val="Arial"/>
        <family val="2"/>
      </rPr>
      <t xml:space="preserve"> via de upload-pagina doorvoeren. Mutaties van de contactpersoon dient u via postbus IBI, postbusibi@minbzk.nl, door te geven aan het Ministerie van BZK.</t>
    </r>
  </si>
  <si>
    <t>kp_kpl</t>
  </si>
  <si>
    <t>kp_ovg</t>
  </si>
  <si>
    <t>Voor vragen en/of opmerkingen over inhoudelijke Iv3-zaken kunt u contact opnemen met:</t>
  </si>
  <si>
    <t>Centraal Bureau voor de Statistiek       •       Statistics Netherlands</t>
  </si>
  <si>
    <t>In verband met de automatische verwerking verzoek ik u, indien u via Excel instuurt, dit bestand te gebruiken en geen wijzigingen in (de opmaak van) dit bestand aan te brengen. Voor meer informatie over de toezending, verwijs ik u naar het tabblad "2.Adressering".</t>
  </si>
  <si>
    <t>De naamgeving van de bestanden met de gegevens die u toestuurt, dient als volgt te zijn:</t>
  </si>
  <si>
    <t>In tabblad 4.Informatie wordt u gevraagd om contactinformatie over uw provincie, de periode waarop de ingestuurde vragenlijst betrekking heeft, en gegevens over de invuller en/of contactpersoon te vermelden.</t>
  </si>
  <si>
    <t>Hiervoor ontvangt u van het CBS na de opvraagbrief voor het betreffende kwartaal per e-mail de uploadgegevens. Na het uploaden van de gegevens krijgt u een ontvangstbevestiging op het scherm.</t>
  </si>
  <si>
    <t xml:space="preserve">                               nnnn = provincienummer, dit nummer is te vinden in de opvraagbrief en tevens </t>
  </si>
  <si>
    <r>
      <t xml:space="preserve">Conform het Besluit begroting en verantwoording provincies en gemeenten, in het bijzonder artikel 74 en de Ministeriële regeling informatie voor derden van 6 februari 2003 sturen wij u de vereiste informatie voor het </t>
    </r>
    <r>
      <rPr>
        <u/>
        <sz val="10"/>
        <rFont val="Arial"/>
        <family val="2"/>
      </rPr>
      <t xml:space="preserve">     </t>
    </r>
    <r>
      <rPr>
        <sz val="10"/>
        <rFont val="Arial"/>
        <family val="2"/>
      </rPr>
      <t xml:space="preserve"> kwartaal van het jaar </t>
    </r>
    <r>
      <rPr>
        <u/>
        <sz val="10"/>
        <rFont val="Arial"/>
        <family val="2"/>
      </rPr>
      <t xml:space="preserve">     </t>
    </r>
    <r>
      <rPr>
        <sz val="10"/>
        <rFont val="Arial"/>
        <family val="2"/>
      </rPr>
      <t xml:space="preserve">. Het betreffende bestand met de naam </t>
    </r>
    <r>
      <rPr>
        <u/>
        <sz val="10"/>
        <rFont val="Arial"/>
        <family val="2"/>
      </rPr>
      <t xml:space="preserve">           </t>
    </r>
    <r>
      <rPr>
        <sz val="10"/>
        <rFont val="Arial"/>
        <family val="2"/>
      </rPr>
      <t xml:space="preserve"> en deze akkoordverklaring treft u in dezelfde zip-file aan.</t>
    </r>
  </si>
  <si>
    <t>U wordt verzocht de gegevens te verstrekken in eXtensible Business Reporting Language (XBRL). Hiervoor heeft het CBS een zogenaamde taxonomie ontwikkeld die op de website van Bureau Kredo van het CBS te vinden is. Mocht XBRL voor u nog niet mogelijk zijn, dan verzoekt het CBS u voor de aanlevering van kwartaalgegevens gebruik te maken van dit Excel-bestand. In dit bestand bevinden zich tabbladen die u (automatisch) kunt vullen.</t>
  </si>
  <si>
    <t>Ten slotte wijs ik u op het belang van een zorgvuldige gegevensverstrekking. Door de ministeries wordt de Iv3-matrix voor steeds meer beleidsdoeleinden gebruikt. Daarnaast neemt de vraag naar gegevens van afzonderlijke provincies sterk toe. Het CBS kan de gegevens van de afzonderlijke provincies zoals deze aan ons worden verstrekt publiceren. Ter bevordering van de kwaliteit en uniformiteit van de cijfers zal het CBS contact met u opnemen bij twijfel aan het correct gebruik van de functionele indeling.</t>
  </si>
  <si>
    <r>
      <t xml:space="preserve">                            </t>
    </r>
    <r>
      <rPr>
        <b/>
        <sz val="10"/>
        <rFont val="Arial"/>
        <family val="2"/>
      </rPr>
      <t>03</t>
    </r>
    <r>
      <rPr>
        <sz val="10"/>
        <rFont val="Arial"/>
        <family val="2"/>
      </rPr>
      <t xml:space="preserve"> = groepsnummer (provincie = 03)</t>
    </r>
  </si>
  <si>
    <t>EMU-saldo berekend uit de financiële rekening (categorie 7)</t>
  </si>
  <si>
    <t>Hoofddirectie Economie, Bedrijven en Nationale rekeningen</t>
  </si>
  <si>
    <t>Hoofd van de sector Overheidsfinanciën en consumentenprijzen</t>
  </si>
  <si>
    <t>Dhr. Dr. H. van de Stadt</t>
  </si>
  <si>
    <t>Den Haag, februari 2013</t>
  </si>
  <si>
    <t>De functionele indeling van de lasten- en batenmatix is voor 2013 gelijk aan die van 2012.</t>
  </si>
  <si>
    <t>De kwartaalgegevens dienen binnen één maand na afloop van het kwartaal, voorzien van een verklaring van het college, door het CBS ontvangen te zijn. Voor aanlevering van het vierde kwartaal 2013 geldt een uiterste inzenddatum van 14 februari 2014. De (automatisch) te vullen formulieren zijn voor alle kwartaalleveringen voor het jaar 2013.</t>
  </si>
  <si>
    <r>
      <t xml:space="preserve">       </t>
    </r>
    <r>
      <rPr>
        <b/>
        <sz val="10"/>
        <rFont val="Courier"/>
        <family val="3"/>
      </rPr>
      <t>KRDjjp03nnnn.xls</t>
    </r>
    <r>
      <rPr>
        <sz val="10"/>
        <rFont val="Arial"/>
        <family val="2"/>
      </rPr>
      <t xml:space="preserve"> (bijv. KRD131030006.xls)</t>
    </r>
  </si>
  <si>
    <r>
      <t xml:space="preserve">       </t>
    </r>
    <r>
      <rPr>
        <b/>
        <sz val="10"/>
        <rFont val="Courier"/>
        <family val="3"/>
      </rPr>
      <t>AKKjjp03nnnn.pdf</t>
    </r>
    <r>
      <rPr>
        <sz val="10"/>
        <rFont val="Arial"/>
        <family val="2"/>
      </rPr>
      <t xml:space="preserve"> (bijv. AKK131030006.pdf)</t>
    </r>
  </si>
  <si>
    <r>
      <t xml:space="preserve">       </t>
    </r>
    <r>
      <rPr>
        <b/>
        <sz val="10"/>
        <rFont val="Courier"/>
        <family val="3"/>
      </rPr>
      <t>KRDjjp03nnnn.zip</t>
    </r>
    <r>
      <rPr>
        <sz val="10"/>
        <rFont val="Arial"/>
        <family val="2"/>
      </rPr>
      <t xml:space="preserve"> (bijv. KRD131030006.zip)</t>
    </r>
  </si>
  <si>
    <t xml:space="preserve">                                                                                      Kredo - 2013 - periode 1 - provincie - Utrecht</t>
  </si>
  <si>
    <r>
      <t xml:space="preserve">                      </t>
    </r>
    <r>
      <rPr>
        <b/>
        <sz val="10"/>
        <rFont val="Arial"/>
        <family val="2"/>
      </rPr>
      <t>jj</t>
    </r>
    <r>
      <rPr>
        <sz val="10"/>
        <rFont val="Arial"/>
        <family val="2"/>
      </rPr>
      <t xml:space="preserve">  = jaar, bijvoorbeeld voor 2013 wordt het 13</t>
    </r>
  </si>
  <si>
    <r>
      <t xml:space="preserve">Voor de kwartaalgegevens is de uiterlijke inzendtermijn </t>
    </r>
    <r>
      <rPr>
        <b/>
        <sz val="10"/>
        <color indexed="10"/>
        <rFont val="Arial"/>
        <family val="2"/>
      </rPr>
      <t xml:space="preserve">één maand na afloop van het kwartaal. Voor aanlevering van het vierde kwartaal 2013 geldt een uiterste inzenddatum van 14 februari 2014. </t>
    </r>
  </si>
  <si>
    <t>Dit bestand is bestemd voor alle kwartaalleveringen over 2013.</t>
  </si>
  <si>
    <t>Provincie Groningen</t>
  </si>
  <si>
    <t>G.A. Veldman-Perdok</t>
  </si>
  <si>
    <t>Financiën &amp; Control</t>
  </si>
  <si>
    <t>Financieel beleidsmedewerkster</t>
  </si>
  <si>
    <t>050 3164261</t>
  </si>
  <si>
    <t>g.a.veldman.perdok@provinciegroningen.nl</t>
  </si>
  <si>
    <t>0001</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</si>
</sst>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
    <numFmt numFmtId="165" formatCode="dd/mm/yyyy"/>
    <numFmt numFmtId="166" formatCode="dd/m/yyyy"/>
    <numFmt numFmtId="167" formatCode="d\ mmmm\ yyyy"/>
    <numFmt numFmtId="168" formatCode="d\ mmmm"/>
    <numFmt numFmtId="169" formatCode="_([$€]* #,##0.00_);_([$€]* \(#,##0.00\);_([$€]* &quot;-&quot;??_);_(@_)"/>
  </numFmts>
  <fonts count="54">
    <font>
      <sz val="10"/>
      <name val="Arial"/>
    </font>
    <font>
      <sz val="10"/>
      <name val="Arial"/>
      <family val="2"/>
    </font>
    <font>
      <b/>
      <sz val="11"/>
      <name val="Arial"/>
      <family val="2"/>
    </font>
    <font>
      <u/>
      <sz val="10"/>
      <color indexed="12"/>
      <name val="Arial"/>
      <family val="2"/>
    </font>
    <font>
      <b/>
      <sz val="10"/>
      <name val="Arial"/>
      <family val="2"/>
    </font>
    <font>
      <sz val="10"/>
      <name val="Arial"/>
      <family val="2"/>
    </font>
    <font>
      <b/>
      <sz val="10"/>
      <color indexed="10"/>
      <name val="Arial"/>
      <family val="2"/>
    </font>
    <font>
      <sz val="8"/>
      <name val="Arial"/>
      <family val="2"/>
    </font>
    <font>
      <b/>
      <sz val="6"/>
      <name val="Arial"/>
      <family val="2"/>
    </font>
    <font>
      <sz val="6"/>
      <name val="Arial"/>
      <family val="2"/>
    </font>
    <font>
      <b/>
      <i/>
      <sz val="10"/>
      <color indexed="10"/>
      <name val="Arial"/>
      <family val="2"/>
    </font>
    <font>
      <b/>
      <sz val="10"/>
      <color indexed="48"/>
      <name val="Arial"/>
      <family val="2"/>
    </font>
    <font>
      <sz val="10"/>
      <color indexed="10"/>
      <name val="Arial"/>
      <family val="2"/>
    </font>
    <font>
      <b/>
      <i/>
      <sz val="10"/>
      <name val="Arial"/>
      <family val="2"/>
    </font>
    <font>
      <i/>
      <sz val="10"/>
      <name val="Arial"/>
      <family val="2"/>
    </font>
    <font>
      <u/>
      <sz val="10"/>
      <color indexed="12"/>
      <name val="Arial"/>
      <family val="2"/>
    </font>
    <font>
      <sz val="10"/>
      <color indexed="8"/>
      <name val="Arial"/>
      <family val="2"/>
    </font>
    <font>
      <sz val="14"/>
      <name val="Arial"/>
      <family val="2"/>
    </font>
    <font>
      <b/>
      <sz val="9"/>
      <color indexed="9"/>
      <name val="Arial"/>
      <family val="2"/>
    </font>
    <font>
      <b/>
      <sz val="8"/>
      <name val="Arial"/>
      <family val="2"/>
    </font>
    <font>
      <b/>
      <i/>
      <sz val="9"/>
      <color indexed="10"/>
      <name val="Arial"/>
      <family val="2"/>
    </font>
    <font>
      <b/>
      <sz val="10"/>
      <color indexed="9"/>
      <name val="Arial"/>
      <family val="2"/>
    </font>
    <font>
      <b/>
      <sz val="14"/>
      <name val="Arial"/>
      <family val="2"/>
    </font>
    <font>
      <sz val="11"/>
      <name val="Arial"/>
      <family val="2"/>
    </font>
    <font>
      <b/>
      <sz val="12"/>
      <name val="Arial"/>
      <family val="2"/>
    </font>
    <font>
      <sz val="11"/>
      <name val="Arial"/>
      <family val="2"/>
    </font>
    <font>
      <b/>
      <sz val="11"/>
      <color indexed="8"/>
      <name val="Arial"/>
      <family val="2"/>
    </font>
    <font>
      <i/>
      <sz val="11"/>
      <name val="Arial"/>
      <family val="2"/>
    </font>
    <font>
      <sz val="11"/>
      <color indexed="9"/>
      <name val="Arial"/>
      <family val="2"/>
    </font>
    <font>
      <b/>
      <sz val="11"/>
      <color indexed="9"/>
      <name val="Arial"/>
      <family val="2"/>
    </font>
    <font>
      <b/>
      <sz val="9"/>
      <name val="Arial"/>
      <family val="2"/>
    </font>
    <font>
      <b/>
      <i/>
      <sz val="9"/>
      <name val="Arial"/>
      <family val="2"/>
    </font>
    <font>
      <sz val="8"/>
      <name val="Arial"/>
      <family val="2"/>
    </font>
    <font>
      <b/>
      <sz val="10"/>
      <name val="Arial"/>
      <family val="2"/>
    </font>
    <font>
      <b/>
      <sz val="10"/>
      <color indexed="8"/>
      <name val="Arial"/>
      <family val="2"/>
    </font>
    <font>
      <sz val="11"/>
      <color indexed="22"/>
      <name val="Arial"/>
      <family val="2"/>
    </font>
    <font>
      <b/>
      <sz val="8"/>
      <color indexed="81"/>
      <name val="Tahoma"/>
      <family val="2"/>
    </font>
    <font>
      <sz val="8"/>
      <color indexed="81"/>
      <name val="Tahoma"/>
      <family val="2"/>
    </font>
    <font>
      <b/>
      <sz val="8"/>
      <color indexed="17"/>
      <name val="Arial"/>
      <family val="2"/>
    </font>
    <font>
      <b/>
      <i/>
      <sz val="9"/>
      <color indexed="8"/>
      <name val="Arial"/>
      <family val="2"/>
    </font>
    <font>
      <sz val="9"/>
      <name val="Arial"/>
      <family val="2"/>
    </font>
    <font>
      <i/>
      <sz val="9"/>
      <color indexed="48"/>
      <name val="Arial"/>
      <family val="2"/>
    </font>
    <font>
      <sz val="10"/>
      <name val="Courier"/>
      <family val="3"/>
    </font>
    <font>
      <b/>
      <sz val="10"/>
      <name val="Courier"/>
      <family val="3"/>
    </font>
    <font>
      <b/>
      <sz val="16"/>
      <name val="Arial"/>
      <family val="2"/>
    </font>
    <font>
      <sz val="12"/>
      <name val="Arial"/>
      <family val="2"/>
    </font>
    <font>
      <sz val="10"/>
      <color indexed="9"/>
      <name val="Arial"/>
      <family val="2"/>
    </font>
    <font>
      <sz val="9"/>
      <color indexed="48"/>
      <name val="Arial"/>
      <family val="2"/>
    </font>
    <font>
      <sz val="8"/>
      <color indexed="10"/>
      <name val="Arial"/>
      <family val="2"/>
    </font>
    <font>
      <u/>
      <sz val="10"/>
      <name val="Arial"/>
      <family val="2"/>
    </font>
    <font>
      <u/>
      <sz val="10"/>
      <color indexed="8"/>
      <name val="Arial"/>
      <family val="2"/>
    </font>
    <font>
      <i/>
      <sz val="10"/>
      <color indexed="8"/>
      <name val="Arial"/>
      <family val="2"/>
    </font>
    <font>
      <b/>
      <sz val="13"/>
      <color indexed="48"/>
      <name val="Arial"/>
      <family val="2"/>
    </font>
    <font>
      <sz val="11"/>
      <color rgb="FFFF0000"/>
      <name val="Arial"/>
      <family val="2"/>
    </font>
  </fonts>
  <fills count="9">
    <fill>
      <patternFill patternType="none"/>
    </fill>
    <fill>
      <patternFill patternType="gray125"/>
    </fill>
    <fill>
      <patternFill patternType="solid">
        <fgColor indexed="23"/>
        <bgColor indexed="64"/>
      </patternFill>
    </fill>
    <fill>
      <patternFill patternType="solid">
        <fgColor indexed="22"/>
        <bgColor indexed="64"/>
      </patternFill>
    </fill>
    <fill>
      <patternFill patternType="solid">
        <fgColor indexed="55"/>
        <bgColor indexed="64"/>
      </patternFill>
    </fill>
    <fill>
      <patternFill patternType="solid">
        <fgColor indexed="41"/>
        <bgColor indexed="64"/>
      </patternFill>
    </fill>
    <fill>
      <patternFill patternType="solid">
        <fgColor indexed="8"/>
        <bgColor indexed="64"/>
      </patternFill>
    </fill>
    <fill>
      <patternFill patternType="solid">
        <fgColor indexed="9"/>
        <bgColor indexed="64"/>
      </patternFill>
    </fill>
    <fill>
      <patternFill patternType="solid">
        <fgColor indexed="13"/>
        <bgColor indexed="64"/>
      </patternFill>
    </fill>
  </fills>
  <borders count="91">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diagonalDown="1">
      <left/>
      <right style="medium">
        <color indexed="64"/>
      </right>
      <top style="thin">
        <color indexed="64"/>
      </top>
      <bottom style="medium">
        <color indexed="64"/>
      </bottom>
      <diagonal style="thin">
        <color indexed="64"/>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thin">
        <color indexed="22"/>
      </bottom>
      <diagonal/>
    </border>
    <border>
      <left/>
      <right/>
      <top style="thin">
        <color indexed="22"/>
      </top>
      <bottom/>
      <diagonal/>
    </border>
    <border>
      <left style="medium">
        <color indexed="64"/>
      </left>
      <right/>
      <top/>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medium">
        <color indexed="64"/>
      </left>
      <right style="thin">
        <color indexed="64"/>
      </right>
      <top style="thin">
        <color indexed="64"/>
      </top>
      <bottom/>
      <diagonal/>
    </border>
    <border>
      <left/>
      <right/>
      <top style="thin">
        <color indexed="64"/>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style="medium">
        <color indexed="64"/>
      </top>
      <bottom style="medium">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bottom/>
      <diagonal/>
    </border>
    <border>
      <left style="medium">
        <color indexed="64"/>
      </left>
      <right style="medium">
        <color indexed="64"/>
      </right>
      <top style="thin">
        <color indexed="64"/>
      </top>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right style="medium">
        <color indexed="64"/>
      </right>
      <top style="medium">
        <color indexed="64"/>
      </top>
      <bottom style="medium">
        <color indexed="64"/>
      </bottom>
      <diagonal/>
    </border>
    <border>
      <left style="thin">
        <color indexed="22"/>
      </left>
      <right style="thin">
        <color indexed="22"/>
      </right>
      <top style="thin">
        <color indexed="22"/>
      </top>
      <bottom/>
      <diagonal/>
    </border>
    <border>
      <left/>
      <right/>
      <top/>
      <bottom style="medium">
        <color indexed="64"/>
      </bottom>
      <diagonal/>
    </border>
    <border>
      <left style="thin">
        <color indexed="22"/>
      </left>
      <right style="thin">
        <color indexed="22"/>
      </right>
      <top style="thin">
        <color indexed="22"/>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bottom style="medium">
        <color indexed="64"/>
      </bottom>
      <diagonal/>
    </border>
    <border>
      <left/>
      <right/>
      <top style="thick">
        <color indexed="22"/>
      </top>
      <bottom/>
      <diagonal/>
    </border>
    <border>
      <left style="thin">
        <color indexed="64"/>
      </left>
      <right style="thin">
        <color indexed="64"/>
      </right>
      <top style="thin">
        <color indexed="64"/>
      </top>
      <bottom style="hair">
        <color indexed="22"/>
      </bottom>
      <diagonal/>
    </border>
    <border>
      <left style="thin">
        <color indexed="64"/>
      </left>
      <right style="thin">
        <color indexed="64"/>
      </right>
      <top style="hair">
        <color indexed="22"/>
      </top>
      <bottom style="hair">
        <color indexed="22"/>
      </bottom>
      <diagonal/>
    </border>
    <border>
      <left style="thin">
        <color indexed="64"/>
      </left>
      <right style="thin">
        <color indexed="64"/>
      </right>
      <top style="hair">
        <color indexed="22"/>
      </top>
      <bottom style="thin">
        <color indexed="64"/>
      </bottom>
      <diagonal/>
    </border>
    <border>
      <left/>
      <right style="thin">
        <color indexed="64"/>
      </right>
      <top style="thin">
        <color indexed="64"/>
      </top>
      <bottom style="hair">
        <color indexed="22"/>
      </bottom>
      <diagonal/>
    </border>
    <border>
      <left/>
      <right style="thin">
        <color indexed="64"/>
      </right>
      <top style="hair">
        <color indexed="22"/>
      </top>
      <bottom style="hair">
        <color indexed="22"/>
      </bottom>
      <diagonal/>
    </border>
    <border>
      <left style="thin">
        <color indexed="64"/>
      </left>
      <right style="thin">
        <color indexed="64"/>
      </right>
      <top style="hair">
        <color indexed="22"/>
      </top>
      <bottom style="medium">
        <color indexed="64"/>
      </bottom>
      <diagonal/>
    </border>
    <border>
      <left/>
      <right style="thin">
        <color indexed="64"/>
      </right>
      <top style="hair">
        <color indexed="22"/>
      </top>
      <bottom style="medium">
        <color indexed="64"/>
      </bottom>
      <diagonal/>
    </border>
    <border>
      <left style="thin">
        <color indexed="64"/>
      </left>
      <right style="thin">
        <color indexed="64"/>
      </right>
      <top style="medium">
        <color indexed="64"/>
      </top>
      <bottom style="hair">
        <color indexed="22"/>
      </bottom>
      <diagonal/>
    </border>
    <border>
      <left style="thin">
        <color indexed="64"/>
      </left>
      <right style="thin">
        <color indexed="64"/>
      </right>
      <top style="hair">
        <color indexed="22"/>
      </top>
      <bottom/>
      <diagonal/>
    </border>
    <border>
      <left style="thin">
        <color indexed="64"/>
      </left>
      <right style="thin">
        <color indexed="64"/>
      </right>
      <top style="medium">
        <color indexed="64"/>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right/>
      <top style="thin">
        <color indexed="22"/>
      </top>
      <bottom style="thin">
        <color indexed="22"/>
      </bottom>
      <diagonal/>
    </border>
    <border>
      <left/>
      <right/>
      <top/>
      <bottom style="thin">
        <color indexed="22"/>
      </bottom>
      <diagonal/>
    </border>
    <border>
      <left style="thin">
        <color indexed="22"/>
      </left>
      <right/>
      <top style="thick">
        <color indexed="22"/>
      </top>
      <bottom style="thin">
        <color indexed="22"/>
      </bottom>
      <diagonal/>
    </border>
    <border>
      <left/>
      <right style="thin">
        <color indexed="22"/>
      </right>
      <top style="thick">
        <color indexed="22"/>
      </top>
      <bottom style="thin">
        <color indexed="22"/>
      </bottom>
      <diagonal/>
    </border>
    <border>
      <left style="thin">
        <color indexed="22"/>
      </left>
      <right/>
      <top style="thin">
        <color indexed="22"/>
      </top>
      <bottom style="thin">
        <color indexed="22"/>
      </bottom>
      <diagonal/>
    </border>
    <border>
      <left/>
      <right style="thin">
        <color indexed="22"/>
      </right>
      <top style="thin">
        <color indexed="22"/>
      </top>
      <bottom style="thin">
        <color indexed="22"/>
      </bottom>
      <diagonal/>
    </border>
    <border>
      <left/>
      <right style="medium">
        <color indexed="64"/>
      </right>
      <top style="thin">
        <color indexed="64"/>
      </top>
      <bottom style="medium">
        <color indexed="64"/>
      </bottom>
      <diagonal/>
    </border>
  </borders>
  <cellStyleXfs count="5">
    <xf numFmtId="0" fontId="0" fillId="0" borderId="0"/>
    <xf numFmtId="169" fontId="16" fillId="0" borderId="0" applyFont="0" applyFill="0" applyBorder="0" applyAlignment="0" applyProtection="0"/>
    <xf numFmtId="0" fontId="3" fillId="0" borderId="0" applyNumberFormat="0" applyFill="0" applyBorder="0" applyAlignment="0" applyProtection="0">
      <alignment vertical="top"/>
      <protection locked="0"/>
    </xf>
    <xf numFmtId="9" fontId="1" fillId="0" borderId="0" applyFont="0" applyFill="0" applyBorder="0" applyAlignment="0" applyProtection="0"/>
    <xf numFmtId="0" fontId="16" fillId="0" borderId="0"/>
  </cellStyleXfs>
  <cellXfs count="494">
    <xf numFmtId="0" fontId="0" fillId="0" borderId="0" xfId="0"/>
    <xf numFmtId="0" fontId="9" fillId="0" borderId="0" xfId="0" applyFont="1" applyAlignment="1">
      <alignment vertical="center"/>
    </xf>
    <xf numFmtId="49" fontId="9" fillId="0" borderId="0" xfId="0" applyNumberFormat="1" applyFont="1" applyAlignment="1">
      <alignment vertical="center" wrapText="1"/>
    </xf>
    <xf numFmtId="49" fontId="5" fillId="0" borderId="0" xfId="0" applyNumberFormat="1" applyFont="1" applyAlignment="1">
      <alignment vertical="center" wrapText="1"/>
    </xf>
    <xf numFmtId="0" fontId="5" fillId="0" borderId="0" xfId="0" applyNumberFormat="1" applyFont="1" applyAlignment="1">
      <alignment vertical="center" wrapText="1"/>
    </xf>
    <xf numFmtId="0" fontId="7" fillId="0" borderId="0" xfId="0" applyFont="1" applyProtection="1"/>
    <xf numFmtId="49" fontId="5" fillId="0" borderId="0" xfId="0" applyNumberFormat="1" applyFont="1" applyAlignment="1" applyProtection="1">
      <alignment wrapText="1"/>
    </xf>
    <xf numFmtId="0" fontId="5" fillId="0" borderId="0" xfId="0" applyNumberFormat="1" applyFont="1" applyAlignment="1" applyProtection="1">
      <alignment wrapText="1"/>
    </xf>
    <xf numFmtId="49" fontId="5" fillId="0" borderId="0" xfId="0" applyNumberFormat="1" applyFont="1" applyAlignment="1" applyProtection="1">
      <alignment horizontal="left" wrapText="1"/>
      <protection locked="0"/>
    </xf>
    <xf numFmtId="49" fontId="5" fillId="0" borderId="0" xfId="0" applyNumberFormat="1" applyFont="1" applyAlignment="1" applyProtection="1">
      <alignment horizontal="left" wrapText="1"/>
    </xf>
    <xf numFmtId="0" fontId="5" fillId="0" borderId="0" xfId="0" applyNumberFormat="1" applyFont="1" applyAlignment="1" applyProtection="1">
      <alignment horizontal="left" wrapText="1"/>
    </xf>
    <xf numFmtId="49" fontId="9" fillId="0" borderId="0" xfId="0" applyNumberFormat="1" applyFont="1" applyAlignment="1" applyProtection="1">
      <alignment wrapText="1"/>
    </xf>
    <xf numFmtId="49" fontId="9" fillId="0" borderId="0" xfId="0" applyNumberFormat="1" applyFont="1" applyAlignment="1" applyProtection="1">
      <alignment horizontal="left" wrapText="1"/>
    </xf>
    <xf numFmtId="49" fontId="11" fillId="0" borderId="0" xfId="2" applyNumberFormat="1" applyFont="1" applyAlignment="1" applyProtection="1">
      <alignment horizontal="left" wrapText="1" indent="3"/>
    </xf>
    <xf numFmtId="0" fontId="5" fillId="0" borderId="0" xfId="0" applyFont="1" applyAlignment="1">
      <alignment vertical="center" wrapText="1"/>
    </xf>
    <xf numFmtId="0" fontId="5" fillId="0" borderId="0" xfId="0" applyFont="1" applyAlignment="1">
      <alignment vertical="center"/>
    </xf>
    <xf numFmtId="49" fontId="5" fillId="0" borderId="0" xfId="0" quotePrefix="1" applyNumberFormat="1" applyFont="1" applyAlignment="1">
      <alignment vertical="center" wrapText="1"/>
    </xf>
    <xf numFmtId="0" fontId="5" fillId="0" borderId="0" xfId="0" applyFont="1"/>
    <xf numFmtId="0" fontId="4" fillId="0" borderId="0" xfId="0" applyFont="1" applyAlignment="1">
      <alignment horizontal="right"/>
    </xf>
    <xf numFmtId="0" fontId="15" fillId="0" borderId="0" xfId="2" applyFont="1" applyAlignment="1" applyProtection="1"/>
    <xf numFmtId="0" fontId="5" fillId="0" borderId="0" xfId="0" applyFont="1" applyAlignment="1">
      <alignment wrapText="1"/>
    </xf>
    <xf numFmtId="0" fontId="4" fillId="0" borderId="0" xfId="0" applyFont="1" applyAlignment="1">
      <alignment vertical="center" wrapText="1"/>
    </xf>
    <xf numFmtId="0" fontId="5" fillId="0" borderId="0" xfId="0" applyNumberFormat="1" applyFont="1" applyAlignment="1">
      <alignment vertical="center"/>
    </xf>
    <xf numFmtId="49" fontId="6" fillId="0" borderId="0" xfId="0" applyNumberFormat="1" applyFont="1" applyAlignment="1">
      <alignment vertical="center" wrapText="1"/>
    </xf>
    <xf numFmtId="49" fontId="12" fillId="0" borderId="0" xfId="0" applyNumberFormat="1" applyFont="1" applyAlignment="1">
      <alignment vertical="center" wrapText="1"/>
    </xf>
    <xf numFmtId="49" fontId="17" fillId="2" borderId="0" xfId="0" applyNumberFormat="1" applyFont="1" applyFill="1"/>
    <xf numFmtId="49" fontId="17" fillId="0" borderId="0" xfId="0" applyNumberFormat="1" applyFont="1"/>
    <xf numFmtId="49" fontId="17" fillId="0" borderId="0" xfId="0" applyNumberFormat="1" applyFont="1" applyBorder="1"/>
    <xf numFmtId="49" fontId="17" fillId="0" borderId="0" xfId="0" applyNumberFormat="1" applyFont="1" applyBorder="1" applyAlignment="1">
      <alignment horizontal="left"/>
    </xf>
    <xf numFmtId="0" fontId="7" fillId="3" borderId="0" xfId="0" applyFont="1" applyFill="1" applyProtection="1"/>
    <xf numFmtId="0" fontId="4" fillId="3" borderId="0" xfId="0" applyFont="1" applyFill="1" applyAlignment="1" applyProtection="1"/>
    <xf numFmtId="0" fontId="19" fillId="3" borderId="0" xfId="0" applyFont="1" applyFill="1" applyAlignment="1" applyProtection="1">
      <alignment horizontal="right"/>
    </xf>
    <xf numFmtId="0" fontId="7" fillId="3" borderId="0" xfId="0" applyFont="1" applyFill="1" applyAlignment="1" applyProtection="1">
      <alignment vertical="center"/>
    </xf>
    <xf numFmtId="0" fontId="5" fillId="3" borderId="0" xfId="0" applyFont="1" applyFill="1" applyAlignment="1" applyProtection="1">
      <alignment horizontal="right" vertical="center"/>
    </xf>
    <xf numFmtId="0" fontId="4" fillId="3" borderId="0" xfId="0" quotePrefix="1" applyFont="1" applyFill="1" applyAlignment="1" applyProtection="1">
      <alignment vertical="center"/>
    </xf>
    <xf numFmtId="0" fontId="19" fillId="3" borderId="0" xfId="0" quotePrefix="1" applyFont="1" applyFill="1" applyAlignment="1" applyProtection="1">
      <alignment horizontal="right" vertical="center"/>
    </xf>
    <xf numFmtId="49" fontId="17" fillId="0" borderId="0" xfId="0" applyNumberFormat="1" applyFont="1" applyAlignment="1">
      <alignment vertical="center"/>
    </xf>
    <xf numFmtId="0" fontId="4" fillId="3" borderId="0" xfId="0" applyFont="1" applyFill="1" applyAlignment="1" applyProtection="1">
      <alignment horizontal="center"/>
    </xf>
    <xf numFmtId="0" fontId="5" fillId="3" borderId="0" xfId="0" applyFont="1" applyFill="1" applyProtection="1"/>
    <xf numFmtId="49" fontId="5" fillId="3" borderId="0" xfId="0" applyNumberFormat="1" applyFont="1" applyFill="1" applyBorder="1" applyAlignment="1">
      <alignment horizontal="left"/>
    </xf>
    <xf numFmtId="0" fontId="4" fillId="3" borderId="0" xfId="0" applyFont="1" applyFill="1" applyProtection="1"/>
    <xf numFmtId="167" fontId="4" fillId="3" borderId="0" xfId="0" applyNumberFormat="1" applyFont="1" applyFill="1" applyAlignment="1" applyProtection="1">
      <alignment horizontal="right"/>
    </xf>
    <xf numFmtId="49" fontId="5" fillId="3" borderId="0" xfId="0" applyNumberFormat="1" applyFont="1" applyFill="1" applyBorder="1" applyAlignment="1">
      <alignment horizontal="right" vertical="top"/>
    </xf>
    <xf numFmtId="49" fontId="5" fillId="3" borderId="0" xfId="0" applyNumberFormat="1" applyFont="1" applyFill="1" applyBorder="1" applyAlignment="1">
      <alignment horizontal="left" vertical="top"/>
    </xf>
    <xf numFmtId="49" fontId="17" fillId="0" borderId="0" xfId="0" applyNumberFormat="1" applyFont="1" applyAlignment="1"/>
    <xf numFmtId="0" fontId="7" fillId="0" borderId="0" xfId="0" applyFont="1" applyAlignment="1" applyProtection="1">
      <alignment horizontal="left"/>
    </xf>
    <xf numFmtId="0" fontId="19" fillId="4" borderId="0" xfId="0" applyFont="1" applyFill="1" applyBorder="1" applyProtection="1"/>
    <xf numFmtId="0" fontId="18" fillId="4" borderId="0" xfId="0" applyFont="1" applyFill="1" applyBorder="1" applyAlignment="1" applyProtection="1">
      <alignment horizontal="center"/>
    </xf>
    <xf numFmtId="0" fontId="19" fillId="4" borderId="0" xfId="0" applyFont="1" applyFill="1" applyBorder="1" applyAlignment="1" applyProtection="1">
      <alignment horizontal="center"/>
    </xf>
    <xf numFmtId="0" fontId="7" fillId="3" borderId="0" xfId="0" applyFont="1" applyFill="1" applyAlignment="1" applyProtection="1">
      <alignment horizontal="right"/>
    </xf>
    <xf numFmtId="0" fontId="7" fillId="0" borderId="0" xfId="0" applyFont="1" applyFill="1" applyProtection="1"/>
    <xf numFmtId="0" fontId="21" fillId="4" borderId="0" xfId="0" applyFont="1" applyFill="1" applyBorder="1" applyAlignment="1" applyProtection="1">
      <alignment horizontal="left"/>
    </xf>
    <xf numFmtId="0" fontId="7" fillId="3" borderId="0" xfId="0" applyFont="1" applyFill="1" applyBorder="1" applyAlignment="1" applyProtection="1">
      <alignment horizontal="center"/>
    </xf>
    <xf numFmtId="49" fontId="17" fillId="3" borderId="0" xfId="0" applyNumberFormat="1" applyFont="1" applyFill="1"/>
    <xf numFmtId="0" fontId="22" fillId="0" borderId="1" xfId="0" applyFont="1" applyFill="1" applyBorder="1" applyAlignment="1">
      <alignment horizontal="left" vertical="top"/>
    </xf>
    <xf numFmtId="0" fontId="22" fillId="0" borderId="2" xfId="0" applyFont="1" applyFill="1" applyBorder="1" applyAlignment="1">
      <alignment vertical="top"/>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Fill="1" applyBorder="1" applyAlignment="1">
      <alignment horizontal="center" vertical="center"/>
    </xf>
    <xf numFmtId="1" fontId="22" fillId="0" borderId="6" xfId="0" applyNumberFormat="1" applyFont="1" applyFill="1" applyBorder="1" applyAlignment="1">
      <alignment horizontal="left"/>
    </xf>
    <xf numFmtId="1" fontId="22" fillId="0" borderId="7" xfId="0" applyNumberFormat="1" applyFont="1" applyFill="1" applyBorder="1" applyAlignment="1">
      <alignment horizontal="right" vertical="center"/>
    </xf>
    <xf numFmtId="0" fontId="23" fillId="0" borderId="0" xfId="0" applyFont="1" applyBorder="1" applyAlignment="1">
      <alignment vertical="center"/>
    </xf>
    <xf numFmtId="0" fontId="2" fillId="0" borderId="8" xfId="0" applyFont="1" applyFill="1" applyBorder="1" applyAlignment="1">
      <alignment vertical="center"/>
    </xf>
    <xf numFmtId="0" fontId="23" fillId="0" borderId="0" xfId="0" applyFont="1" applyFill="1" applyBorder="1" applyAlignment="1">
      <alignment vertical="center"/>
    </xf>
    <xf numFmtId="0" fontId="2" fillId="3" borderId="9" xfId="0" applyFont="1" applyFill="1" applyBorder="1" applyAlignment="1">
      <alignment vertical="center"/>
    </xf>
    <xf numFmtId="0" fontId="23" fillId="3" borderId="10" xfId="0" applyFont="1" applyFill="1" applyBorder="1" applyAlignment="1">
      <alignment vertical="center"/>
    </xf>
    <xf numFmtId="0" fontId="23" fillId="0" borderId="0" xfId="0" applyFont="1" applyBorder="1"/>
    <xf numFmtId="0" fontId="25" fillId="0" borderId="11" xfId="0" applyFont="1" applyBorder="1" applyAlignment="1">
      <alignment horizontal="center"/>
    </xf>
    <xf numFmtId="0" fontId="25" fillId="0" borderId="12" xfId="0" applyFont="1" applyBorder="1"/>
    <xf numFmtId="0" fontId="24" fillId="0" borderId="8" xfId="0" applyFont="1" applyFill="1" applyBorder="1" applyAlignment="1">
      <alignment vertical="center"/>
    </xf>
    <xf numFmtId="0" fontId="24" fillId="0" borderId="13" xfId="0" applyFont="1" applyFill="1" applyBorder="1" applyAlignment="1">
      <alignment vertical="center"/>
    </xf>
    <xf numFmtId="0" fontId="25" fillId="0" borderId="12" xfId="0" applyFont="1" applyFill="1" applyBorder="1" applyAlignment="1">
      <alignment vertical="center"/>
    </xf>
    <xf numFmtId="0" fontId="23" fillId="3" borderId="14" xfId="0" applyFont="1" applyFill="1" applyBorder="1" applyAlignment="1">
      <alignment vertical="center"/>
    </xf>
    <xf numFmtId="0" fontId="23" fillId="3" borderId="15" xfId="0" applyFont="1" applyFill="1" applyBorder="1" applyAlignment="1">
      <alignment vertical="center"/>
    </xf>
    <xf numFmtId="0" fontId="23" fillId="0" borderId="16" xfId="0" applyFont="1" applyFill="1" applyBorder="1" applyAlignment="1" applyProtection="1">
      <alignment horizontal="right" vertical="center"/>
      <protection locked="0"/>
    </xf>
    <xf numFmtId="0" fontId="23" fillId="3" borderId="0" xfId="0" applyFont="1" applyFill="1" applyBorder="1" applyAlignment="1" applyProtection="1">
      <alignment horizontal="right" vertical="center"/>
      <protection locked="0"/>
    </xf>
    <xf numFmtId="0" fontId="23" fillId="0" borderId="18" xfId="0" applyFont="1" applyFill="1" applyBorder="1" applyAlignment="1" applyProtection="1">
      <alignment horizontal="right" vertical="center"/>
      <protection locked="0"/>
    </xf>
    <xf numFmtId="0" fontId="23" fillId="3" borderId="20" xfId="0" applyFont="1" applyFill="1" applyBorder="1" applyAlignment="1" applyProtection="1">
      <alignment horizontal="right" vertical="center"/>
      <protection locked="0"/>
    </xf>
    <xf numFmtId="0" fontId="23" fillId="0" borderId="23" xfId="0" applyFont="1" applyFill="1" applyBorder="1" applyAlignment="1" applyProtection="1">
      <alignment horizontal="right" vertical="center"/>
      <protection locked="0"/>
    </xf>
    <xf numFmtId="0" fontId="2" fillId="0" borderId="0" xfId="0" applyFont="1" applyFill="1" applyBorder="1" applyAlignment="1">
      <alignment vertical="center"/>
    </xf>
    <xf numFmtId="0" fontId="28" fillId="2" borderId="0" xfId="0" applyFont="1" applyFill="1" applyAlignment="1" applyProtection="1">
      <alignment vertical="center"/>
    </xf>
    <xf numFmtId="0" fontId="23" fillId="0" borderId="0" xfId="0" applyFont="1" applyAlignment="1" applyProtection="1">
      <alignment vertical="center"/>
    </xf>
    <xf numFmtId="0" fontId="28" fillId="0" borderId="0" xfId="0" applyFont="1" applyFill="1" applyAlignment="1" applyProtection="1">
      <alignment vertical="center"/>
    </xf>
    <xf numFmtId="0" fontId="29" fillId="0" borderId="0" xfId="0" applyNumberFormat="1" applyFont="1" applyFill="1" applyAlignment="1" applyProtection="1">
      <alignment horizontal="left" vertical="center" wrapText="1"/>
    </xf>
    <xf numFmtId="0" fontId="23" fillId="0" borderId="0" xfId="0" applyFont="1" applyFill="1" applyAlignment="1" applyProtection="1">
      <alignment vertical="center"/>
    </xf>
    <xf numFmtId="0" fontId="7" fillId="0" borderId="0" xfId="0" applyFont="1" applyAlignment="1" applyProtection="1"/>
    <xf numFmtId="0" fontId="19" fillId="3" borderId="0" xfId="0" applyFont="1" applyFill="1" applyAlignment="1" applyProtection="1">
      <alignment horizontal="center"/>
    </xf>
    <xf numFmtId="49" fontId="30" fillId="3" borderId="0" xfId="0" applyNumberFormat="1" applyFont="1" applyFill="1" applyBorder="1" applyAlignment="1" applyProtection="1">
      <alignment horizontal="left"/>
    </xf>
    <xf numFmtId="0" fontId="30" fillId="3" borderId="0" xfId="0" applyFont="1" applyFill="1" applyAlignment="1" applyProtection="1"/>
    <xf numFmtId="168" fontId="30" fillId="3" borderId="0" xfId="0" applyNumberFormat="1" applyFont="1" applyFill="1" applyAlignment="1" applyProtection="1">
      <alignment horizontal="right"/>
    </xf>
    <xf numFmtId="0" fontId="19" fillId="3" borderId="0" xfId="0" applyFont="1" applyFill="1" applyAlignment="1" applyProtection="1"/>
    <xf numFmtId="165" fontId="19" fillId="4" borderId="0" xfId="0" applyNumberFormat="1" applyFont="1" applyFill="1" applyBorder="1" applyAlignment="1" applyProtection="1"/>
    <xf numFmtId="0" fontId="19" fillId="4" borderId="0" xfId="0" applyFont="1" applyFill="1" applyBorder="1" applyAlignment="1" applyProtection="1"/>
    <xf numFmtId="0" fontId="4" fillId="0" borderId="0" xfId="0" applyFont="1" applyBorder="1" applyAlignment="1" applyProtection="1"/>
    <xf numFmtId="0" fontId="7" fillId="3" borderId="25" xfId="0" applyFont="1" applyFill="1" applyBorder="1" applyAlignment="1" applyProtection="1"/>
    <xf numFmtId="49" fontId="7" fillId="3" borderId="0" xfId="0" applyNumberFormat="1" applyFont="1" applyFill="1" applyBorder="1" applyAlignment="1" applyProtection="1">
      <alignment horizontal="center"/>
    </xf>
    <xf numFmtId="165" fontId="30" fillId="3" borderId="0" xfId="0" applyNumberFormat="1" applyFont="1" applyFill="1" applyAlignment="1" applyProtection="1">
      <alignment horizontal="center"/>
    </xf>
    <xf numFmtId="166" fontId="30" fillId="3" borderId="0" xfId="0" applyNumberFormat="1" applyFont="1" applyFill="1" applyAlignment="1" applyProtection="1">
      <alignment horizontal="center"/>
    </xf>
    <xf numFmtId="0" fontId="7" fillId="3" borderId="0" xfId="0" applyFont="1" applyFill="1" applyBorder="1" applyAlignment="1" applyProtection="1"/>
    <xf numFmtId="0" fontId="31" fillId="0" borderId="0" xfId="0" applyFont="1" applyBorder="1" applyAlignment="1"/>
    <xf numFmtId="0" fontId="7" fillId="3" borderId="0" xfId="0" applyFont="1" applyFill="1" applyAlignment="1" applyProtection="1"/>
    <xf numFmtId="0" fontId="1" fillId="0" borderId="0" xfId="0" applyFont="1" applyBorder="1" applyAlignment="1"/>
    <xf numFmtId="3" fontId="7" fillId="0" borderId="26" xfId="0" applyNumberFormat="1" applyFont="1" applyBorder="1" applyAlignment="1" applyProtection="1">
      <protection locked="0"/>
    </xf>
    <xf numFmtId="0" fontId="7" fillId="0" borderId="26" xfId="0" applyFont="1" applyBorder="1" applyAlignment="1" applyProtection="1">
      <protection locked="0"/>
    </xf>
    <xf numFmtId="0" fontId="33" fillId="0" borderId="0" xfId="0" applyFont="1" applyFill="1" applyBorder="1" applyAlignment="1"/>
    <xf numFmtId="0" fontId="32" fillId="3" borderId="0" xfId="0" applyFont="1" applyFill="1" applyAlignment="1" applyProtection="1">
      <alignment horizontal="left"/>
    </xf>
    <xf numFmtId="0" fontId="1" fillId="0" borderId="0" xfId="0" applyFont="1" applyFill="1" applyBorder="1" applyAlignment="1"/>
    <xf numFmtId="0" fontId="7" fillId="0" borderId="0" xfId="0" applyFont="1" applyFill="1" applyAlignment="1" applyProtection="1"/>
    <xf numFmtId="0" fontId="7" fillId="0" borderId="0" xfId="0" applyFont="1" applyFill="1" applyBorder="1" applyAlignment="1" applyProtection="1"/>
    <xf numFmtId="0" fontId="7" fillId="0" borderId="0" xfId="0" applyFont="1" applyBorder="1" applyAlignment="1" applyProtection="1"/>
    <xf numFmtId="3" fontId="34" fillId="0" borderId="0" xfId="4" applyNumberFormat="1" applyFont="1" applyFill="1" applyBorder="1" applyAlignment="1">
      <alignment horizontal="left"/>
    </xf>
    <xf numFmtId="165" fontId="30" fillId="3" borderId="0" xfId="0" applyNumberFormat="1" applyFont="1" applyFill="1" applyBorder="1" applyAlignment="1" applyProtection="1">
      <alignment horizontal="center"/>
    </xf>
    <xf numFmtId="0" fontId="31" fillId="0" borderId="0" xfId="0" applyFont="1" applyFill="1" applyBorder="1" applyAlignment="1"/>
    <xf numFmtId="49" fontId="32" fillId="3" borderId="0" xfId="0" applyNumberFormat="1" applyFont="1" applyFill="1" applyBorder="1" applyAlignment="1" applyProtection="1">
      <alignment horizontal="left"/>
    </xf>
    <xf numFmtId="0" fontId="7" fillId="0" borderId="0" xfId="0" applyFont="1" applyAlignment="1" applyProtection="1">
      <alignment horizontal="center"/>
    </xf>
    <xf numFmtId="0" fontId="2" fillId="0" borderId="11" xfId="0" applyFont="1" applyBorder="1" applyAlignment="1">
      <alignment vertical="center"/>
    </xf>
    <xf numFmtId="0" fontId="5" fillId="3" borderId="27" xfId="0" applyFont="1" applyFill="1" applyBorder="1" applyAlignment="1" applyProtection="1">
      <alignment horizontal="right"/>
    </xf>
    <xf numFmtId="0" fontId="2" fillId="0" borderId="28" xfId="0" applyFont="1" applyFill="1" applyBorder="1" applyAlignment="1">
      <alignment horizontal="center" vertical="center"/>
    </xf>
    <xf numFmtId="0" fontId="2" fillId="0" borderId="0" xfId="0" applyFont="1" applyFill="1" applyBorder="1" applyAlignment="1">
      <alignment horizontal="center" vertical="center"/>
    </xf>
    <xf numFmtId="0" fontId="23" fillId="0" borderId="0" xfId="0" applyFont="1" applyFill="1" applyBorder="1" applyAlignment="1">
      <alignment wrapText="1"/>
    </xf>
    <xf numFmtId="0" fontId="23" fillId="3" borderId="28" xfId="0" applyFont="1" applyFill="1" applyBorder="1" applyAlignment="1">
      <alignment vertical="top"/>
    </xf>
    <xf numFmtId="0" fontId="23" fillId="3" borderId="29" xfId="0" applyFont="1" applyFill="1" applyBorder="1" applyAlignment="1">
      <alignment vertical="top"/>
    </xf>
    <xf numFmtId="0" fontId="23" fillId="3" borderId="20" xfId="0" applyFont="1" applyFill="1" applyBorder="1" applyAlignment="1">
      <alignment horizontal="center" vertical="center" textRotation="90" wrapText="1"/>
    </xf>
    <xf numFmtId="0" fontId="23" fillId="3" borderId="0" xfId="0" applyFont="1" applyFill="1" applyBorder="1" applyAlignment="1">
      <alignment horizontal="center" vertical="center" textRotation="90" wrapText="1"/>
    </xf>
    <xf numFmtId="0" fontId="23" fillId="3" borderId="30" xfId="0" applyFont="1" applyFill="1" applyBorder="1" applyAlignment="1">
      <alignment horizontal="center" vertical="center" textRotation="90" wrapText="1"/>
    </xf>
    <xf numFmtId="0" fontId="23" fillId="0" borderId="11" xfId="0" applyFont="1" applyBorder="1" applyAlignment="1">
      <alignment horizontal="center" vertical="center"/>
    </xf>
    <xf numFmtId="0" fontId="23" fillId="0" borderId="28" xfId="0" applyFont="1" applyFill="1" applyBorder="1" applyAlignment="1">
      <alignment vertical="center"/>
    </xf>
    <xf numFmtId="0" fontId="23" fillId="0" borderId="33" xfId="0" applyFont="1" applyBorder="1" applyAlignment="1">
      <alignment horizontal="center" vertical="center"/>
    </xf>
    <xf numFmtId="0" fontId="23" fillId="3" borderId="9" xfId="0" applyFont="1" applyFill="1" applyBorder="1" applyAlignment="1">
      <alignment vertical="center"/>
    </xf>
    <xf numFmtId="0" fontId="23" fillId="3" borderId="34" xfId="0" applyFont="1" applyFill="1" applyBorder="1" applyAlignment="1" applyProtection="1">
      <alignment horizontal="right" vertical="center"/>
      <protection locked="0"/>
    </xf>
    <xf numFmtId="0" fontId="2" fillId="0" borderId="8" xfId="0" applyFont="1" applyBorder="1" applyAlignment="1">
      <alignment vertical="center"/>
    </xf>
    <xf numFmtId="0" fontId="23" fillId="3" borderId="35" xfId="0" applyFont="1" applyFill="1" applyBorder="1" applyAlignment="1" applyProtection="1">
      <alignment horizontal="right" vertical="center"/>
      <protection locked="0"/>
    </xf>
    <xf numFmtId="0" fontId="23" fillId="0" borderId="9" xfId="0" applyFont="1" applyBorder="1" applyAlignment="1">
      <alignment horizontal="center" vertical="center"/>
    </xf>
    <xf numFmtId="0" fontId="23" fillId="0" borderId="36" xfId="0" applyFont="1" applyBorder="1" applyAlignment="1">
      <alignment horizontal="center" vertical="center"/>
    </xf>
    <xf numFmtId="0" fontId="23" fillId="3" borderId="36" xfId="0" applyFont="1" applyFill="1" applyBorder="1" applyAlignment="1">
      <alignment vertical="center"/>
    </xf>
    <xf numFmtId="0" fontId="2" fillId="0" borderId="37" xfId="0" applyFont="1" applyBorder="1" applyAlignment="1">
      <alignment vertical="center"/>
    </xf>
    <xf numFmtId="0" fontId="23" fillId="3" borderId="29" xfId="0" applyFont="1" applyFill="1" applyBorder="1" applyAlignment="1">
      <alignment vertical="center"/>
    </xf>
    <xf numFmtId="0" fontId="22" fillId="0" borderId="28" xfId="0" applyFont="1" applyFill="1" applyBorder="1" applyAlignment="1">
      <alignment vertical="center"/>
    </xf>
    <xf numFmtId="0" fontId="22" fillId="0" borderId="0" xfId="0" applyFont="1" applyFill="1" applyBorder="1" applyAlignment="1">
      <alignment vertical="center"/>
    </xf>
    <xf numFmtId="0" fontId="23" fillId="0" borderId="11" xfId="0" applyFont="1" applyBorder="1" applyAlignment="1">
      <alignment vertical="center"/>
    </xf>
    <xf numFmtId="0" fontId="2" fillId="0" borderId="28" xfId="0" applyFont="1" applyFill="1" applyBorder="1" applyAlignment="1">
      <alignment vertical="center"/>
    </xf>
    <xf numFmtId="0" fontId="23" fillId="0" borderId="11" xfId="0" applyFont="1" applyBorder="1" applyAlignment="1">
      <alignment horizontal="center"/>
    </xf>
    <xf numFmtId="0" fontId="2" fillId="0" borderId="39" xfId="0" applyFont="1" applyBorder="1" applyAlignment="1">
      <alignment vertical="center"/>
    </xf>
    <xf numFmtId="0" fontId="2" fillId="0" borderId="39" xfId="0" applyFont="1" applyFill="1" applyBorder="1" applyAlignment="1">
      <alignment vertical="center"/>
    </xf>
    <xf numFmtId="0" fontId="23" fillId="0" borderId="0" xfId="0" applyFont="1" applyFill="1" applyBorder="1"/>
    <xf numFmtId="0" fontId="23" fillId="0" borderId="20" xfId="0" applyFont="1" applyFill="1" applyBorder="1" applyAlignment="1">
      <alignment vertical="center"/>
    </xf>
    <xf numFmtId="0" fontId="2" fillId="0" borderId="20" xfId="0" applyFont="1" applyFill="1" applyBorder="1" applyAlignment="1">
      <alignment vertical="center"/>
    </xf>
    <xf numFmtId="0" fontId="23" fillId="0" borderId="0" xfId="0" applyFont="1" applyBorder="1" applyAlignment="1">
      <alignment horizontal="center"/>
    </xf>
    <xf numFmtId="0" fontId="35" fillId="3" borderId="34" xfId="0" applyFont="1" applyFill="1" applyBorder="1" applyAlignment="1" applyProtection="1">
      <alignment horizontal="right" vertical="center"/>
    </xf>
    <xf numFmtId="0" fontId="35" fillId="3" borderId="35" xfId="0" applyFont="1" applyFill="1" applyBorder="1" applyAlignment="1" applyProtection="1">
      <alignment horizontal="right" vertical="center"/>
    </xf>
    <xf numFmtId="0" fontId="23" fillId="3" borderId="40" xfId="0" applyFont="1" applyFill="1" applyBorder="1" applyAlignment="1" applyProtection="1">
      <alignment horizontal="right" vertical="center"/>
    </xf>
    <xf numFmtId="0" fontId="23" fillId="3" borderId="20" xfId="0" applyFont="1" applyFill="1" applyBorder="1" applyAlignment="1" applyProtection="1">
      <alignment horizontal="center" vertical="center" textRotation="90" wrapText="1"/>
    </xf>
    <xf numFmtId="0" fontId="23" fillId="3" borderId="0" xfId="0" applyFont="1" applyFill="1" applyBorder="1" applyAlignment="1" applyProtection="1">
      <alignment horizontal="center" vertical="center" textRotation="90" wrapText="1"/>
    </xf>
    <xf numFmtId="0" fontId="32" fillId="3" borderId="0" xfId="0" applyFont="1" applyFill="1" applyBorder="1" applyAlignment="1" applyProtection="1">
      <alignment horizontal="left"/>
    </xf>
    <xf numFmtId="0" fontId="1" fillId="3" borderId="0" xfId="0" applyFont="1" applyFill="1" applyBorder="1" applyAlignment="1" applyProtection="1">
      <alignment horizontal="center"/>
    </xf>
    <xf numFmtId="3" fontId="7" fillId="3" borderId="26" xfId="0" applyNumberFormat="1" applyFont="1" applyFill="1" applyBorder="1" applyAlignment="1" applyProtection="1"/>
    <xf numFmtId="0" fontId="0" fillId="0" borderId="0" xfId="0" applyAlignment="1"/>
    <xf numFmtId="0" fontId="23" fillId="0" borderId="41" xfId="0" applyFont="1" applyFill="1" applyBorder="1" applyAlignment="1" applyProtection="1">
      <alignment horizontal="right" vertical="center"/>
      <protection locked="0"/>
    </xf>
    <xf numFmtId="0" fontId="1" fillId="0" borderId="0" xfId="0" applyFont="1"/>
    <xf numFmtId="0" fontId="23" fillId="0" borderId="44" xfId="0" applyFont="1" applyFill="1" applyBorder="1" applyAlignment="1" applyProtection="1">
      <alignment horizontal="right" vertical="center"/>
      <protection locked="0"/>
    </xf>
    <xf numFmtId="0" fontId="23" fillId="3" borderId="46" xfId="0" applyFont="1" applyFill="1" applyBorder="1" applyAlignment="1" applyProtection="1">
      <alignment horizontal="right" vertical="center"/>
      <protection locked="0"/>
    </xf>
    <xf numFmtId="0" fontId="17" fillId="3" borderId="35" xfId="0" applyFont="1" applyFill="1" applyBorder="1" applyAlignment="1" applyProtection="1">
      <alignment horizontal="right" vertical="center"/>
      <protection locked="0"/>
    </xf>
    <xf numFmtId="0" fontId="23" fillId="0" borderId="47" xfId="0" applyFont="1" applyFill="1" applyBorder="1" applyAlignment="1" applyProtection="1">
      <alignment horizontal="right" vertical="center"/>
      <protection locked="0"/>
    </xf>
    <xf numFmtId="0" fontId="2" fillId="0" borderId="50" xfId="0" applyFont="1" applyBorder="1" applyAlignment="1">
      <alignment horizontal="center" vertical="center"/>
    </xf>
    <xf numFmtId="0" fontId="23" fillId="3" borderId="42" xfId="0" applyFont="1" applyFill="1" applyBorder="1" applyAlignment="1">
      <alignment vertical="top"/>
    </xf>
    <xf numFmtId="0" fontId="23" fillId="3" borderId="51" xfId="0" applyFont="1" applyFill="1" applyBorder="1" applyAlignment="1">
      <alignment vertical="top"/>
    </xf>
    <xf numFmtId="0" fontId="2" fillId="0" borderId="12" xfId="0" applyFont="1" applyBorder="1" applyAlignment="1">
      <alignment vertical="center"/>
    </xf>
    <xf numFmtId="0" fontId="23" fillId="0" borderId="12" xfId="0" applyFont="1" applyBorder="1" applyAlignment="1">
      <alignment vertical="center"/>
    </xf>
    <xf numFmtId="0" fontId="23" fillId="0" borderId="52" xfId="0" applyFont="1" applyBorder="1" applyAlignment="1">
      <alignment vertical="center"/>
    </xf>
    <xf numFmtId="0" fontId="2" fillId="0" borderId="13" xfId="0" applyFont="1" applyBorder="1" applyAlignment="1">
      <alignment vertical="center"/>
    </xf>
    <xf numFmtId="0" fontId="2" fillId="0" borderId="13" xfId="0" applyFont="1" applyFill="1" applyBorder="1" applyAlignment="1">
      <alignment vertical="center"/>
    </xf>
    <xf numFmtId="0" fontId="23" fillId="0" borderId="12" xfId="0" applyFont="1" applyBorder="1"/>
    <xf numFmtId="0" fontId="23" fillId="0" borderId="12" xfId="0" applyFont="1" applyFill="1" applyBorder="1"/>
    <xf numFmtId="0" fontId="23" fillId="0" borderId="52" xfId="0" applyFont="1" applyBorder="1"/>
    <xf numFmtId="0" fontId="23" fillId="3" borderId="53" xfId="0" applyFont="1" applyFill="1" applyBorder="1" applyAlignment="1">
      <alignment vertical="center"/>
    </xf>
    <xf numFmtId="0" fontId="23" fillId="3" borderId="51" xfId="0" applyFont="1" applyFill="1" applyBorder="1" applyAlignment="1">
      <alignment vertical="center"/>
    </xf>
    <xf numFmtId="0" fontId="23" fillId="0" borderId="12" xfId="0" applyFont="1" applyFill="1" applyBorder="1" applyAlignment="1">
      <alignment vertical="center"/>
    </xf>
    <xf numFmtId="0" fontId="23" fillId="0" borderId="49" xfId="0" applyFont="1" applyBorder="1" applyAlignment="1">
      <alignment vertical="center"/>
    </xf>
    <xf numFmtId="0" fontId="2" fillId="0" borderId="49" xfId="0" applyFont="1" applyFill="1" applyBorder="1" applyAlignment="1">
      <alignment vertical="center"/>
    </xf>
    <xf numFmtId="0" fontId="23" fillId="0" borderId="54" xfId="0" applyFont="1" applyBorder="1" applyAlignment="1">
      <alignment vertical="center"/>
    </xf>
    <xf numFmtId="0" fontId="31" fillId="0" borderId="0" xfId="0" applyFont="1" applyBorder="1" applyAlignment="1" applyProtection="1"/>
    <xf numFmtId="0" fontId="7" fillId="3" borderId="26" xfId="0" applyFont="1" applyFill="1" applyBorder="1" applyAlignment="1" applyProtection="1"/>
    <xf numFmtId="165" fontId="19" fillId="3" borderId="0" xfId="0" applyNumberFormat="1" applyFont="1" applyFill="1" applyAlignment="1" applyProtection="1"/>
    <xf numFmtId="49" fontId="1" fillId="0" borderId="0" xfId="0" applyNumberFormat="1" applyFont="1" applyFill="1" applyBorder="1"/>
    <xf numFmtId="0" fontId="7" fillId="3" borderId="55" xfId="0" applyFont="1" applyFill="1" applyBorder="1" applyAlignment="1" applyProtection="1"/>
    <xf numFmtId="166" fontId="30" fillId="4" borderId="0" xfId="0" applyNumberFormat="1" applyFont="1" applyFill="1" applyBorder="1" applyAlignment="1" applyProtection="1">
      <alignment horizontal="center"/>
    </xf>
    <xf numFmtId="166" fontId="30" fillId="3" borderId="0" xfId="0" applyNumberFormat="1" applyFont="1" applyFill="1" applyBorder="1" applyAlignment="1" applyProtection="1">
      <alignment horizontal="center"/>
    </xf>
    <xf numFmtId="3" fontId="39" fillId="0" borderId="0" xfId="4" applyNumberFormat="1" applyFont="1" applyFill="1" applyBorder="1" applyAlignment="1">
      <alignment horizontal="left"/>
    </xf>
    <xf numFmtId="0" fontId="1" fillId="0" borderId="0" xfId="0" applyFont="1" applyBorder="1"/>
    <xf numFmtId="0" fontId="7" fillId="0" borderId="56" xfId="0" applyFont="1" applyBorder="1" applyAlignment="1" applyProtection="1"/>
    <xf numFmtId="0" fontId="13" fillId="0" borderId="56" xfId="0" applyFont="1" applyBorder="1" applyAlignment="1" applyProtection="1"/>
    <xf numFmtId="0" fontId="7" fillId="3" borderId="57" xfId="0" applyFont="1" applyFill="1" applyBorder="1" applyAlignment="1" applyProtection="1"/>
    <xf numFmtId="49" fontId="7" fillId="3" borderId="56" xfId="0" applyNumberFormat="1" applyFont="1" applyFill="1" applyBorder="1" applyAlignment="1" applyProtection="1">
      <alignment horizontal="center"/>
    </xf>
    <xf numFmtId="165" fontId="19" fillId="3" borderId="56" xfId="0" applyNumberFormat="1" applyFont="1" applyFill="1" applyBorder="1" applyAlignment="1" applyProtection="1"/>
    <xf numFmtId="166" fontId="30" fillId="3" borderId="56" xfId="0" applyNumberFormat="1" applyFont="1" applyFill="1" applyBorder="1" applyAlignment="1" applyProtection="1">
      <alignment horizontal="center"/>
    </xf>
    <xf numFmtId="0" fontId="7" fillId="3" borderId="56" xfId="0" applyFont="1" applyFill="1" applyBorder="1" applyAlignment="1" applyProtection="1"/>
    <xf numFmtId="0" fontId="13" fillId="0" borderId="0" xfId="0" applyFont="1"/>
    <xf numFmtId="0" fontId="7" fillId="3" borderId="0" xfId="0" applyFont="1" applyFill="1" applyBorder="1" applyAlignment="1" applyProtection="1">
      <alignment horizontal="left"/>
    </xf>
    <xf numFmtId="0" fontId="5" fillId="3" borderId="0" xfId="0" applyFont="1" applyFill="1" applyBorder="1" applyAlignment="1" applyProtection="1">
      <alignment horizontal="center"/>
    </xf>
    <xf numFmtId="3" fontId="19" fillId="0" borderId="25" xfId="0" applyNumberFormat="1" applyFont="1" applyBorder="1" applyAlignment="1" applyProtection="1"/>
    <xf numFmtId="49" fontId="5" fillId="0" borderId="0" xfId="0" applyNumberFormat="1" applyFont="1" applyFill="1" applyBorder="1"/>
    <xf numFmtId="0" fontId="13" fillId="0" borderId="56" xfId="0" applyFont="1" applyBorder="1"/>
    <xf numFmtId="0" fontId="7" fillId="3" borderId="56" xfId="0" applyFont="1" applyFill="1" applyBorder="1" applyAlignment="1" applyProtection="1">
      <alignment horizontal="left"/>
    </xf>
    <xf numFmtId="0" fontId="5" fillId="3" borderId="56" xfId="0" applyFont="1" applyFill="1" applyBorder="1" applyAlignment="1" applyProtection="1">
      <alignment horizontal="center"/>
    </xf>
    <xf numFmtId="3" fontId="19" fillId="0" borderId="57" xfId="0" applyNumberFormat="1" applyFont="1" applyBorder="1" applyAlignment="1" applyProtection="1"/>
    <xf numFmtId="3" fontId="7" fillId="3" borderId="25" xfId="0" applyNumberFormat="1" applyFont="1" applyFill="1" applyBorder="1" applyAlignment="1" applyProtection="1"/>
    <xf numFmtId="0" fontId="23" fillId="0" borderId="58" xfId="0" applyFont="1" applyBorder="1" applyAlignment="1">
      <alignment horizontal="center" vertical="center" textRotation="90" wrapText="1"/>
    </xf>
    <xf numFmtId="0" fontId="23" fillId="3" borderId="59" xfId="0" applyFont="1" applyFill="1" applyBorder="1" applyAlignment="1">
      <alignment horizontal="center" vertical="center" textRotation="90" wrapText="1"/>
    </xf>
    <xf numFmtId="0" fontId="23" fillId="0" borderId="60" xfId="0" applyFont="1" applyBorder="1" applyAlignment="1">
      <alignment horizontal="center" vertical="center" textRotation="90" wrapText="1"/>
    </xf>
    <xf numFmtId="0" fontId="23" fillId="0" borderId="61" xfId="0" applyFont="1" applyBorder="1" applyAlignment="1">
      <alignment horizontal="center" vertical="center" textRotation="90" wrapText="1"/>
    </xf>
    <xf numFmtId="0" fontId="23" fillId="0" borderId="62" xfId="0" applyFont="1" applyBorder="1" applyAlignment="1">
      <alignment horizontal="center" vertical="center" textRotation="90" wrapText="1"/>
    </xf>
    <xf numFmtId="0" fontId="23" fillId="0" borderId="63" xfId="0" applyFont="1" applyFill="1" applyBorder="1" applyAlignment="1">
      <alignment horizontal="center" vertical="center" textRotation="90" wrapText="1"/>
    </xf>
    <xf numFmtId="0" fontId="23" fillId="0" borderId="64" xfId="0" applyFont="1" applyFill="1" applyBorder="1" applyAlignment="1">
      <alignment horizontal="center" vertical="center" textRotation="90" wrapText="1"/>
    </xf>
    <xf numFmtId="0" fontId="7" fillId="3" borderId="65" xfId="0" applyFont="1" applyFill="1" applyBorder="1" applyProtection="1"/>
    <xf numFmtId="0" fontId="5" fillId="3" borderId="65" xfId="0" applyFont="1" applyFill="1" applyBorder="1" applyAlignment="1" applyProtection="1">
      <alignment horizontal="right"/>
    </xf>
    <xf numFmtId="0" fontId="4" fillId="3" borderId="65" xfId="0" applyFont="1" applyFill="1" applyBorder="1" applyAlignment="1" applyProtection="1"/>
    <xf numFmtId="0" fontId="19" fillId="3" borderId="65" xfId="0" applyFont="1" applyFill="1" applyBorder="1" applyAlignment="1" applyProtection="1">
      <alignment horizontal="right"/>
    </xf>
    <xf numFmtId="0" fontId="38" fillId="3" borderId="65" xfId="0" applyFont="1" applyFill="1" applyBorder="1" applyAlignment="1" applyProtection="1">
      <alignment horizontal="right"/>
    </xf>
    <xf numFmtId="0" fontId="23" fillId="3" borderId="34" xfId="0" applyFont="1" applyFill="1" applyBorder="1" applyAlignment="1" applyProtection="1">
      <alignment horizontal="right" vertical="center"/>
    </xf>
    <xf numFmtId="0" fontId="23" fillId="3" borderId="35" xfId="0" applyFont="1" applyFill="1" applyBorder="1" applyAlignment="1" applyProtection="1">
      <alignment horizontal="right" vertical="center"/>
    </xf>
    <xf numFmtId="0" fontId="23" fillId="0" borderId="0" xfId="0" applyFont="1" applyBorder="1" applyAlignment="1">
      <alignment horizontal="right"/>
    </xf>
    <xf numFmtId="0" fontId="23" fillId="0" borderId="0" xfId="0" applyFont="1" applyFill="1" applyBorder="1" applyAlignment="1">
      <alignment horizontal="right"/>
    </xf>
    <xf numFmtId="0" fontId="27" fillId="0" borderId="0" xfId="0" applyFont="1" applyFill="1" applyBorder="1" applyAlignment="1">
      <alignment horizontal="right"/>
    </xf>
    <xf numFmtId="0" fontId="4" fillId="0" borderId="0" xfId="0" applyFont="1"/>
    <xf numFmtId="0" fontId="14" fillId="0" borderId="0" xfId="0" applyFont="1" applyAlignment="1">
      <alignment wrapText="1"/>
    </xf>
    <xf numFmtId="49" fontId="13" fillId="0" borderId="0" xfId="0" applyNumberFormat="1" applyFont="1" applyAlignment="1">
      <alignment vertical="center" wrapText="1"/>
    </xf>
    <xf numFmtId="49" fontId="2" fillId="3" borderId="0" xfId="0" applyNumberFormat="1" applyFont="1" applyFill="1" applyAlignment="1">
      <alignment horizontal="justify" vertical="center" wrapText="1"/>
    </xf>
    <xf numFmtId="49" fontId="41" fillId="0" borderId="0" xfId="0" applyNumberFormat="1" applyFont="1" applyAlignment="1" applyProtection="1">
      <alignment horizontal="right" wrapText="1"/>
    </xf>
    <xf numFmtId="0" fontId="3" fillId="0" borderId="0" xfId="2" applyAlignment="1" applyProtection="1">
      <alignment horizontal="center"/>
    </xf>
    <xf numFmtId="49" fontId="4" fillId="0" borderId="0" xfId="0" applyNumberFormat="1" applyFont="1" applyFill="1" applyAlignment="1" applyProtection="1"/>
    <xf numFmtId="0" fontId="3" fillId="0" borderId="0" xfId="2" applyAlignment="1" applyProtection="1">
      <alignment horizontal="center" wrapText="1"/>
    </xf>
    <xf numFmtId="49" fontId="42" fillId="0" borderId="0" xfId="0" applyNumberFormat="1" applyFont="1" applyAlignment="1">
      <alignment horizontal="left" vertical="center" wrapText="1"/>
    </xf>
    <xf numFmtId="0" fontId="21" fillId="4" borderId="0" xfId="0" applyFont="1" applyFill="1" applyBorder="1" applyAlignment="1" applyProtection="1">
      <alignment horizontal="left" vertical="top"/>
    </xf>
    <xf numFmtId="0" fontId="44" fillId="0" borderId="0" xfId="0" applyFont="1" applyFill="1" applyBorder="1" applyAlignment="1">
      <alignment vertical="center"/>
    </xf>
    <xf numFmtId="49" fontId="5" fillId="0" borderId="0" xfId="0" applyNumberFormat="1" applyFont="1" applyAlignment="1" applyProtection="1">
      <alignment horizontal="left" indent="3"/>
    </xf>
    <xf numFmtId="0" fontId="0" fillId="0" borderId="0" xfId="0" applyProtection="1">
      <protection locked="0"/>
    </xf>
    <xf numFmtId="0" fontId="0" fillId="0" borderId="0" xfId="0" applyAlignment="1">
      <alignment wrapText="1"/>
    </xf>
    <xf numFmtId="0" fontId="0" fillId="0" borderId="0" xfId="0" applyAlignment="1">
      <alignment horizontal="center"/>
    </xf>
    <xf numFmtId="0" fontId="22" fillId="0" borderId="0" xfId="0" applyFont="1" applyAlignment="1"/>
    <xf numFmtId="0" fontId="4" fillId="0" borderId="0" xfId="0" quotePrefix="1" applyFont="1" applyFill="1" applyAlignment="1"/>
    <xf numFmtId="0" fontId="4" fillId="0" borderId="0" xfId="0" applyNumberFormat="1" applyFont="1" applyFill="1" applyAlignment="1"/>
    <xf numFmtId="0" fontId="4" fillId="0" borderId="0" xfId="0" applyFont="1" applyFill="1" applyAlignment="1"/>
    <xf numFmtId="0" fontId="5" fillId="0" borderId="0" xfId="0" applyFont="1" applyAlignment="1"/>
    <xf numFmtId="3" fontId="5" fillId="0" borderId="0" xfId="0" applyNumberFormat="1" applyFont="1" applyAlignment="1" applyProtection="1">
      <alignment wrapText="1"/>
    </xf>
    <xf numFmtId="0" fontId="40" fillId="5" borderId="0" xfId="0" applyNumberFormat="1" applyFont="1" applyFill="1" applyBorder="1" applyAlignment="1" applyProtection="1">
      <alignment horizontal="center" wrapText="1"/>
    </xf>
    <xf numFmtId="49" fontId="40" fillId="0" borderId="0" xfId="0" applyNumberFormat="1" applyFont="1" applyAlignment="1" applyProtection="1">
      <alignment wrapText="1"/>
    </xf>
    <xf numFmtId="0" fontId="5" fillId="5" borderId="0" xfId="0" applyNumberFormat="1" applyFont="1" applyFill="1" applyBorder="1" applyAlignment="1" applyProtection="1">
      <alignment wrapText="1"/>
    </xf>
    <xf numFmtId="49" fontId="5" fillId="5" borderId="0" xfId="0" applyNumberFormat="1" applyFont="1" applyFill="1" applyBorder="1" applyAlignment="1" applyProtection="1">
      <alignment wrapText="1"/>
    </xf>
    <xf numFmtId="49" fontId="40" fillId="5" borderId="0" xfId="0" applyNumberFormat="1" applyFont="1" applyFill="1" applyBorder="1" applyAlignment="1" applyProtection="1">
      <alignment wrapText="1"/>
    </xf>
    <xf numFmtId="49" fontId="5" fillId="5" borderId="0" xfId="0" applyNumberFormat="1" applyFont="1" applyFill="1" applyBorder="1" applyAlignment="1" applyProtection="1">
      <alignment horizontal="center" wrapText="1"/>
    </xf>
    <xf numFmtId="0" fontId="40" fillId="5" borderId="0" xfId="0" applyNumberFormat="1" applyFont="1" applyFill="1" applyBorder="1" applyAlignment="1" applyProtection="1">
      <alignment horizontal="right" wrapText="1"/>
    </xf>
    <xf numFmtId="0" fontId="5" fillId="5" borderId="0" xfId="0" applyNumberFormat="1" applyFont="1" applyFill="1" applyBorder="1" applyAlignment="1" applyProtection="1">
      <alignment horizontal="center" wrapText="1"/>
    </xf>
    <xf numFmtId="49" fontId="13" fillId="0" borderId="0" xfId="0" applyNumberFormat="1" applyFont="1" applyBorder="1" applyAlignment="1" applyProtection="1"/>
    <xf numFmtId="49" fontId="5" fillId="0" borderId="0" xfId="0" applyNumberFormat="1" applyFont="1" applyBorder="1" applyAlignment="1" applyProtection="1">
      <alignment wrapText="1"/>
    </xf>
    <xf numFmtId="49" fontId="4" fillId="3" borderId="16" xfId="0" applyNumberFormat="1" applyFont="1" applyFill="1" applyBorder="1" applyAlignment="1" applyProtection="1">
      <alignment wrapText="1"/>
    </xf>
    <xf numFmtId="1" fontId="5" fillId="5" borderId="16" xfId="0" applyNumberFormat="1" applyFont="1" applyFill="1" applyBorder="1" applyAlignment="1" applyProtection="1">
      <alignment horizontal="left" wrapText="1"/>
    </xf>
    <xf numFmtId="0" fontId="5" fillId="5" borderId="16" xfId="0" applyNumberFormat="1" applyFont="1" applyFill="1" applyBorder="1" applyAlignment="1" applyProtection="1">
      <alignment horizontal="left" wrapText="1"/>
    </xf>
    <xf numFmtId="3" fontId="4" fillId="5" borderId="16" xfId="0" applyNumberFormat="1" applyFont="1" applyFill="1" applyBorder="1" applyAlignment="1" applyProtection="1">
      <alignment wrapText="1"/>
    </xf>
    <xf numFmtId="0" fontId="5" fillId="0" borderId="0" xfId="0" applyNumberFormat="1" applyFont="1" applyAlignment="1"/>
    <xf numFmtId="49" fontId="13" fillId="0" borderId="0" xfId="0" applyNumberFormat="1" applyFont="1" applyAlignment="1" applyProtection="1">
      <alignment wrapText="1"/>
    </xf>
    <xf numFmtId="0" fontId="5" fillId="0" borderId="0" xfId="0" applyFont="1" applyFill="1" applyAlignment="1"/>
    <xf numFmtId="0" fontId="5" fillId="0" borderId="0" xfId="0" applyNumberFormat="1" applyFont="1" applyFill="1" applyAlignment="1"/>
    <xf numFmtId="49" fontId="5" fillId="3" borderId="16" xfId="0" applyNumberFormat="1" applyFont="1" applyFill="1" applyBorder="1" applyAlignment="1" applyProtection="1">
      <alignment horizontal="left" wrapText="1"/>
    </xf>
    <xf numFmtId="3" fontId="5" fillId="5" borderId="66" xfId="0" applyNumberFormat="1" applyFont="1" applyFill="1" applyBorder="1" applyAlignment="1" applyProtection="1">
      <alignment wrapText="1"/>
    </xf>
    <xf numFmtId="49" fontId="5" fillId="0" borderId="0" xfId="0" applyNumberFormat="1" applyFont="1" applyFill="1" applyAlignment="1" applyProtection="1">
      <alignment wrapText="1"/>
    </xf>
    <xf numFmtId="3" fontId="5" fillId="5" borderId="67" xfId="0" applyNumberFormat="1" applyFont="1" applyFill="1" applyBorder="1" applyAlignment="1" applyProtection="1">
      <alignment wrapText="1"/>
    </xf>
    <xf numFmtId="0" fontId="5" fillId="3" borderId="16" xfId="0" applyNumberFormat="1" applyFont="1" applyFill="1" applyBorder="1" applyAlignment="1" applyProtection="1">
      <alignment horizontal="center" wrapText="1"/>
    </xf>
    <xf numFmtId="1" fontId="5" fillId="5" borderId="67" xfId="3" applyNumberFormat="1" applyFont="1" applyFill="1" applyBorder="1" applyAlignment="1" applyProtection="1">
      <alignment horizontal="right" wrapText="1"/>
    </xf>
    <xf numFmtId="49" fontId="5" fillId="3" borderId="16" xfId="0" applyNumberFormat="1" applyFont="1" applyFill="1" applyBorder="1" applyAlignment="1" applyProtection="1">
      <alignment horizontal="center" wrapText="1"/>
    </xf>
    <xf numFmtId="9" fontId="4" fillId="5" borderId="68" xfId="3" applyFont="1" applyFill="1" applyBorder="1" applyAlignment="1" applyProtection="1">
      <alignment horizontal="right" wrapText="1"/>
    </xf>
    <xf numFmtId="49" fontId="46" fillId="6" borderId="16" xfId="0" applyNumberFormat="1" applyFont="1" applyFill="1" applyBorder="1" applyAlignment="1" applyProtection="1">
      <alignment wrapText="1"/>
    </xf>
    <xf numFmtId="0" fontId="21" fillId="6" borderId="16" xfId="0" applyNumberFormat="1" applyFont="1" applyFill="1" applyBorder="1" applyAlignment="1" applyProtection="1">
      <alignment horizontal="right" wrapText="1"/>
    </xf>
    <xf numFmtId="0" fontId="5" fillId="0" borderId="0" xfId="0" applyNumberFormat="1" applyFont="1" applyAlignment="1" applyProtection="1"/>
    <xf numFmtId="49" fontId="13" fillId="0" borderId="24" xfId="0" applyNumberFormat="1" applyFont="1" applyBorder="1" applyAlignment="1" applyProtection="1">
      <alignment wrapText="1"/>
    </xf>
    <xf numFmtId="49" fontId="13" fillId="0" borderId="0" xfId="0" applyNumberFormat="1" applyFont="1" applyFill="1" applyBorder="1" applyAlignment="1" applyProtection="1">
      <alignment wrapText="1"/>
    </xf>
    <xf numFmtId="49" fontId="5" fillId="0" borderId="0" xfId="0" applyNumberFormat="1" applyFont="1" applyFill="1" applyBorder="1" applyAlignment="1" applyProtection="1">
      <alignment horizontal="left" wrapText="1"/>
    </xf>
    <xf numFmtId="49" fontId="5" fillId="0" borderId="0" xfId="0" applyNumberFormat="1" applyFont="1" applyFill="1" applyBorder="1" applyAlignment="1" applyProtection="1">
      <alignment wrapText="1"/>
    </xf>
    <xf numFmtId="49" fontId="5" fillId="0" borderId="0" xfId="0" applyNumberFormat="1" applyFont="1" applyFill="1" applyBorder="1" applyAlignment="1" applyProtection="1"/>
    <xf numFmtId="49" fontId="5" fillId="3" borderId="17" xfId="0" applyNumberFormat="1" applyFont="1" applyFill="1" applyBorder="1" applyAlignment="1" applyProtection="1">
      <alignment horizontal="center" wrapText="1"/>
    </xf>
    <xf numFmtId="49" fontId="5" fillId="3" borderId="34" xfId="0" applyNumberFormat="1" applyFont="1" applyFill="1" applyBorder="1" applyAlignment="1" applyProtection="1">
      <alignment horizontal="center" wrapText="1"/>
    </xf>
    <xf numFmtId="49" fontId="5" fillId="3" borderId="41" xfId="0" applyNumberFormat="1" applyFont="1" applyFill="1" applyBorder="1" applyAlignment="1" applyProtection="1">
      <alignment horizontal="center" wrapText="1"/>
    </xf>
    <xf numFmtId="49" fontId="5" fillId="0" borderId="0" xfId="0" applyNumberFormat="1" applyFont="1" applyFill="1" applyBorder="1" applyAlignment="1" applyProtection="1">
      <alignment horizontal="right" wrapText="1"/>
    </xf>
    <xf numFmtId="0" fontId="5" fillId="3" borderId="31" xfId="0" applyNumberFormat="1" applyFont="1" applyFill="1" applyBorder="1" applyAlignment="1" applyProtection="1">
      <alignment horizontal="center" wrapText="1"/>
    </xf>
    <xf numFmtId="3" fontId="4" fillId="5" borderId="69" xfId="0" applyNumberFormat="1" applyFont="1" applyFill="1" applyBorder="1" applyAlignment="1" applyProtection="1">
      <alignment wrapText="1"/>
    </xf>
    <xf numFmtId="0" fontId="5" fillId="0" borderId="0" xfId="0" applyNumberFormat="1" applyFont="1" applyFill="1" applyBorder="1" applyAlignment="1" applyProtection="1">
      <alignment wrapText="1"/>
    </xf>
    <xf numFmtId="1" fontId="4" fillId="0" borderId="0" xfId="0" applyNumberFormat="1" applyFont="1" applyFill="1" applyBorder="1" applyAlignment="1" applyProtection="1">
      <alignment wrapText="1"/>
    </xf>
    <xf numFmtId="1" fontId="5" fillId="0" borderId="0" xfId="0" applyNumberFormat="1" applyFont="1" applyFill="1" applyBorder="1" applyAlignment="1" applyProtection="1">
      <alignment wrapText="1"/>
    </xf>
    <xf numFmtId="1" fontId="14" fillId="0" borderId="0" xfId="0" applyNumberFormat="1" applyFont="1" applyFill="1" applyBorder="1" applyAlignment="1" applyProtection="1">
      <alignment wrapText="1"/>
    </xf>
    <xf numFmtId="3" fontId="4" fillId="5" borderId="70" xfId="0" applyNumberFormat="1" applyFont="1" applyFill="1" applyBorder="1" applyAlignment="1" applyProtection="1">
      <alignment wrapText="1"/>
    </xf>
    <xf numFmtId="10" fontId="5" fillId="0" borderId="0" xfId="3" applyNumberFormat="1" applyFont="1" applyFill="1" applyBorder="1" applyAlignment="1" applyProtection="1">
      <alignment wrapText="1"/>
    </xf>
    <xf numFmtId="0" fontId="4" fillId="0" borderId="0" xfId="0" applyNumberFormat="1" applyFont="1" applyFill="1" applyBorder="1" applyAlignment="1" applyProtection="1">
      <alignment horizontal="right"/>
    </xf>
    <xf numFmtId="0" fontId="5" fillId="0" borderId="0" xfId="0" applyNumberFormat="1" applyFont="1" applyBorder="1" applyAlignment="1" applyProtection="1">
      <alignment wrapText="1"/>
    </xf>
    <xf numFmtId="0" fontId="5" fillId="3" borderId="64" xfId="0" applyNumberFormat="1" applyFont="1" applyFill="1" applyBorder="1" applyAlignment="1" applyProtection="1">
      <alignment horizontal="center" wrapText="1"/>
    </xf>
    <xf numFmtId="3" fontId="5" fillId="5" borderId="71" xfId="0" applyNumberFormat="1" applyFont="1" applyFill="1" applyBorder="1" applyAlignment="1" applyProtection="1">
      <alignment wrapText="1"/>
    </xf>
    <xf numFmtId="3" fontId="4" fillId="5" borderId="72" xfId="0" applyNumberFormat="1" applyFont="1" applyFill="1" applyBorder="1" applyAlignment="1" applyProtection="1">
      <alignment wrapText="1"/>
    </xf>
    <xf numFmtId="49" fontId="14" fillId="3" borderId="31" xfId="0" applyNumberFormat="1" applyFont="1" applyFill="1" applyBorder="1" applyAlignment="1" applyProtection="1">
      <alignment horizontal="center" wrapText="1"/>
    </xf>
    <xf numFmtId="49" fontId="14" fillId="5" borderId="22" xfId="0" applyNumberFormat="1" applyFont="1" applyFill="1" applyBorder="1" applyAlignment="1" applyProtection="1">
      <alignment wrapText="1"/>
    </xf>
    <xf numFmtId="0" fontId="13" fillId="5" borderId="73" xfId="0" applyNumberFormat="1" applyFont="1" applyFill="1" applyBorder="1" applyAlignment="1" applyProtection="1">
      <alignment wrapText="1"/>
    </xf>
    <xf numFmtId="0" fontId="14" fillId="0" borderId="0" xfId="0" applyNumberFormat="1" applyFont="1" applyFill="1" applyBorder="1" applyAlignment="1" applyProtection="1">
      <alignment wrapText="1"/>
    </xf>
    <xf numFmtId="49" fontId="14" fillId="0" borderId="0" xfId="0" applyNumberFormat="1" applyFont="1" applyFill="1" applyBorder="1" applyAlignment="1" applyProtection="1">
      <alignment wrapText="1"/>
    </xf>
    <xf numFmtId="1" fontId="13" fillId="0" borderId="0" xfId="0" applyNumberFormat="1" applyFont="1" applyFill="1" applyBorder="1" applyAlignment="1" applyProtection="1">
      <alignment wrapText="1"/>
    </xf>
    <xf numFmtId="49" fontId="5" fillId="3" borderId="31" xfId="0" applyNumberFormat="1" applyFont="1" applyFill="1" applyBorder="1" applyAlignment="1" applyProtection="1">
      <alignment horizontal="center" wrapText="1"/>
    </xf>
    <xf numFmtId="0" fontId="5" fillId="5" borderId="67" xfId="0" applyNumberFormat="1" applyFont="1" applyFill="1" applyBorder="1" applyAlignment="1" applyProtection="1">
      <alignment wrapText="1"/>
    </xf>
    <xf numFmtId="49" fontId="5" fillId="5" borderId="22" xfId="0" applyNumberFormat="1" applyFont="1" applyFill="1" applyBorder="1" applyAlignment="1" applyProtection="1">
      <alignment wrapText="1"/>
    </xf>
    <xf numFmtId="49" fontId="4" fillId="0" borderId="0" xfId="0" applyNumberFormat="1" applyFont="1" applyFill="1" applyBorder="1" applyAlignment="1" applyProtection="1">
      <alignment wrapText="1"/>
    </xf>
    <xf numFmtId="0" fontId="5" fillId="5" borderId="22" xfId="0" applyNumberFormat="1" applyFont="1" applyFill="1" applyBorder="1" applyAlignment="1" applyProtection="1">
      <alignment wrapText="1"/>
    </xf>
    <xf numFmtId="1" fontId="4" fillId="0" borderId="0" xfId="0" applyNumberFormat="1" applyFont="1" applyFill="1" applyBorder="1" applyAlignment="1" applyProtection="1">
      <alignment horizontal="left" wrapText="1"/>
    </xf>
    <xf numFmtId="10" fontId="4" fillId="5" borderId="74" xfId="3" applyNumberFormat="1" applyFont="1" applyFill="1" applyBorder="1" applyAlignment="1" applyProtection="1">
      <alignment wrapText="1"/>
    </xf>
    <xf numFmtId="10" fontId="4" fillId="0" borderId="0" xfId="3" applyNumberFormat="1" applyFont="1" applyFill="1" applyBorder="1" applyAlignment="1" applyProtection="1">
      <alignment horizontal="right" wrapText="1"/>
    </xf>
    <xf numFmtId="49" fontId="21" fillId="6" borderId="23" xfId="0" applyNumberFormat="1" applyFont="1" applyFill="1" applyBorder="1" applyAlignment="1" applyProtection="1">
      <alignment horizontal="center" wrapText="1"/>
    </xf>
    <xf numFmtId="0" fontId="21" fillId="6" borderId="16" xfId="0" applyNumberFormat="1" applyFont="1" applyFill="1" applyBorder="1" applyAlignment="1" applyProtection="1">
      <alignment horizontal="right"/>
    </xf>
    <xf numFmtId="49" fontId="46" fillId="6" borderId="38" xfId="0" applyNumberFormat="1" applyFont="1" applyFill="1" applyBorder="1" applyAlignment="1" applyProtection="1">
      <alignment wrapText="1"/>
    </xf>
    <xf numFmtId="0" fontId="4" fillId="0" borderId="0" xfId="0" applyNumberFormat="1" applyFont="1" applyFill="1" applyBorder="1" applyAlignment="1" applyProtection="1">
      <alignment horizontal="right" wrapText="1"/>
    </xf>
    <xf numFmtId="49" fontId="13" fillId="0" borderId="24" xfId="0" applyNumberFormat="1" applyFont="1" applyFill="1" applyBorder="1" applyAlignment="1" applyProtection="1">
      <alignment wrapText="1"/>
    </xf>
    <xf numFmtId="49" fontId="13" fillId="0" borderId="20" xfId="0" applyNumberFormat="1" applyFont="1" applyFill="1" applyBorder="1" applyAlignment="1" applyProtection="1">
      <alignment wrapText="1"/>
    </xf>
    <xf numFmtId="49" fontId="12" fillId="0" borderId="0" xfId="0" applyNumberFormat="1" applyFont="1" applyFill="1" applyAlignment="1" applyProtection="1">
      <alignment horizontal="left" wrapText="1"/>
    </xf>
    <xf numFmtId="49" fontId="46" fillId="0" borderId="0" xfId="0" applyNumberFormat="1" applyFont="1" applyFill="1" applyAlignment="1" applyProtection="1">
      <alignment horizontal="left" wrapText="1"/>
    </xf>
    <xf numFmtId="49" fontId="5" fillId="0" borderId="0" xfId="0" applyNumberFormat="1" applyFont="1" applyFill="1" applyAlignment="1" applyProtection="1"/>
    <xf numFmtId="3" fontId="4" fillId="5" borderId="66" xfId="0" applyNumberFormat="1" applyFont="1" applyFill="1" applyBorder="1" applyAlignment="1" applyProtection="1">
      <alignment wrapText="1"/>
    </xf>
    <xf numFmtId="3" fontId="14" fillId="5" borderId="66" xfId="0" applyNumberFormat="1" applyFont="1" applyFill="1" applyBorder="1" applyAlignment="1" applyProtection="1">
      <alignment wrapText="1"/>
    </xf>
    <xf numFmtId="3" fontId="4" fillId="5" borderId="67" xfId="0" applyNumberFormat="1" applyFont="1" applyFill="1" applyBorder="1" applyAlignment="1" applyProtection="1">
      <alignment wrapText="1"/>
    </xf>
    <xf numFmtId="3" fontId="14" fillId="5" borderId="67" xfId="0" applyNumberFormat="1" applyFont="1" applyFill="1" applyBorder="1" applyAlignment="1" applyProtection="1">
      <alignment wrapText="1"/>
    </xf>
    <xf numFmtId="3" fontId="4" fillId="5" borderId="71" xfId="0" applyNumberFormat="1" applyFont="1" applyFill="1" applyBorder="1" applyAlignment="1" applyProtection="1">
      <alignment wrapText="1"/>
    </xf>
    <xf numFmtId="3" fontId="14" fillId="5" borderId="71" xfId="0" applyNumberFormat="1" applyFont="1" applyFill="1" applyBorder="1" applyAlignment="1" applyProtection="1">
      <alignment wrapText="1"/>
    </xf>
    <xf numFmtId="3" fontId="14" fillId="5" borderId="73" xfId="0" applyNumberFormat="1" applyFont="1" applyFill="1" applyBorder="1" applyAlignment="1" applyProtection="1">
      <alignment wrapText="1"/>
    </xf>
    <xf numFmtId="49" fontId="14" fillId="5" borderId="75" xfId="0" applyNumberFormat="1" applyFont="1" applyFill="1" applyBorder="1" applyAlignment="1" applyProtection="1">
      <alignment wrapText="1"/>
    </xf>
    <xf numFmtId="1" fontId="13" fillId="5" borderId="75" xfId="0" applyNumberFormat="1" applyFont="1" applyFill="1" applyBorder="1" applyAlignment="1" applyProtection="1">
      <alignment wrapText="1"/>
    </xf>
    <xf numFmtId="49" fontId="13" fillId="5" borderId="75" xfId="0" applyNumberFormat="1" applyFont="1" applyFill="1" applyBorder="1" applyAlignment="1" applyProtection="1">
      <alignment wrapText="1"/>
    </xf>
    <xf numFmtId="49" fontId="5" fillId="5" borderId="31" xfId="0" applyNumberFormat="1" applyFont="1" applyFill="1" applyBorder="1" applyAlignment="1" applyProtection="1">
      <alignment wrapText="1"/>
    </xf>
    <xf numFmtId="1" fontId="4" fillId="5" borderId="31" xfId="0" applyNumberFormat="1" applyFont="1" applyFill="1" applyBorder="1" applyAlignment="1" applyProtection="1">
      <alignment wrapText="1"/>
    </xf>
    <xf numFmtId="49" fontId="4" fillId="5" borderId="31" xfId="0" applyNumberFormat="1" applyFont="1" applyFill="1" applyBorder="1" applyAlignment="1" applyProtection="1">
      <alignment wrapText="1"/>
    </xf>
    <xf numFmtId="0" fontId="5" fillId="5" borderId="31" xfId="0" applyNumberFormat="1" applyFont="1" applyFill="1" applyBorder="1" applyAlignment="1" applyProtection="1">
      <alignment wrapText="1"/>
    </xf>
    <xf numFmtId="1" fontId="21" fillId="5" borderId="31" xfId="0" applyNumberFormat="1" applyFont="1" applyFill="1" applyBorder="1" applyAlignment="1" applyProtection="1">
      <alignment horizontal="left" wrapText="1"/>
    </xf>
    <xf numFmtId="10" fontId="4" fillId="5" borderId="74" xfId="3" applyNumberFormat="1" applyFont="1" applyFill="1" applyBorder="1" applyAlignment="1" applyProtection="1">
      <alignment horizontal="right" wrapText="1"/>
    </xf>
    <xf numFmtId="49" fontId="46" fillId="6" borderId="23" xfId="0" applyNumberFormat="1" applyFont="1" applyFill="1" applyBorder="1" applyAlignment="1" applyProtection="1">
      <alignment wrapText="1"/>
    </xf>
    <xf numFmtId="1" fontId="21" fillId="6" borderId="23" xfId="0" applyNumberFormat="1" applyFont="1" applyFill="1" applyBorder="1" applyAlignment="1" applyProtection="1">
      <alignment wrapText="1"/>
    </xf>
    <xf numFmtId="0" fontId="46" fillId="6" borderId="23" xfId="0" applyNumberFormat="1" applyFont="1" applyFill="1" applyBorder="1" applyAlignment="1" applyProtection="1">
      <alignment wrapText="1"/>
    </xf>
    <xf numFmtId="49" fontId="5" fillId="3" borderId="18" xfId="0" applyNumberFormat="1" applyFont="1" applyFill="1" applyBorder="1" applyAlignment="1" applyProtection="1">
      <alignment horizontal="center" wrapText="1"/>
    </xf>
    <xf numFmtId="1" fontId="5" fillId="5" borderId="66" xfId="0" applyNumberFormat="1" applyFont="1" applyFill="1" applyBorder="1" applyAlignment="1" applyProtection="1">
      <alignment horizontal="right" wrapText="1"/>
    </xf>
    <xf numFmtId="1" fontId="5" fillId="5" borderId="67" xfId="0" applyNumberFormat="1" applyFont="1" applyFill="1" applyBorder="1" applyAlignment="1" applyProtection="1">
      <alignment horizontal="right" wrapText="1"/>
    </xf>
    <xf numFmtId="1" fontId="5" fillId="5" borderId="67" xfId="0" applyNumberFormat="1" applyFont="1" applyFill="1" applyBorder="1" applyAlignment="1" applyProtection="1">
      <alignment wrapText="1"/>
    </xf>
    <xf numFmtId="49" fontId="5" fillId="3" borderId="23" xfId="0" applyNumberFormat="1" applyFont="1" applyFill="1" applyBorder="1" applyAlignment="1" applyProtection="1">
      <alignment horizontal="center" wrapText="1"/>
    </xf>
    <xf numFmtId="49" fontId="21" fillId="6" borderId="16" xfId="0" applyNumberFormat="1" applyFont="1" applyFill="1" applyBorder="1" applyAlignment="1" applyProtection="1">
      <alignment horizontal="center" wrapText="1"/>
    </xf>
    <xf numFmtId="49" fontId="9" fillId="0" borderId="0" xfId="0" applyNumberFormat="1" applyFont="1" applyBorder="1" applyAlignment="1" applyProtection="1">
      <alignment wrapText="1"/>
    </xf>
    <xf numFmtId="49" fontId="5" fillId="3" borderId="19" xfId="0" applyNumberFormat="1" applyFont="1" applyFill="1" applyBorder="1" applyAlignment="1" applyProtection="1">
      <alignment wrapText="1"/>
    </xf>
    <xf numFmtId="49" fontId="5" fillId="3" borderId="35" xfId="0" applyNumberFormat="1" applyFont="1" applyFill="1" applyBorder="1" applyAlignment="1" applyProtection="1">
      <alignment horizontal="right" wrapText="1"/>
    </xf>
    <xf numFmtId="49" fontId="5" fillId="3" borderId="32" xfId="0" applyNumberFormat="1" applyFont="1" applyFill="1" applyBorder="1" applyAlignment="1" applyProtection="1">
      <alignment horizontal="right" wrapText="1"/>
    </xf>
    <xf numFmtId="49" fontId="5" fillId="3" borderId="21" xfId="0" applyNumberFormat="1" applyFont="1" applyFill="1" applyBorder="1" applyAlignment="1" applyProtection="1">
      <alignment horizontal="center" wrapText="1"/>
    </xf>
    <xf numFmtId="49" fontId="14" fillId="3" borderId="21" xfId="0" applyNumberFormat="1" applyFont="1" applyFill="1" applyBorder="1" applyAlignment="1" applyProtection="1">
      <alignment horizontal="center" wrapText="1"/>
    </xf>
    <xf numFmtId="1" fontId="4" fillId="5" borderId="67" xfId="0" applyNumberFormat="1" applyFont="1" applyFill="1" applyBorder="1" applyAlignment="1" applyProtection="1">
      <alignment wrapText="1"/>
    </xf>
    <xf numFmtId="49" fontId="21" fillId="6" borderId="24" xfId="0" applyNumberFormat="1" applyFont="1" applyFill="1" applyBorder="1" applyAlignment="1" applyProtection="1">
      <alignment horizontal="center" wrapText="1"/>
    </xf>
    <xf numFmtId="0" fontId="46" fillId="6" borderId="16" xfId="0" applyNumberFormat="1" applyFont="1" applyFill="1" applyBorder="1" applyAlignment="1" applyProtection="1">
      <alignment wrapText="1"/>
    </xf>
    <xf numFmtId="0" fontId="5" fillId="0" borderId="0" xfId="0" applyFont="1" applyAlignment="1">
      <alignment horizontal="left"/>
    </xf>
    <xf numFmtId="49" fontId="47" fillId="0" borderId="0" xfId="0" applyNumberFormat="1" applyFont="1" applyAlignment="1" applyProtection="1">
      <alignment horizontal="right" wrapText="1"/>
    </xf>
    <xf numFmtId="49" fontId="11" fillId="0" borderId="0" xfId="0" applyNumberFormat="1" applyFont="1" applyAlignment="1" applyProtection="1">
      <alignment horizontal="left" wrapText="1" indent="3"/>
    </xf>
    <xf numFmtId="0" fontId="6" fillId="0" borderId="0" xfId="0" applyFont="1" applyAlignment="1">
      <alignment vertical="center"/>
    </xf>
    <xf numFmtId="0" fontId="9" fillId="0" borderId="0" xfId="0" applyFont="1" applyAlignment="1">
      <alignment horizontal="justify"/>
    </xf>
    <xf numFmtId="0" fontId="5" fillId="0" borderId="0" xfId="0" applyFont="1" applyAlignment="1">
      <alignment horizontal="justify"/>
    </xf>
    <xf numFmtId="0" fontId="9" fillId="0" borderId="0" xfId="0" applyFont="1" applyFill="1" applyAlignment="1">
      <alignment horizontal="justify"/>
    </xf>
    <xf numFmtId="0" fontId="5" fillId="3" borderId="0" xfId="0" quotePrefix="1" applyFont="1" applyFill="1" applyAlignment="1" applyProtection="1">
      <alignment horizontal="left"/>
    </xf>
    <xf numFmtId="0" fontId="48" fillId="0" borderId="0" xfId="0" applyFont="1" applyProtection="1"/>
    <xf numFmtId="49" fontId="2" fillId="3" borderId="0" xfId="0" applyNumberFormat="1" applyFont="1" applyFill="1" applyAlignment="1">
      <alignment wrapText="1"/>
    </xf>
    <xf numFmtId="49" fontId="5" fillId="0" borderId="0" xfId="0" applyNumberFormat="1" applyFont="1" applyAlignment="1">
      <alignment wrapText="1"/>
    </xf>
    <xf numFmtId="0" fontId="5" fillId="0" borderId="0" xfId="0" applyNumberFormat="1" applyFont="1" applyAlignment="1">
      <alignment wrapText="1"/>
    </xf>
    <xf numFmtId="49" fontId="9" fillId="0" borderId="0" xfId="0" applyNumberFormat="1" applyFont="1" applyAlignment="1">
      <alignment wrapText="1"/>
    </xf>
    <xf numFmtId="0" fontId="8" fillId="0" borderId="0" xfId="0" applyFont="1" applyAlignment="1">
      <alignment wrapText="1"/>
    </xf>
    <xf numFmtId="49" fontId="10" fillId="0" borderId="0" xfId="0" applyNumberFormat="1" applyFont="1" applyAlignment="1">
      <alignment wrapText="1"/>
    </xf>
    <xf numFmtId="0" fontId="5" fillId="0" borderId="0" xfId="0" applyFont="1" applyFill="1" applyAlignment="1">
      <alignment vertical="center" wrapText="1"/>
    </xf>
    <xf numFmtId="0" fontId="50" fillId="0" borderId="0" xfId="0" applyFont="1" applyAlignment="1">
      <alignment horizontal="left" vertical="center" wrapText="1"/>
    </xf>
    <xf numFmtId="0" fontId="5" fillId="0" borderId="0" xfId="0" applyFont="1" applyAlignment="1">
      <alignment horizontal="left" wrapText="1"/>
    </xf>
    <xf numFmtId="0" fontId="14" fillId="0" borderId="0" xfId="0" applyFont="1" applyAlignment="1">
      <alignment horizontal="left" wrapText="1"/>
    </xf>
    <xf numFmtId="0" fontId="52" fillId="0" borderId="0" xfId="0" applyFont="1"/>
    <xf numFmtId="49" fontId="26" fillId="0" borderId="0" xfId="0" applyNumberFormat="1" applyFont="1" applyFill="1" applyAlignment="1" applyProtection="1">
      <alignment vertical="center"/>
    </xf>
    <xf numFmtId="0" fontId="4" fillId="0" borderId="0" xfId="0" applyNumberFormat="1" applyFont="1" applyFill="1" applyAlignment="1" applyProtection="1">
      <alignment wrapText="1"/>
    </xf>
    <xf numFmtId="0" fontId="24" fillId="0" borderId="0" xfId="0" applyFont="1" applyAlignment="1">
      <alignment horizontal="justify"/>
    </xf>
    <xf numFmtId="0" fontId="4" fillId="0" borderId="76" xfId="0" applyFont="1" applyBorder="1" applyAlignment="1"/>
    <xf numFmtId="0" fontId="4" fillId="0" borderId="77" xfId="0" applyFont="1" applyBorder="1" applyAlignment="1">
      <alignment horizontal="left"/>
    </xf>
    <xf numFmtId="0" fontId="4" fillId="0" borderId="78" xfId="0" applyFont="1" applyBorder="1" applyAlignment="1"/>
    <xf numFmtId="0" fontId="4" fillId="0" borderId="0" xfId="0" applyFont="1" applyAlignment="1"/>
    <xf numFmtId="0" fontId="5" fillId="0" borderId="79" xfId="0" applyFont="1" applyBorder="1" applyAlignment="1">
      <alignment horizontal="justify"/>
    </xf>
    <xf numFmtId="164" fontId="5" fillId="0" borderId="0" xfId="0" applyNumberFormat="1" applyFont="1" applyBorder="1" applyAlignment="1">
      <alignment horizontal="center"/>
    </xf>
    <xf numFmtId="0" fontId="5" fillId="0" borderId="80" xfId="0" applyFont="1" applyBorder="1" applyAlignment="1">
      <alignment horizontal="left"/>
    </xf>
    <xf numFmtId="164" fontId="5" fillId="0" borderId="0" xfId="3" applyNumberFormat="1" applyFont="1" applyBorder="1" applyAlignment="1">
      <alignment horizontal="center"/>
    </xf>
    <xf numFmtId="0" fontId="21" fillId="6" borderId="81" xfId="0" applyFont="1" applyFill="1" applyBorder="1" applyAlignment="1"/>
    <xf numFmtId="0" fontId="46" fillId="6" borderId="82" xfId="0" applyFont="1" applyFill="1" applyBorder="1" applyAlignment="1"/>
    <xf numFmtId="0" fontId="21" fillId="6" borderId="83" xfId="0" applyFont="1" applyFill="1" applyBorder="1" applyAlignment="1"/>
    <xf numFmtId="3" fontId="4" fillId="0" borderId="0" xfId="0" applyNumberFormat="1" applyFont="1" applyAlignment="1">
      <alignment horizontal="justify"/>
    </xf>
    <xf numFmtId="0" fontId="13" fillId="0" borderId="0" xfId="0" applyFont="1" applyAlignment="1">
      <alignment horizontal="justify"/>
    </xf>
    <xf numFmtId="0" fontId="13" fillId="0" borderId="0" xfId="0" applyFont="1" applyFill="1" applyAlignment="1">
      <alignment horizontal="justify"/>
    </xf>
    <xf numFmtId="0" fontId="13" fillId="0" borderId="0" xfId="0" applyFont="1" applyAlignment="1"/>
    <xf numFmtId="4" fontId="5" fillId="0" borderId="0" xfId="0" applyNumberFormat="1" applyFont="1" applyFill="1" applyAlignment="1">
      <alignment horizontal="left"/>
    </xf>
    <xf numFmtId="3" fontId="4" fillId="0" borderId="0" xfId="0" applyNumberFormat="1" applyFont="1" applyBorder="1" applyAlignment="1">
      <alignment wrapText="1"/>
    </xf>
    <xf numFmtId="3" fontId="4" fillId="0" borderId="0" xfId="0" applyNumberFormat="1" applyFont="1" applyAlignment="1">
      <alignment wrapText="1"/>
    </xf>
    <xf numFmtId="3" fontId="4" fillId="0" borderId="0" xfId="0" applyNumberFormat="1" applyFont="1" applyBorder="1" applyAlignment="1" applyProtection="1">
      <alignment vertical="top" wrapText="1"/>
    </xf>
    <xf numFmtId="3" fontId="4" fillId="0" borderId="0" xfId="0" applyNumberFormat="1" applyFont="1" applyAlignment="1" applyProtection="1">
      <alignment vertical="top" wrapText="1"/>
    </xf>
    <xf numFmtId="0" fontId="40" fillId="0" borderId="0" xfId="0" applyFont="1" applyBorder="1"/>
    <xf numFmtId="3" fontId="23" fillId="3" borderId="22" xfId="0" applyNumberFormat="1" applyFont="1" applyFill="1" applyBorder="1" applyAlignment="1" applyProtection="1">
      <alignment horizontal="right" vertical="center"/>
      <protection locked="0"/>
    </xf>
    <xf numFmtId="3" fontId="23" fillId="0" borderId="23" xfId="0" applyNumberFormat="1" applyFont="1" applyFill="1" applyBorder="1" applyAlignment="1" applyProtection="1">
      <alignment horizontal="right" vertical="center"/>
      <protection locked="0"/>
    </xf>
    <xf numFmtId="3" fontId="23" fillId="3" borderId="0" xfId="0" applyNumberFormat="1" applyFont="1" applyFill="1" applyBorder="1" applyAlignment="1" applyProtection="1">
      <alignment horizontal="right" vertical="center"/>
      <protection locked="0"/>
    </xf>
    <xf numFmtId="3" fontId="23" fillId="0" borderId="17" xfId="0" applyNumberFormat="1" applyFont="1" applyFill="1" applyBorder="1" applyAlignment="1" applyProtection="1">
      <alignment horizontal="right" vertical="center"/>
      <protection locked="0"/>
    </xf>
    <xf numFmtId="3" fontId="23" fillId="0" borderId="40" xfId="0" applyNumberFormat="1" applyFont="1" applyFill="1" applyBorder="1" applyAlignment="1" applyProtection="1">
      <alignment horizontal="right" vertical="center"/>
      <protection locked="0"/>
    </xf>
    <xf numFmtId="3" fontId="23" fillId="0" borderId="16" xfId="0" applyNumberFormat="1" applyFont="1" applyFill="1" applyBorder="1" applyAlignment="1" applyProtection="1">
      <alignment horizontal="right" vertical="center"/>
      <protection locked="0"/>
    </xf>
    <xf numFmtId="3" fontId="23" fillId="0" borderId="18" xfId="0" applyNumberFormat="1" applyFont="1" applyFill="1" applyBorder="1" applyAlignment="1" applyProtection="1">
      <alignment horizontal="right" vertical="center"/>
      <protection locked="0"/>
    </xf>
    <xf numFmtId="3" fontId="23" fillId="0" borderId="19" xfId="0" applyNumberFormat="1" applyFont="1" applyFill="1" applyBorder="1" applyAlignment="1" applyProtection="1">
      <alignment horizontal="right" vertical="center"/>
      <protection locked="0"/>
    </xf>
    <xf numFmtId="3" fontId="23" fillId="0" borderId="43" xfId="0" applyNumberFormat="1" applyFont="1" applyFill="1" applyBorder="1" applyAlignment="1" applyProtection="1">
      <alignment horizontal="right" vertical="center"/>
      <protection locked="0"/>
    </xf>
    <xf numFmtId="3" fontId="23" fillId="3" borderId="20" xfId="0" applyNumberFormat="1" applyFont="1" applyFill="1" applyBorder="1" applyAlignment="1" applyProtection="1">
      <alignment horizontal="right" vertical="center"/>
      <protection locked="0"/>
    </xf>
    <xf numFmtId="3" fontId="23" fillId="3" borderId="34" xfId="0" applyNumberFormat="1" applyFont="1" applyFill="1" applyBorder="1" applyAlignment="1" applyProtection="1">
      <alignment horizontal="right" vertical="center"/>
      <protection locked="0"/>
    </xf>
    <xf numFmtId="3" fontId="23" fillId="3" borderId="40" xfId="0" applyNumberFormat="1" applyFont="1" applyFill="1" applyBorder="1" applyAlignment="1" applyProtection="1">
      <alignment horizontal="right" vertical="center"/>
      <protection locked="0"/>
    </xf>
    <xf numFmtId="3" fontId="23" fillId="3" borderId="35" xfId="0" applyNumberFormat="1" applyFont="1" applyFill="1" applyBorder="1" applyAlignment="1" applyProtection="1">
      <alignment horizontal="right" vertical="center"/>
      <protection locked="0"/>
    </xf>
    <xf numFmtId="3" fontId="23" fillId="3" borderId="21" xfId="0" applyNumberFormat="1" applyFont="1" applyFill="1" applyBorder="1" applyAlignment="1" applyProtection="1">
      <alignment horizontal="right" vertical="center"/>
      <protection locked="0"/>
    </xf>
    <xf numFmtId="3" fontId="23" fillId="3" borderId="31" xfId="0" applyNumberFormat="1" applyFont="1" applyFill="1" applyBorder="1" applyAlignment="1" applyProtection="1">
      <alignment horizontal="right" vertical="center"/>
      <protection locked="0"/>
    </xf>
    <xf numFmtId="3" fontId="23" fillId="3" borderId="43" xfId="0" applyNumberFormat="1" applyFont="1" applyFill="1" applyBorder="1" applyAlignment="1" applyProtection="1">
      <alignment horizontal="right" vertical="center"/>
      <protection locked="0"/>
    </xf>
    <xf numFmtId="3" fontId="23" fillId="0" borderId="44" xfId="0" applyNumberFormat="1" applyFont="1" applyFill="1" applyBorder="1" applyAlignment="1" applyProtection="1">
      <alignment horizontal="right" vertical="center"/>
      <protection locked="0"/>
    </xf>
    <xf numFmtId="3" fontId="23" fillId="3" borderId="45" xfId="0" applyNumberFormat="1" applyFont="1" applyFill="1" applyBorder="1" applyAlignment="1" applyProtection="1">
      <alignment horizontal="right" vertical="center"/>
      <protection locked="0"/>
    </xf>
    <xf numFmtId="3" fontId="23" fillId="3" borderId="46" xfId="0" applyNumberFormat="1" applyFont="1" applyFill="1" applyBorder="1" applyAlignment="1" applyProtection="1">
      <alignment horizontal="right" vertical="center"/>
      <protection locked="0"/>
    </xf>
    <xf numFmtId="3" fontId="23" fillId="3" borderId="47" xfId="0" applyNumberFormat="1" applyFont="1" applyFill="1" applyBorder="1" applyAlignment="1" applyProtection="1">
      <alignment horizontal="right" vertical="center"/>
      <protection locked="0"/>
    </xf>
    <xf numFmtId="3" fontId="23" fillId="3" borderId="44" xfId="0" applyNumberFormat="1" applyFont="1" applyFill="1" applyBorder="1" applyAlignment="1" applyProtection="1">
      <alignment horizontal="right" vertical="center"/>
      <protection locked="0"/>
    </xf>
    <xf numFmtId="3" fontId="23" fillId="0" borderId="45" xfId="0" applyNumberFormat="1" applyFont="1" applyFill="1" applyBorder="1" applyAlignment="1" applyProtection="1">
      <alignment horizontal="right" vertical="center"/>
      <protection locked="0"/>
    </xf>
    <xf numFmtId="3" fontId="23" fillId="0" borderId="48" xfId="0" applyNumberFormat="1" applyFont="1" applyFill="1" applyBorder="1" applyAlignment="1" applyProtection="1">
      <alignment horizontal="right" vertical="center"/>
      <protection locked="0"/>
    </xf>
    <xf numFmtId="3" fontId="23" fillId="3" borderId="30" xfId="0" applyNumberFormat="1" applyFont="1" applyFill="1" applyBorder="1" applyAlignment="1" applyProtection="1">
      <alignment horizontal="right" vertical="center"/>
      <protection locked="0"/>
    </xf>
    <xf numFmtId="3" fontId="17" fillId="3" borderId="35" xfId="0" applyNumberFormat="1" applyFont="1" applyFill="1" applyBorder="1" applyAlignment="1" applyProtection="1">
      <alignment horizontal="right" vertical="center"/>
      <protection locked="0"/>
    </xf>
    <xf numFmtId="3" fontId="17" fillId="3" borderId="43" xfId="0" applyNumberFormat="1" applyFont="1" applyFill="1" applyBorder="1" applyAlignment="1" applyProtection="1">
      <alignment horizontal="right" vertical="center"/>
      <protection locked="0"/>
    </xf>
    <xf numFmtId="3" fontId="23" fillId="0" borderId="24" xfId="0" applyNumberFormat="1" applyFont="1" applyFill="1" applyBorder="1" applyAlignment="1" applyProtection="1">
      <alignment horizontal="right" vertical="center"/>
      <protection locked="0"/>
    </xf>
    <xf numFmtId="3" fontId="23" fillId="3" borderId="42" xfId="0" applyNumberFormat="1" applyFont="1" applyFill="1" applyBorder="1" applyAlignment="1" applyProtection="1">
      <alignment horizontal="right" vertical="center"/>
      <protection locked="0"/>
    </xf>
    <xf numFmtId="3" fontId="23" fillId="0" borderId="49" xfId="0" applyNumberFormat="1" applyFont="1" applyFill="1" applyBorder="1" applyAlignment="1" applyProtection="1">
      <alignment horizontal="right" vertical="center"/>
      <protection locked="0"/>
    </xf>
    <xf numFmtId="3" fontId="23" fillId="0" borderId="41" xfId="0" applyNumberFormat="1" applyFont="1" applyFill="1" applyBorder="1" applyAlignment="1" applyProtection="1">
      <alignment horizontal="right" vertical="center"/>
      <protection locked="0"/>
    </xf>
    <xf numFmtId="3" fontId="23" fillId="3" borderId="32" xfId="0" applyNumberFormat="1" applyFont="1" applyFill="1" applyBorder="1" applyAlignment="1" applyProtection="1">
      <alignment horizontal="right" vertical="center"/>
      <protection locked="0"/>
    </xf>
    <xf numFmtId="3" fontId="23" fillId="3" borderId="18" xfId="0" applyNumberFormat="1" applyFont="1" applyFill="1" applyBorder="1" applyAlignment="1" applyProtection="1">
      <alignment horizontal="right" vertical="center"/>
      <protection locked="0"/>
    </xf>
    <xf numFmtId="3" fontId="23" fillId="3" borderId="23" xfId="0" applyNumberFormat="1" applyFont="1" applyFill="1" applyBorder="1" applyAlignment="1" applyProtection="1">
      <alignment horizontal="right" vertical="center"/>
      <protection locked="0"/>
    </xf>
    <xf numFmtId="3" fontId="23" fillId="3" borderId="16" xfId="0" applyNumberFormat="1" applyFont="1" applyFill="1" applyBorder="1" applyAlignment="1" applyProtection="1">
      <alignment horizontal="right" vertical="center"/>
      <protection locked="0"/>
    </xf>
    <xf numFmtId="3" fontId="23" fillId="0" borderId="47" xfId="0" applyNumberFormat="1" applyFont="1" applyFill="1" applyBorder="1" applyAlignment="1" applyProtection="1">
      <alignment horizontal="right" vertical="center"/>
      <protection locked="0"/>
    </xf>
    <xf numFmtId="3" fontId="23" fillId="3" borderId="38" xfId="0" applyNumberFormat="1" applyFont="1" applyFill="1" applyBorder="1" applyAlignment="1" applyProtection="1">
      <alignment horizontal="right" vertical="center"/>
      <protection locked="0"/>
    </xf>
    <xf numFmtId="3" fontId="23" fillId="3" borderId="17" xfId="0" applyNumberFormat="1" applyFont="1" applyFill="1" applyBorder="1" applyAlignment="1" applyProtection="1">
      <alignment horizontal="right" vertical="center"/>
      <protection locked="0"/>
    </xf>
    <xf numFmtId="3" fontId="23" fillId="3" borderId="19" xfId="0" applyNumberFormat="1" applyFont="1" applyFill="1" applyBorder="1" applyAlignment="1" applyProtection="1">
      <alignment horizontal="right" vertical="center"/>
      <protection locked="0"/>
    </xf>
    <xf numFmtId="3" fontId="23" fillId="3" borderId="24" xfId="0" applyNumberFormat="1" applyFont="1" applyFill="1" applyBorder="1" applyAlignment="1" applyProtection="1">
      <alignment horizontal="right" vertical="center"/>
      <protection locked="0"/>
    </xf>
    <xf numFmtId="3" fontId="23" fillId="0" borderId="31" xfId="0" applyNumberFormat="1" applyFont="1" applyFill="1" applyBorder="1" applyAlignment="1" applyProtection="1">
      <alignment horizontal="right" vertical="center"/>
      <protection locked="0"/>
    </xf>
    <xf numFmtId="3" fontId="23" fillId="0" borderId="38" xfId="0" applyNumberFormat="1" applyFont="1" applyFill="1" applyBorder="1" applyAlignment="1" applyProtection="1">
      <alignment horizontal="right" vertical="center"/>
      <protection locked="0"/>
    </xf>
    <xf numFmtId="3" fontId="53" fillId="3" borderId="31" xfId="0" applyNumberFormat="1" applyFont="1" applyFill="1" applyBorder="1" applyAlignment="1" applyProtection="1">
      <alignment horizontal="right" vertical="center"/>
      <protection locked="0"/>
    </xf>
    <xf numFmtId="3" fontId="7" fillId="3" borderId="55" xfId="0" applyNumberFormat="1" applyFont="1" applyFill="1" applyBorder="1" applyAlignment="1" applyProtection="1"/>
    <xf numFmtId="3" fontId="7" fillId="3" borderId="0" xfId="0" applyNumberFormat="1" applyFont="1" applyFill="1" applyBorder="1" applyAlignment="1" applyProtection="1"/>
    <xf numFmtId="3" fontId="30" fillId="4" borderId="0" xfId="0" applyNumberFormat="1" applyFont="1" applyFill="1" applyBorder="1" applyAlignment="1" applyProtection="1">
      <alignment horizontal="center"/>
    </xf>
    <xf numFmtId="3" fontId="30" fillId="3" borderId="0" xfId="0" applyNumberFormat="1" applyFont="1" applyFill="1" applyBorder="1" applyAlignment="1" applyProtection="1">
      <alignment horizontal="center"/>
    </xf>
    <xf numFmtId="0" fontId="5" fillId="0" borderId="0" xfId="0" applyFont="1" applyAlignment="1">
      <alignment horizontal="left" wrapText="1"/>
    </xf>
    <xf numFmtId="0" fontId="18" fillId="2" borderId="0" xfId="0" applyNumberFormat="1" applyFont="1" applyFill="1" applyAlignment="1" applyProtection="1">
      <alignment horizontal="left" vertical="center" wrapText="1"/>
    </xf>
    <xf numFmtId="49" fontId="20" fillId="3" borderId="0" xfId="0" applyNumberFormat="1" applyFont="1" applyFill="1" applyBorder="1" applyAlignment="1">
      <alignment horizontal="right" vertical="center"/>
    </xf>
    <xf numFmtId="0" fontId="7" fillId="0" borderId="84" xfId="0" applyFont="1" applyFill="1" applyBorder="1" applyAlignment="1" applyProtection="1">
      <alignment horizontal="left"/>
      <protection locked="0"/>
    </xf>
    <xf numFmtId="0" fontId="7" fillId="0" borderId="84" xfId="0" applyFont="1" applyBorder="1" applyAlignment="1" applyProtection="1">
      <alignment horizontal="center"/>
      <protection locked="0"/>
    </xf>
    <xf numFmtId="0" fontId="7" fillId="0" borderId="85" xfId="0" applyFont="1" applyBorder="1" applyAlignment="1" applyProtection="1">
      <alignment horizontal="center"/>
      <protection locked="0"/>
    </xf>
    <xf numFmtId="0" fontId="7" fillId="0" borderId="85" xfId="0" applyFont="1" applyFill="1" applyBorder="1" applyAlignment="1" applyProtection="1">
      <alignment horizontal="left"/>
      <protection locked="0"/>
    </xf>
    <xf numFmtId="14" fontId="7" fillId="0" borderId="27" xfId="0" applyNumberFormat="1" applyFont="1" applyBorder="1" applyAlignment="1" applyProtection="1">
      <alignment horizontal="center"/>
      <protection locked="0"/>
    </xf>
    <xf numFmtId="0" fontId="3" fillId="0" borderId="84" xfId="2" applyBorder="1" applyAlignment="1" applyProtection="1">
      <alignment horizontal="center"/>
      <protection locked="0"/>
    </xf>
    <xf numFmtId="0" fontId="4" fillId="7" borderId="86" xfId="0" applyFont="1" applyFill="1" applyBorder="1" applyAlignment="1" applyProtection="1">
      <alignment horizontal="right"/>
      <protection locked="0"/>
    </xf>
    <xf numFmtId="0" fontId="4" fillId="7" borderId="87" xfId="0" applyFont="1" applyFill="1" applyBorder="1" applyAlignment="1" applyProtection="1">
      <alignment horizontal="right"/>
      <protection locked="0"/>
    </xf>
    <xf numFmtId="49" fontId="4" fillId="7" borderId="88" xfId="0" applyNumberFormat="1" applyFont="1" applyFill="1" applyBorder="1" applyAlignment="1" applyProtection="1">
      <alignment horizontal="right" vertical="center"/>
      <protection locked="0"/>
    </xf>
    <xf numFmtId="49" fontId="4" fillId="7" borderId="89" xfId="0" quotePrefix="1" applyNumberFormat="1" applyFont="1" applyFill="1" applyBorder="1" applyAlignment="1" applyProtection="1">
      <alignment horizontal="right" vertical="center"/>
      <protection locked="0"/>
    </xf>
    <xf numFmtId="0" fontId="4" fillId="0" borderId="88" xfId="0" applyFont="1" applyFill="1" applyBorder="1" applyAlignment="1" applyProtection="1">
      <alignment horizontal="right"/>
      <protection locked="0"/>
    </xf>
    <xf numFmtId="0" fontId="4" fillId="0" borderId="89" xfId="0" applyFont="1" applyFill="1" applyBorder="1" applyAlignment="1" applyProtection="1">
      <alignment horizontal="right"/>
      <protection locked="0"/>
    </xf>
    <xf numFmtId="0" fontId="6" fillId="0" borderId="88" xfId="0" applyFont="1" applyFill="1" applyBorder="1" applyAlignment="1" applyProtection="1">
      <alignment horizontal="right"/>
      <protection locked="0"/>
    </xf>
    <xf numFmtId="0" fontId="6" fillId="0" borderId="89" xfId="0" applyFont="1" applyFill="1" applyBorder="1" applyAlignment="1" applyProtection="1">
      <alignment horizontal="right"/>
      <protection locked="0"/>
    </xf>
    <xf numFmtId="0" fontId="40" fillId="3" borderId="0" xfId="0" applyFont="1" applyFill="1" applyBorder="1" applyAlignment="1" applyProtection="1">
      <alignment horizontal="left" vertical="top" wrapText="1"/>
    </xf>
    <xf numFmtId="0" fontId="5" fillId="3" borderId="0" xfId="0" applyFont="1" applyFill="1" applyAlignment="1">
      <alignment horizontal="left" vertical="top" wrapText="1"/>
    </xf>
    <xf numFmtId="0" fontId="22" fillId="0" borderId="11" xfId="0" applyFont="1" applyBorder="1" applyAlignment="1">
      <alignment vertical="center"/>
    </xf>
    <xf numFmtId="0" fontId="17" fillId="0" borderId="12" xfId="0" applyFont="1" applyBorder="1" applyAlignment="1">
      <alignment vertical="center"/>
    </xf>
    <xf numFmtId="0" fontId="2" fillId="0" borderId="9" xfId="0" applyFont="1" applyBorder="1" applyAlignment="1">
      <alignment vertical="center"/>
    </xf>
    <xf numFmtId="0" fontId="23" fillId="0" borderId="10" xfId="0" applyFont="1" applyBorder="1" applyAlignment="1">
      <alignment vertical="center"/>
    </xf>
    <xf numFmtId="0" fontId="2" fillId="0" borderId="37" xfId="0" applyFont="1" applyBorder="1" applyAlignment="1">
      <alignment vertical="center"/>
    </xf>
    <xf numFmtId="0" fontId="2" fillId="0" borderId="54" xfId="0" applyFont="1" applyBorder="1" applyAlignment="1">
      <alignment vertical="center"/>
    </xf>
    <xf numFmtId="0" fontId="22" fillId="0" borderId="8" xfId="0" applyFont="1" applyBorder="1" applyAlignment="1">
      <alignment vertical="center"/>
    </xf>
    <xf numFmtId="0" fontId="17" fillId="0" borderId="13" xfId="0" applyFont="1" applyBorder="1" applyAlignment="1">
      <alignment vertical="center"/>
    </xf>
    <xf numFmtId="0" fontId="2" fillId="0" borderId="9" xfId="0" applyFont="1" applyBorder="1" applyAlignment="1">
      <alignment horizontal="left" vertical="center"/>
    </xf>
    <xf numFmtId="0" fontId="2" fillId="0" borderId="10" xfId="0" applyFont="1" applyBorder="1" applyAlignment="1">
      <alignment horizontal="left" vertical="center"/>
    </xf>
    <xf numFmtId="0" fontId="2" fillId="3" borderId="6" xfId="0" applyFont="1" applyFill="1" applyBorder="1" applyAlignment="1">
      <alignment horizontal="center" vertical="center"/>
    </xf>
    <xf numFmtId="0" fontId="2" fillId="3" borderId="90" xfId="0" applyFont="1" applyFill="1" applyBorder="1" applyAlignment="1">
      <alignment horizontal="center" vertical="center"/>
    </xf>
    <xf numFmtId="0" fontId="2" fillId="3" borderId="37" xfId="0" applyFont="1" applyFill="1" applyBorder="1" applyAlignment="1">
      <alignment horizontal="center" vertical="center"/>
    </xf>
    <xf numFmtId="0" fontId="2" fillId="3" borderId="54" xfId="0" applyFont="1" applyFill="1" applyBorder="1" applyAlignment="1">
      <alignment horizontal="center" vertical="center"/>
    </xf>
    <xf numFmtId="0" fontId="2" fillId="0" borderId="11" xfId="0" applyFont="1" applyBorder="1" applyAlignment="1">
      <alignment vertical="center"/>
    </xf>
    <xf numFmtId="0" fontId="23" fillId="0" borderId="12" xfId="0" applyFont="1" applyBorder="1" applyAlignment="1">
      <alignment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0" borderId="9" xfId="0" applyFont="1" applyFill="1" applyBorder="1" applyAlignment="1">
      <alignment horizontal="left" vertical="center"/>
    </xf>
    <xf numFmtId="0" fontId="2" fillId="0" borderId="10" xfId="0" applyFont="1" applyFill="1" applyBorder="1" applyAlignment="1">
      <alignment horizontal="left" vertical="center"/>
    </xf>
    <xf numFmtId="0" fontId="24" fillId="0" borderId="8" xfId="0" applyFont="1" applyFill="1" applyBorder="1" applyAlignment="1">
      <alignment vertical="center"/>
    </xf>
    <xf numFmtId="0" fontId="24" fillId="0" borderId="13" xfId="0" applyFont="1" applyFill="1" applyBorder="1" applyAlignment="1">
      <alignment vertical="center"/>
    </xf>
    <xf numFmtId="3" fontId="26" fillId="0" borderId="9" xfId="4" applyNumberFormat="1" applyFont="1" applyFill="1" applyBorder="1" applyAlignment="1">
      <alignment horizontal="left"/>
    </xf>
    <xf numFmtId="3" fontId="26" fillId="0" borderId="10" xfId="4" applyNumberFormat="1" applyFont="1" applyFill="1" applyBorder="1" applyAlignment="1">
      <alignment horizontal="left"/>
    </xf>
    <xf numFmtId="0" fontId="29" fillId="2" borderId="0" xfId="0" applyNumberFormat="1" applyFont="1" applyFill="1" applyAlignment="1" applyProtection="1">
      <alignment horizontal="left" vertical="center"/>
    </xf>
    <xf numFmtId="0" fontId="0" fillId="0" borderId="0" xfId="0" applyAlignment="1">
      <alignment horizontal="left" wrapText="1"/>
    </xf>
    <xf numFmtId="0" fontId="24" fillId="0" borderId="0" xfId="0" applyFont="1" applyAlignment="1">
      <alignment horizontal="left" wrapText="1"/>
    </xf>
    <xf numFmtId="0" fontId="45" fillId="0" borderId="0" xfId="0" applyFont="1" applyAlignment="1"/>
    <xf numFmtId="0" fontId="1" fillId="0" borderId="0" xfId="0" applyFont="1" applyFill="1" applyAlignment="1">
      <alignment horizontal="left" wrapText="1"/>
    </xf>
    <xf numFmtId="49" fontId="5" fillId="0" borderId="0" xfId="0" applyNumberFormat="1" applyFont="1" applyAlignment="1" applyProtection="1">
      <alignment horizontal="left" vertical="center" wrapText="1"/>
    </xf>
    <xf numFmtId="0" fontId="5" fillId="0" borderId="0" xfId="0" applyFont="1" applyAlignment="1">
      <alignment horizontal="justify"/>
    </xf>
    <xf numFmtId="0" fontId="4" fillId="8" borderId="0" xfId="0" applyFont="1" applyFill="1" applyAlignment="1">
      <alignment horizontal="justify"/>
    </xf>
    <xf numFmtId="0" fontId="4" fillId="3" borderId="0" xfId="0" applyNumberFormat="1" applyFont="1" applyFill="1" applyBorder="1" applyAlignment="1" applyProtection="1">
      <alignment horizontal="center" wrapText="1"/>
    </xf>
  </cellXfs>
  <cellStyles count="5">
    <cellStyle name="Euro" xfId="1"/>
    <cellStyle name="Hyperlink" xfId="2" builtinId="8"/>
    <cellStyle name="Procent" xfId="3" builtinId="5"/>
    <cellStyle name="Standaard" xfId="0" builtinId="0"/>
    <cellStyle name="Standaard_Blad1" xfId="4"/>
  </cellStyles>
  <dxfs count="3">
    <dxf>
      <font>
        <condense val="0"/>
        <extend val="0"/>
        <color indexed="41"/>
      </font>
    </dxf>
    <dxf>
      <font>
        <condense val="0"/>
        <extend val="0"/>
        <color indexed="22"/>
      </font>
    </dxf>
    <dxf>
      <font>
        <b/>
        <i val="0"/>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0</xdr:col>
      <xdr:colOff>200025</xdr:colOff>
      <xdr:row>0</xdr:row>
      <xdr:rowOff>47625</xdr:rowOff>
    </xdr:from>
    <xdr:to>
      <xdr:col>0</xdr:col>
      <xdr:colOff>514350</xdr:colOff>
      <xdr:row>3</xdr:row>
      <xdr:rowOff>9525</xdr:rowOff>
    </xdr:to>
    <xdr:pic>
      <xdr:nvPicPr>
        <xdr:cNvPr id="8193"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5" y="47625"/>
          <a:ext cx="31432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200025</xdr:colOff>
      <xdr:row>0</xdr:row>
      <xdr:rowOff>47625</xdr:rowOff>
    </xdr:from>
    <xdr:to>
      <xdr:col>0</xdr:col>
      <xdr:colOff>514350</xdr:colOff>
      <xdr:row>3</xdr:row>
      <xdr:rowOff>9525</xdr:rowOff>
    </xdr:to>
    <xdr:pic>
      <xdr:nvPicPr>
        <xdr:cNvPr id="8195"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5" y="47625"/>
          <a:ext cx="31432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0</xdr:row>
      <xdr:rowOff>0</xdr:rowOff>
    </xdr:from>
    <xdr:to>
      <xdr:col>0</xdr:col>
      <xdr:colOff>390525</xdr:colOff>
      <xdr:row>0</xdr:row>
      <xdr:rowOff>0</xdr:rowOff>
    </xdr:to>
    <xdr:pic>
      <xdr:nvPicPr>
        <xdr:cNvPr id="11265"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0"/>
          <a:ext cx="3619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kredo@cbs.nl" TargetMode="External"/><Relationship Id="rId1" Type="http://schemas.openxmlformats.org/officeDocument/2006/relationships/hyperlink" Target="http://www.cbs.nl/kredo"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cbs.nl/bestandslevering" TargetMode="External"/><Relationship Id="rId1" Type="http://schemas.openxmlformats.org/officeDocument/2006/relationships/hyperlink" Target="http://www.cbs.nl/kredo"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g.a.veldman.perdok@provinciegroningen.n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mailto:kredo@cbs.nl" TargetMode="External"/><Relationship Id="rId1" Type="http://schemas.openxmlformats.org/officeDocument/2006/relationships/hyperlink" Target="http://www.cbs.nl/kredo"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
  <dimension ref="A2:B34"/>
  <sheetViews>
    <sheetView showGridLines="0" zoomScaleNormal="100" zoomScaleSheetLayoutView="100" workbookViewId="0"/>
  </sheetViews>
  <sheetFormatPr defaultRowHeight="12.75"/>
  <cols>
    <col min="1" max="1" width="10.7109375" style="6" customWidth="1"/>
    <col min="2" max="2" width="80.7109375" style="6" customWidth="1"/>
    <col min="3" max="16384" width="9.140625" style="6"/>
  </cols>
  <sheetData>
    <row r="2" spans="1:2" ht="16.5">
      <c r="A2" s="5"/>
      <c r="B2" s="371" t="s">
        <v>521</v>
      </c>
    </row>
    <row r="3" spans="1:2">
      <c r="A3" s="5"/>
      <c r="B3" s="395" t="s">
        <v>532</v>
      </c>
    </row>
    <row r="4" spans="1:2">
      <c r="A4" s="5"/>
      <c r="B4" s="395"/>
    </row>
    <row r="6" spans="1:2">
      <c r="A6" s="227" t="s">
        <v>8</v>
      </c>
      <c r="B6" s="7" t="s">
        <v>484</v>
      </c>
    </row>
    <row r="7" spans="1:2" ht="9" customHeight="1">
      <c r="A7" s="353"/>
    </row>
    <row r="8" spans="1:2" ht="13.5" customHeight="1">
      <c r="B8" s="8" t="s">
        <v>535</v>
      </c>
    </row>
    <row r="9" spans="1:2">
      <c r="B9" s="12"/>
    </row>
    <row r="10" spans="1:2" s="11" customFormat="1">
      <c r="B10" s="9" t="s">
        <v>7</v>
      </c>
    </row>
    <row r="11" spans="1:2" s="11" customFormat="1" ht="8.25" customHeight="1">
      <c r="B11" s="9"/>
    </row>
    <row r="12" spans="1:2" ht="8.25" customHeight="1">
      <c r="B12" s="9"/>
    </row>
    <row r="13" spans="1:2" ht="51">
      <c r="B13" s="10" t="s">
        <v>500</v>
      </c>
    </row>
    <row r="14" spans="1:2" ht="8.25" customHeight="1">
      <c r="B14" s="10"/>
    </row>
    <row r="15" spans="1:2" ht="63" customHeight="1">
      <c r="B15" s="10" t="s">
        <v>528</v>
      </c>
    </row>
    <row r="16" spans="1:2" s="11" customFormat="1" ht="6" customHeight="1">
      <c r="B16" s="9"/>
    </row>
    <row r="17" spans="2:2" ht="39.75" customHeight="1">
      <c r="B17" s="373" t="s">
        <v>536</v>
      </c>
    </row>
    <row r="18" spans="2:2" ht="6.75" customHeight="1"/>
    <row r="19" spans="2:2" s="11" customFormat="1" ht="40.5" customHeight="1">
      <c r="B19" s="10" t="s">
        <v>522</v>
      </c>
    </row>
    <row r="20" spans="2:2" s="11" customFormat="1" ht="6.75" customHeight="1">
      <c r="B20" s="9"/>
    </row>
    <row r="21" spans="2:2" ht="15.75" customHeight="1">
      <c r="B21" s="9" t="s">
        <v>520</v>
      </c>
    </row>
    <row r="22" spans="2:2">
      <c r="B22" s="354" t="s">
        <v>5</v>
      </c>
    </row>
    <row r="23" spans="2:2">
      <c r="B23" s="354" t="s">
        <v>6</v>
      </c>
    </row>
    <row r="24" spans="2:2">
      <c r="B24" s="13" t="s">
        <v>10</v>
      </c>
    </row>
    <row r="25" spans="2:2" s="11" customFormat="1">
      <c r="B25" s="13" t="s">
        <v>11</v>
      </c>
    </row>
    <row r="26" spans="2:2" s="11" customFormat="1" ht="10.5" customHeight="1">
      <c r="B26" s="9"/>
    </row>
    <row r="27" spans="2:2" s="11" customFormat="1" ht="76.5">
      <c r="B27" s="10" t="s">
        <v>529</v>
      </c>
    </row>
    <row r="28" spans="2:2" s="11" customFormat="1" ht="9.75" customHeight="1">
      <c r="B28" s="9"/>
    </row>
    <row r="29" spans="2:2" s="11" customFormat="1">
      <c r="B29" s="9" t="s">
        <v>9</v>
      </c>
    </row>
    <row r="30" spans="2:2" s="11" customFormat="1" ht="8.25"/>
    <row r="32" spans="2:2">
      <c r="B32" s="9" t="s">
        <v>534</v>
      </c>
    </row>
    <row r="33" spans="2:2">
      <c r="B33" s="9" t="s">
        <v>533</v>
      </c>
    </row>
    <row r="34" spans="2:2">
      <c r="B34" s="12"/>
    </row>
  </sheetData>
  <phoneticPr fontId="0" type="noConversion"/>
  <hyperlinks>
    <hyperlink ref="B24" r:id="rId1"/>
    <hyperlink ref="B25" r:id="rId2"/>
  </hyperlinks>
  <pageMargins left="0.39370078740157483" right="0.78740157480314965" top="1.01" bottom="0.55118110236220474" header="0.51181102362204722" footer="0.51181102362204722"/>
  <pageSetup paperSize="9" orientation="portrait" r:id="rId3"/>
  <headerFooter alignWithMargins="0"/>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3"/>
  <dimension ref="A1:B68"/>
  <sheetViews>
    <sheetView showGridLines="0" zoomScaleNormal="100" workbookViewId="0"/>
  </sheetViews>
  <sheetFormatPr defaultRowHeight="12.75"/>
  <cols>
    <col min="1" max="1" width="104.85546875" style="3" customWidth="1"/>
    <col min="2" max="2" width="15.7109375" style="15" customWidth="1"/>
    <col min="3" max="16384" width="9.140625" style="15"/>
  </cols>
  <sheetData>
    <row r="1" spans="1:2" ht="15">
      <c r="A1" s="226" t="s">
        <v>242</v>
      </c>
    </row>
    <row r="2" spans="1:2">
      <c r="A2" s="369"/>
    </row>
    <row r="3" spans="1:2" ht="51" customHeight="1">
      <c r="A3" s="369" t="s">
        <v>537</v>
      </c>
    </row>
    <row r="4" spans="1:2">
      <c r="A4" s="442" t="s">
        <v>429</v>
      </c>
    </row>
    <row r="5" spans="1:2">
      <c r="A5" s="442"/>
    </row>
    <row r="6" spans="1:2">
      <c r="A6" s="20"/>
    </row>
    <row r="7" spans="1:2">
      <c r="A7" s="223" t="s">
        <v>428</v>
      </c>
    </row>
    <row r="8" spans="1:2">
      <c r="A8" s="223"/>
    </row>
    <row r="9" spans="1:2">
      <c r="A9" s="17" t="s">
        <v>501</v>
      </c>
    </row>
    <row r="10" spans="1:2">
      <c r="A10" s="17" t="s">
        <v>502</v>
      </c>
    </row>
    <row r="11" spans="1:2" ht="18" customHeight="1">
      <c r="A11" s="228" t="s">
        <v>430</v>
      </c>
    </row>
    <row r="12" spans="1:2">
      <c r="A12" s="223"/>
    </row>
    <row r="13" spans="1:2" ht="25.5">
      <c r="A13" s="363" t="s">
        <v>525</v>
      </c>
      <c r="B13" s="355"/>
    </row>
    <row r="14" spans="1:2">
      <c r="A14" s="15"/>
    </row>
    <row r="15" spans="1:2" ht="25.5">
      <c r="A15" s="368" t="s">
        <v>517</v>
      </c>
    </row>
    <row r="16" spans="1:2">
      <c r="A16" s="368"/>
    </row>
    <row r="17" spans="1:1" ht="38.25">
      <c r="A17" s="370" t="s">
        <v>431</v>
      </c>
    </row>
    <row r="18" spans="1:1">
      <c r="A18" s="230" t="s">
        <v>243</v>
      </c>
    </row>
    <row r="19" spans="1:1">
      <c r="A19" s="230"/>
    </row>
    <row r="20" spans="1:1" ht="15">
      <c r="A20" s="226" t="s">
        <v>15</v>
      </c>
    </row>
    <row r="21" spans="1:1">
      <c r="A21" s="223"/>
    </row>
    <row r="22" spans="1:1">
      <c r="A22" s="20" t="s">
        <v>523</v>
      </c>
    </row>
    <row r="23" spans="1:1">
      <c r="A23" s="20"/>
    </row>
    <row r="24" spans="1:1">
      <c r="A24" s="231" t="s">
        <v>538</v>
      </c>
    </row>
    <row r="25" spans="1:1">
      <c r="A25" s="231" t="s">
        <v>539</v>
      </c>
    </row>
    <row r="26" spans="1:1">
      <c r="A26" s="231" t="s">
        <v>540</v>
      </c>
    </row>
    <row r="27" spans="1:1">
      <c r="A27" s="224" t="s">
        <v>541</v>
      </c>
    </row>
    <row r="28" spans="1:1">
      <c r="A28" s="224"/>
    </row>
    <row r="29" spans="1:1">
      <c r="A29" s="15" t="s">
        <v>432</v>
      </c>
    </row>
    <row r="30" spans="1:1">
      <c r="A30" s="15" t="s">
        <v>503</v>
      </c>
    </row>
    <row r="31" spans="1:1">
      <c r="A31" s="3" t="s">
        <v>542</v>
      </c>
    </row>
    <row r="32" spans="1:1">
      <c r="A32" s="3" t="s">
        <v>504</v>
      </c>
    </row>
    <row r="33" spans="1:1">
      <c r="A33" s="3" t="s">
        <v>530</v>
      </c>
    </row>
    <row r="34" spans="1:1">
      <c r="A34" s="3" t="s">
        <v>526</v>
      </c>
    </row>
    <row r="35" spans="1:1">
      <c r="A35" s="3" t="s">
        <v>433</v>
      </c>
    </row>
    <row r="37" spans="1:1" ht="9" customHeight="1"/>
    <row r="38" spans="1:1">
      <c r="A38" s="225"/>
    </row>
    <row r="39" spans="1:1">
      <c r="A39" s="16"/>
    </row>
    <row r="40" spans="1:1">
      <c r="A40" s="21"/>
    </row>
    <row r="41" spans="1:1">
      <c r="A41" s="14"/>
    </row>
    <row r="42" spans="1:1">
      <c r="A42" s="4"/>
    </row>
    <row r="43" spans="1:1" ht="13.5" customHeight="1">
      <c r="A43" s="21"/>
    </row>
    <row r="45" spans="1:1">
      <c r="A45" s="21"/>
    </row>
    <row r="46" spans="1:1">
      <c r="A46" s="4"/>
    </row>
    <row r="47" spans="1:1" ht="53.25" customHeight="1"/>
    <row r="48" spans="1:1" s="22" customFormat="1">
      <c r="A48" s="15"/>
    </row>
    <row r="49" spans="1:1" ht="25.5" customHeight="1">
      <c r="A49" s="17"/>
    </row>
    <row r="50" spans="1:1" s="22" customFormat="1">
      <c r="A50" s="15"/>
    </row>
    <row r="51" spans="1:1">
      <c r="A51" s="17"/>
    </row>
    <row r="52" spans="1:1" s="22" customFormat="1">
      <c r="A52" s="15"/>
    </row>
    <row r="53" spans="1:1">
      <c r="A53" s="22"/>
    </row>
    <row r="54" spans="1:1">
      <c r="A54" s="17"/>
    </row>
    <row r="55" spans="1:1">
      <c r="A55" s="17"/>
    </row>
    <row r="56" spans="1:1">
      <c r="A56" s="17"/>
    </row>
    <row r="63" spans="1:1">
      <c r="A63" s="17"/>
    </row>
    <row r="64" spans="1:1">
      <c r="A64" s="19"/>
    </row>
    <row r="65" spans="1:1">
      <c r="A65" s="23"/>
    </row>
    <row r="68" spans="1:1">
      <c r="A68" s="24"/>
    </row>
  </sheetData>
  <mergeCells count="1">
    <mergeCell ref="A4:A5"/>
  </mergeCells>
  <phoneticPr fontId="0" type="noConversion"/>
  <hyperlinks>
    <hyperlink ref="A18" r:id="rId1"/>
    <hyperlink ref="A11" r:id="rId2"/>
  </hyperlinks>
  <pageMargins left="0.75" right="0.75" top="1" bottom="1" header="0.5" footer="0.5"/>
  <pageSetup paperSize="9" orientation="portrait" r:id="rId3"/>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2"/>
  <dimension ref="A1:A33"/>
  <sheetViews>
    <sheetView showGridLines="0" zoomScaleNormal="100" zoomScaleSheetLayoutView="79" workbookViewId="0"/>
  </sheetViews>
  <sheetFormatPr defaultRowHeight="8.25"/>
  <cols>
    <col min="1" max="1" width="98.42578125" style="2" customWidth="1"/>
    <col min="2" max="16384" width="9.140625" style="1"/>
  </cols>
  <sheetData>
    <row r="1" spans="1:1" s="356" customFormat="1" ht="15">
      <c r="A1" s="361" t="s">
        <v>244</v>
      </c>
    </row>
    <row r="2" spans="1:1" s="356" customFormat="1" ht="33.75" customHeight="1">
      <c r="A2" s="362" t="s">
        <v>485</v>
      </c>
    </row>
    <row r="3" spans="1:1" s="356" customFormat="1" ht="15" customHeight="1">
      <c r="A3" s="362" t="s">
        <v>486</v>
      </c>
    </row>
    <row r="4" spans="1:1" s="356" customFormat="1" ht="15.75" customHeight="1">
      <c r="A4" s="362" t="s">
        <v>487</v>
      </c>
    </row>
    <row r="5" spans="1:1" s="356" customFormat="1" ht="33.75" customHeight="1">
      <c r="A5" s="363" t="s">
        <v>488</v>
      </c>
    </row>
    <row r="6" spans="1:1" s="356" customFormat="1" ht="54.75" customHeight="1">
      <c r="A6" s="363" t="s">
        <v>505</v>
      </c>
    </row>
    <row r="7" spans="1:1" s="356" customFormat="1" ht="22.5" customHeight="1">
      <c r="A7" s="363" t="s">
        <v>489</v>
      </c>
    </row>
    <row r="8" spans="1:1" s="357" customFormat="1" ht="22.5" customHeight="1">
      <c r="A8" s="362" t="s">
        <v>490</v>
      </c>
    </row>
    <row r="9" spans="1:1" s="357" customFormat="1" ht="25.5">
      <c r="A9" s="362" t="s">
        <v>543</v>
      </c>
    </row>
    <row r="10" spans="1:1" s="356" customFormat="1" ht="32.25" customHeight="1">
      <c r="A10" s="362" t="s">
        <v>491</v>
      </c>
    </row>
    <row r="11" spans="1:1" s="358" customFormat="1" ht="22.5" customHeight="1">
      <c r="A11" s="20" t="s">
        <v>544</v>
      </c>
    </row>
    <row r="12" spans="1:1" s="356" customFormat="1" ht="33.75" customHeight="1">
      <c r="A12" s="20" t="s">
        <v>492</v>
      </c>
    </row>
    <row r="13" spans="1:1" s="356" customFormat="1" ht="33.75" customHeight="1">
      <c r="A13" s="362" t="s">
        <v>16</v>
      </c>
    </row>
    <row r="14" spans="1:1" s="356" customFormat="1" ht="46.5" customHeight="1">
      <c r="A14" s="362" t="s">
        <v>14</v>
      </c>
    </row>
    <row r="15" spans="1:1" s="356" customFormat="1" ht="8.25" customHeight="1">
      <c r="A15" s="364"/>
    </row>
    <row r="16" spans="1:1" s="356" customFormat="1" ht="15">
      <c r="A16" s="361" t="s">
        <v>247</v>
      </c>
    </row>
    <row r="17" spans="1:1" s="356" customFormat="1" ht="33" customHeight="1">
      <c r="A17" s="20" t="s">
        <v>524</v>
      </c>
    </row>
    <row r="18" spans="1:1" s="356" customFormat="1" ht="33.75" customHeight="1">
      <c r="A18" s="363" t="s">
        <v>493</v>
      </c>
    </row>
    <row r="19" spans="1:1" s="356" customFormat="1" ht="86.25" customHeight="1">
      <c r="A19" s="367" t="s">
        <v>511</v>
      </c>
    </row>
    <row r="20" spans="1:1" s="356" customFormat="1" ht="18" customHeight="1">
      <c r="A20" s="362" t="s">
        <v>245</v>
      </c>
    </row>
    <row r="21" spans="1:1" s="356" customFormat="1">
      <c r="A21" s="365"/>
    </row>
    <row r="22" spans="1:1" s="356" customFormat="1" ht="15">
      <c r="A22" s="361" t="s">
        <v>241</v>
      </c>
    </row>
    <row r="23" spans="1:1" s="356" customFormat="1" ht="59.25" customHeight="1">
      <c r="A23" s="363" t="s">
        <v>494</v>
      </c>
    </row>
    <row r="24" spans="1:1" s="356" customFormat="1" ht="33.75" customHeight="1">
      <c r="A24" s="363" t="s">
        <v>495</v>
      </c>
    </row>
    <row r="25" spans="1:1" s="356" customFormat="1" ht="30.75" customHeight="1">
      <c r="A25" s="363" t="s">
        <v>246</v>
      </c>
    </row>
    <row r="26" spans="1:1" s="356" customFormat="1" ht="18" customHeight="1">
      <c r="A26" s="366" t="s">
        <v>496</v>
      </c>
    </row>
    <row r="27" spans="1:1" s="356" customFormat="1">
      <c r="A27" s="364"/>
    </row>
    <row r="28" spans="1:1" s="356" customFormat="1" ht="15">
      <c r="A28" s="361" t="s">
        <v>497</v>
      </c>
    </row>
    <row r="29" spans="1:1" s="356" customFormat="1" ht="18" customHeight="1">
      <c r="A29" s="362" t="s">
        <v>498</v>
      </c>
    </row>
    <row r="30" spans="1:1" s="356" customFormat="1" ht="18" customHeight="1">
      <c r="A30" s="362" t="s">
        <v>499</v>
      </c>
    </row>
    <row r="31" spans="1:1" s="356" customFormat="1" ht="38.25">
      <c r="A31" s="362" t="s">
        <v>510</v>
      </c>
    </row>
    <row r="32" spans="1:1" ht="18" customHeight="1"/>
    <row r="33" spans="1:1" ht="15.75" customHeight="1">
      <c r="A33" s="3"/>
    </row>
  </sheetData>
  <phoneticPr fontId="0" type="noConversion"/>
  <pageMargins left="0.75" right="0.75" top="0.62" bottom="0.47" header="0.5" footer="0.5"/>
  <pageSetup paperSize="9" scale="8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4">
    <pageSetUpPr fitToPage="1"/>
  </sheetPr>
  <dimension ref="A1:M38"/>
  <sheetViews>
    <sheetView showGridLines="0" zoomScaleNormal="100" workbookViewId="0">
      <selection activeCell="M21" sqref="M21"/>
    </sheetView>
  </sheetViews>
  <sheetFormatPr defaultRowHeight="18"/>
  <cols>
    <col min="1" max="1" width="1.7109375" style="26" customWidth="1"/>
    <col min="2" max="2" width="16.42578125" style="26" bestFit="1" customWidth="1"/>
    <col min="3" max="3" width="27.140625" style="26" customWidth="1"/>
    <col min="4" max="4" width="14.42578125" style="26" hidden="1" customWidth="1"/>
    <col min="5" max="5" width="2.28515625" style="26" customWidth="1"/>
    <col min="6" max="6" width="9.140625" style="26"/>
    <col min="7" max="7" width="2.28515625" style="26" customWidth="1"/>
    <col min="8" max="8" width="12.28515625" style="26" customWidth="1"/>
    <col min="9" max="9" width="17.5703125" style="26" customWidth="1"/>
    <col min="10" max="10" width="1.7109375" style="26" customWidth="1"/>
    <col min="11" max="16384" width="9.140625" style="26"/>
  </cols>
  <sheetData>
    <row r="1" spans="1:13" ht="15" customHeight="1">
      <c r="A1" s="25"/>
      <c r="B1" s="443" t="s">
        <v>17</v>
      </c>
      <c r="C1" s="443"/>
      <c r="D1" s="443"/>
      <c r="E1" s="443"/>
      <c r="F1" s="443"/>
      <c r="G1" s="443"/>
      <c r="H1" s="443"/>
      <c r="I1" s="443"/>
      <c r="J1" s="25"/>
    </row>
    <row r="2" spans="1:13" ht="15" customHeight="1">
      <c r="A2" s="25"/>
      <c r="B2" s="443" t="s">
        <v>18</v>
      </c>
      <c r="C2" s="443"/>
      <c r="D2" s="443"/>
      <c r="E2" s="443"/>
      <c r="F2" s="443"/>
      <c r="G2" s="443"/>
      <c r="H2" s="443"/>
      <c r="I2" s="443"/>
      <c r="J2" s="25"/>
    </row>
    <row r="3" spans="1:13" ht="15" customHeight="1">
      <c r="A3" s="25"/>
      <c r="B3" s="443" t="str">
        <f>"Provincie "&amp;C5</f>
        <v>Provincie Provincie Groningen</v>
      </c>
      <c r="C3" s="443"/>
      <c r="D3" s="443"/>
      <c r="E3" s="443"/>
      <c r="F3" s="443"/>
      <c r="G3" s="443"/>
      <c r="H3" s="443"/>
      <c r="I3" s="443"/>
      <c r="J3" s="25"/>
      <c r="L3" s="27"/>
      <c r="M3" s="28"/>
    </row>
    <row r="4" spans="1:13" ht="15" customHeight="1" thickBot="1">
      <c r="A4" s="5"/>
      <c r="B4" s="5"/>
      <c r="C4" s="5"/>
      <c r="D4" s="5"/>
      <c r="E4" s="5"/>
      <c r="F4" s="5"/>
      <c r="G4" s="5"/>
      <c r="H4" s="5"/>
      <c r="I4" s="5"/>
      <c r="J4" s="5"/>
      <c r="L4" s="27"/>
      <c r="M4" s="28"/>
    </row>
    <row r="5" spans="1:13" ht="15" customHeight="1" thickTop="1">
      <c r="A5" s="213"/>
      <c r="B5" s="214" t="s">
        <v>248</v>
      </c>
      <c r="C5" s="451" t="s">
        <v>545</v>
      </c>
      <c r="D5" s="452"/>
      <c r="E5" s="215"/>
      <c r="F5" s="215"/>
      <c r="G5" s="216"/>
      <c r="H5" s="216" t="s">
        <v>394</v>
      </c>
      <c r="I5" s="217" t="str">
        <f>IF(OR(C5 = "aaaa",C6="xxxx"),"Gegevens invullen!","KRD"&amp;RIGHT(C7,2)&amp;C8&amp;"03"&amp;C6&amp;".XLS")</f>
        <v>KRD132030001.XLS</v>
      </c>
      <c r="J5" s="213"/>
    </row>
    <row r="6" spans="1:13" s="36" customFormat="1" ht="15" customHeight="1">
      <c r="A6" s="32"/>
      <c r="B6" s="33" t="s">
        <v>249</v>
      </c>
      <c r="C6" s="453" t="s">
        <v>551</v>
      </c>
      <c r="D6" s="454"/>
      <c r="E6" s="34"/>
      <c r="F6" s="34"/>
      <c r="G6" s="35"/>
      <c r="H6" s="35"/>
      <c r="I6" s="35"/>
      <c r="J6" s="32"/>
    </row>
    <row r="7" spans="1:13" ht="15" customHeight="1">
      <c r="A7" s="37"/>
      <c r="B7" s="116" t="s">
        <v>19</v>
      </c>
      <c r="C7" s="455">
        <v>2013</v>
      </c>
      <c r="D7" s="456"/>
      <c r="E7" s="37"/>
      <c r="F7" s="38"/>
      <c r="G7" s="38"/>
      <c r="H7" s="39"/>
      <c r="I7" s="40"/>
      <c r="J7" s="37"/>
    </row>
    <row r="8" spans="1:13" ht="15" customHeight="1">
      <c r="A8" s="39"/>
      <c r="B8" s="116" t="s">
        <v>20</v>
      </c>
      <c r="C8" s="457">
        <v>2</v>
      </c>
      <c r="D8" s="458"/>
      <c r="E8" s="39"/>
      <c r="F8" s="359" t="s">
        <v>507</v>
      </c>
      <c r="G8" s="38"/>
      <c r="H8" s="38"/>
      <c r="I8" s="40"/>
      <c r="J8" s="39"/>
    </row>
    <row r="9" spans="1:13" s="44" customFormat="1" ht="15" customHeight="1">
      <c r="A9" s="39"/>
      <c r="B9" s="41"/>
      <c r="C9" s="444" t="s">
        <v>21</v>
      </c>
      <c r="D9" s="444"/>
      <c r="E9" s="39"/>
      <c r="F9" s="42"/>
      <c r="G9" s="43"/>
      <c r="H9" s="43"/>
      <c r="I9" s="30"/>
      <c r="J9" s="39"/>
    </row>
    <row r="10" spans="1:13" ht="15" customHeight="1">
      <c r="A10" s="45"/>
      <c r="B10" s="45"/>
      <c r="C10" s="45"/>
      <c r="D10" s="45"/>
      <c r="E10" s="45"/>
      <c r="F10" s="45"/>
      <c r="G10" s="45"/>
      <c r="H10" s="45"/>
      <c r="I10" s="45"/>
      <c r="J10" s="45"/>
    </row>
    <row r="11" spans="1:13" s="5" customFormat="1" ht="39" customHeight="1">
      <c r="A11" s="46"/>
      <c r="B11" s="232" t="s">
        <v>0</v>
      </c>
      <c r="C11" s="459" t="s">
        <v>506</v>
      </c>
      <c r="D11" s="460"/>
      <c r="E11" s="460"/>
      <c r="F11" s="460"/>
      <c r="G11" s="460"/>
      <c r="H11" s="460"/>
      <c r="I11" s="460"/>
      <c r="J11" s="46"/>
    </row>
    <row r="12" spans="1:13" s="50" customFormat="1" ht="15" customHeight="1">
      <c r="A12" s="29"/>
      <c r="B12" s="49" t="s">
        <v>22</v>
      </c>
      <c r="C12" s="447" t="s">
        <v>546</v>
      </c>
      <c r="D12" s="447"/>
      <c r="E12" s="447"/>
      <c r="F12" s="447"/>
      <c r="G12" s="447"/>
      <c r="H12" s="447"/>
      <c r="I12" s="447"/>
      <c r="J12" s="29"/>
    </row>
    <row r="13" spans="1:13" s="5" customFormat="1" ht="15" customHeight="1">
      <c r="A13" s="29"/>
      <c r="B13" s="49" t="s">
        <v>23</v>
      </c>
      <c r="C13" s="446" t="s">
        <v>547</v>
      </c>
      <c r="D13" s="446"/>
      <c r="E13" s="446"/>
      <c r="F13" s="446"/>
      <c r="G13" s="446"/>
      <c r="H13" s="446"/>
      <c r="I13" s="446"/>
      <c r="J13" s="29"/>
    </row>
    <row r="14" spans="1:13" s="5" customFormat="1" ht="15" customHeight="1">
      <c r="A14" s="29"/>
      <c r="B14" s="49" t="s">
        <v>24</v>
      </c>
      <c r="C14" s="446" t="s">
        <v>548</v>
      </c>
      <c r="D14" s="446"/>
      <c r="E14" s="446"/>
      <c r="F14" s="446"/>
      <c r="G14" s="446"/>
      <c r="H14" s="446"/>
      <c r="I14" s="446"/>
      <c r="J14" s="29"/>
    </row>
    <row r="15" spans="1:13" s="5" customFormat="1" ht="15" customHeight="1">
      <c r="A15" s="29"/>
      <c r="B15" s="49" t="s">
        <v>25</v>
      </c>
      <c r="C15" s="446" t="s">
        <v>549</v>
      </c>
      <c r="D15" s="446"/>
      <c r="E15" s="446"/>
      <c r="F15" s="446"/>
      <c r="G15" s="446"/>
      <c r="H15" s="446"/>
      <c r="I15" s="446"/>
      <c r="J15" s="29"/>
    </row>
    <row r="16" spans="1:13" s="5" customFormat="1" ht="15" customHeight="1">
      <c r="A16" s="29"/>
      <c r="B16" s="49" t="s">
        <v>26</v>
      </c>
      <c r="C16" s="450" t="s">
        <v>550</v>
      </c>
      <c r="D16" s="446"/>
      <c r="E16" s="446"/>
      <c r="F16" s="446"/>
      <c r="G16" s="446"/>
      <c r="H16" s="446"/>
      <c r="I16" s="446"/>
      <c r="J16" s="29"/>
    </row>
    <row r="17" spans="1:10" s="5" customFormat="1" ht="15" customHeight="1">
      <c r="A17" s="29"/>
      <c r="B17" s="49" t="s">
        <v>27</v>
      </c>
      <c r="C17" s="449">
        <v>41478</v>
      </c>
      <c r="D17" s="449"/>
      <c r="E17" s="449"/>
      <c r="F17" s="449"/>
      <c r="G17" s="449"/>
      <c r="H17" s="449"/>
      <c r="I17" s="449"/>
      <c r="J17" s="29"/>
    </row>
    <row r="18" spans="1:10" s="5" customFormat="1" ht="9" customHeight="1">
      <c r="A18" s="29"/>
      <c r="B18" s="29"/>
      <c r="C18" s="29"/>
      <c r="D18" s="29"/>
      <c r="E18" s="29"/>
      <c r="F18" s="29"/>
      <c r="G18" s="29"/>
      <c r="H18" s="29"/>
      <c r="I18" s="29"/>
      <c r="J18" s="29"/>
    </row>
    <row r="19" spans="1:10" ht="15" customHeight="1"/>
    <row r="20" spans="1:10" ht="15" customHeight="1">
      <c r="A20" s="51"/>
      <c r="B20" s="51" t="s">
        <v>28</v>
      </c>
      <c r="C20" s="51"/>
      <c r="D20" s="51"/>
      <c r="E20" s="51"/>
      <c r="F20" s="51"/>
      <c r="G20" s="51"/>
      <c r="H20" s="51"/>
      <c r="I20" s="51"/>
      <c r="J20" s="51"/>
    </row>
    <row r="21" spans="1:10" ht="9" customHeight="1">
      <c r="A21" s="52"/>
      <c r="B21" s="52"/>
      <c r="C21" s="52"/>
      <c r="D21" s="52"/>
      <c r="E21" s="52"/>
      <c r="F21" s="52"/>
      <c r="G21" s="52"/>
      <c r="H21" s="52"/>
      <c r="I21" s="52"/>
      <c r="J21" s="52"/>
    </row>
    <row r="22" spans="1:10" ht="15" customHeight="1">
      <c r="A22" s="52"/>
      <c r="B22" s="448"/>
      <c r="C22" s="448"/>
      <c r="D22" s="448"/>
      <c r="E22" s="448"/>
      <c r="F22" s="448"/>
      <c r="G22" s="448"/>
      <c r="H22" s="448"/>
      <c r="I22" s="448"/>
      <c r="J22" s="52"/>
    </row>
    <row r="23" spans="1:10" ht="15" customHeight="1">
      <c r="A23" s="52"/>
      <c r="B23" s="445"/>
      <c r="C23" s="445"/>
      <c r="D23" s="445"/>
      <c r="E23" s="445"/>
      <c r="F23" s="445"/>
      <c r="G23" s="445"/>
      <c r="H23" s="445"/>
      <c r="I23" s="445"/>
      <c r="J23" s="52"/>
    </row>
    <row r="24" spans="1:10" ht="15" customHeight="1">
      <c r="A24" s="52"/>
      <c r="B24" s="445"/>
      <c r="C24" s="445"/>
      <c r="D24" s="445"/>
      <c r="E24" s="445"/>
      <c r="F24" s="445"/>
      <c r="G24" s="445"/>
      <c r="H24" s="445"/>
      <c r="I24" s="445"/>
      <c r="J24" s="52"/>
    </row>
    <row r="25" spans="1:10" ht="15" customHeight="1">
      <c r="A25" s="52"/>
      <c r="B25" s="445"/>
      <c r="C25" s="445"/>
      <c r="D25" s="445"/>
      <c r="E25" s="445"/>
      <c r="F25" s="445"/>
      <c r="G25" s="445"/>
      <c r="H25" s="445"/>
      <c r="I25" s="445"/>
      <c r="J25" s="52"/>
    </row>
    <row r="26" spans="1:10" ht="15" customHeight="1">
      <c r="A26" s="52"/>
      <c r="B26" s="445"/>
      <c r="C26" s="445"/>
      <c r="D26" s="445"/>
      <c r="E26" s="445"/>
      <c r="F26" s="445"/>
      <c r="G26" s="445"/>
      <c r="H26" s="445"/>
      <c r="I26" s="445"/>
      <c r="J26" s="52"/>
    </row>
    <row r="27" spans="1:10" ht="15" customHeight="1">
      <c r="A27" s="52"/>
      <c r="B27" s="445"/>
      <c r="C27" s="445"/>
      <c r="D27" s="445"/>
      <c r="E27" s="445"/>
      <c r="F27" s="445"/>
      <c r="G27" s="445"/>
      <c r="H27" s="445"/>
      <c r="I27" s="445"/>
      <c r="J27" s="52"/>
    </row>
    <row r="28" spans="1:10" ht="15" customHeight="1">
      <c r="A28" s="52"/>
      <c r="B28" s="445"/>
      <c r="C28" s="445"/>
      <c r="D28" s="445"/>
      <c r="E28" s="445"/>
      <c r="F28" s="445"/>
      <c r="G28" s="445"/>
      <c r="H28" s="445"/>
      <c r="I28" s="445"/>
      <c r="J28" s="52"/>
    </row>
    <row r="29" spans="1:10" ht="15" customHeight="1">
      <c r="A29" s="52"/>
      <c r="B29" s="445"/>
      <c r="C29" s="445"/>
      <c r="D29" s="445"/>
      <c r="E29" s="445"/>
      <c r="F29" s="445"/>
      <c r="G29" s="445"/>
      <c r="H29" s="445"/>
      <c r="I29" s="445"/>
      <c r="J29" s="52"/>
    </row>
    <row r="30" spans="1:10" ht="15" customHeight="1">
      <c r="A30" s="52"/>
      <c r="B30" s="445"/>
      <c r="C30" s="445"/>
      <c r="D30" s="445"/>
      <c r="E30" s="445"/>
      <c r="F30" s="445"/>
      <c r="G30" s="445"/>
      <c r="H30" s="445"/>
      <c r="I30" s="445"/>
      <c r="J30" s="52"/>
    </row>
    <row r="31" spans="1:10" ht="15" customHeight="1">
      <c r="A31" s="52"/>
      <c r="B31" s="445"/>
      <c r="C31" s="445"/>
      <c r="D31" s="445"/>
      <c r="E31" s="445"/>
      <c r="F31" s="445"/>
      <c r="G31" s="445"/>
      <c r="H31" s="445"/>
      <c r="I31" s="445"/>
      <c r="J31" s="52"/>
    </row>
    <row r="32" spans="1:10" ht="15" customHeight="1">
      <c r="A32" s="52"/>
      <c r="B32" s="445"/>
      <c r="C32" s="445"/>
      <c r="D32" s="445"/>
      <c r="E32" s="445"/>
      <c r="F32" s="445"/>
      <c r="G32" s="445"/>
      <c r="H32" s="445"/>
      <c r="I32" s="445"/>
      <c r="J32" s="52"/>
    </row>
    <row r="33" spans="1:10" ht="15" customHeight="1">
      <c r="A33" s="52"/>
      <c r="B33" s="445"/>
      <c r="C33" s="445"/>
      <c r="D33" s="445"/>
      <c r="E33" s="445"/>
      <c r="F33" s="445"/>
      <c r="G33" s="445"/>
      <c r="H33" s="445"/>
      <c r="I33" s="445"/>
      <c r="J33" s="52"/>
    </row>
    <row r="34" spans="1:10" ht="15" customHeight="1">
      <c r="A34" s="52"/>
      <c r="B34" s="445"/>
      <c r="C34" s="445"/>
      <c r="D34" s="445"/>
      <c r="E34" s="445"/>
      <c r="F34" s="445"/>
      <c r="G34" s="445"/>
      <c r="H34" s="445"/>
      <c r="I34" s="445"/>
      <c r="J34" s="52"/>
    </row>
    <row r="35" spans="1:10" ht="15" customHeight="1">
      <c r="A35" s="52"/>
      <c r="B35" s="445"/>
      <c r="C35" s="445"/>
      <c r="D35" s="445"/>
      <c r="E35" s="445"/>
      <c r="F35" s="445"/>
      <c r="G35" s="445"/>
      <c r="H35" s="445"/>
      <c r="I35" s="445"/>
      <c r="J35" s="52"/>
    </row>
    <row r="36" spans="1:10" ht="15" customHeight="1">
      <c r="A36" s="52"/>
      <c r="B36" s="445"/>
      <c r="C36" s="445"/>
      <c r="D36" s="445"/>
      <c r="E36" s="445"/>
      <c r="F36" s="445"/>
      <c r="G36" s="445"/>
      <c r="H36" s="445"/>
      <c r="I36" s="445"/>
      <c r="J36" s="52"/>
    </row>
    <row r="37" spans="1:10" ht="15" customHeight="1">
      <c r="A37" s="52"/>
      <c r="B37" s="445"/>
      <c r="C37" s="445"/>
      <c r="D37" s="445"/>
      <c r="E37" s="445"/>
      <c r="F37" s="445"/>
      <c r="G37" s="445"/>
      <c r="H37" s="445"/>
      <c r="I37" s="445"/>
      <c r="J37" s="52"/>
    </row>
    <row r="38" spans="1:10" ht="12" customHeight="1">
      <c r="A38" s="53"/>
      <c r="B38" s="53"/>
      <c r="C38" s="53"/>
      <c r="D38" s="53"/>
      <c r="E38" s="53"/>
      <c r="F38" s="53"/>
      <c r="G38" s="53"/>
      <c r="H38" s="53"/>
      <c r="I38" s="53"/>
      <c r="J38" s="53"/>
    </row>
  </sheetData>
  <mergeCells count="31">
    <mergeCell ref="C7:D7"/>
    <mergeCell ref="B26:I26"/>
    <mergeCell ref="C8:D8"/>
    <mergeCell ref="C14:I14"/>
    <mergeCell ref="C11:I11"/>
    <mergeCell ref="B36:I36"/>
    <mergeCell ref="B37:I37"/>
    <mergeCell ref="B34:I34"/>
    <mergeCell ref="B35:I35"/>
    <mergeCell ref="B27:I27"/>
    <mergeCell ref="B33:I33"/>
    <mergeCell ref="B28:I28"/>
    <mergeCell ref="B29:I29"/>
    <mergeCell ref="B30:I30"/>
    <mergeCell ref="B31:I31"/>
    <mergeCell ref="B1:I1"/>
    <mergeCell ref="B2:I2"/>
    <mergeCell ref="B3:I3"/>
    <mergeCell ref="C9:D9"/>
    <mergeCell ref="B32:I32"/>
    <mergeCell ref="C13:I13"/>
    <mergeCell ref="C12:I12"/>
    <mergeCell ref="B22:I22"/>
    <mergeCell ref="B23:I23"/>
    <mergeCell ref="B24:I24"/>
    <mergeCell ref="B25:I25"/>
    <mergeCell ref="C17:I17"/>
    <mergeCell ref="C16:I16"/>
    <mergeCell ref="C15:I15"/>
    <mergeCell ref="C5:D5"/>
    <mergeCell ref="C6:D6"/>
  </mergeCells>
  <phoneticPr fontId="0" type="noConversion"/>
  <conditionalFormatting sqref="I5">
    <cfRule type="cellIs" dxfId="2" priority="1" stopIfTrue="1" operator="equal">
      <formula>"Gegevens invullen!"</formula>
    </cfRule>
  </conditionalFormatting>
  <hyperlinks>
    <hyperlink ref="C16" r:id="rId1"/>
  </hyperlinks>
  <printOptions horizontalCentered="1"/>
  <pageMargins left="0.17" right="0.17" top="0.67" bottom="0.39" header="0.51181102362204722" footer="0.4"/>
  <pageSetup paperSize="9" orientation="portrait" r:id="rId2"/>
  <headerFooter alignWithMargins="0">
    <oddFooter>&amp;C&amp;F&amp;R&amp;D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5">
    <pageSetUpPr fitToPage="1"/>
  </sheetPr>
  <dimension ref="A1:AE172"/>
  <sheetViews>
    <sheetView showGridLines="0" showZeros="0" zoomScale="75" zoomScaleNormal="100" workbookViewId="0">
      <pane xSplit="2" ySplit="4" topLeftCell="M108" activePane="bottomRight" state="frozen"/>
      <selection activeCell="I10" sqref="I10"/>
      <selection pane="topRight" activeCell="I10" sqref="I10"/>
      <selection pane="bottomLeft" activeCell="I10" sqref="I10"/>
      <selection pane="bottomRight" activeCell="A114" sqref="A114:XFD114"/>
    </sheetView>
  </sheetViews>
  <sheetFormatPr defaultRowHeight="14.25"/>
  <cols>
    <col min="1" max="1" width="13.140625" style="66" customWidth="1"/>
    <col min="2" max="2" width="89.7109375" style="66" customWidth="1"/>
    <col min="3" max="20" width="8.7109375" style="66" customWidth="1"/>
    <col min="21" max="23" width="8.7109375" style="66" hidden="1" customWidth="1"/>
    <col min="24" max="30" width="8.7109375" style="66" customWidth="1"/>
    <col min="31" max="16384" width="9.140625" style="144"/>
  </cols>
  <sheetData>
    <row r="1" spans="1:31" s="118" customFormat="1" ht="18">
      <c r="A1" s="54" t="str">
        <f>"Verdelingsmatrix provincie "&amp;+'4.Informatie'!C5&amp;" ("&amp;'4.Informatie'!C6&amp;"): "&amp;'4.Informatie'!C7&amp;" periode "&amp;'4.Informatie'!C8&amp;", lasten"</f>
        <v>Verdelingsmatrix provincie Provincie Groningen (0001): 2013 periode 2, lasten</v>
      </c>
      <c r="B1" s="55"/>
      <c r="C1" s="163" t="s">
        <v>29</v>
      </c>
      <c r="D1" s="163" t="s">
        <v>30</v>
      </c>
      <c r="E1" s="56" t="s">
        <v>31</v>
      </c>
      <c r="F1" s="56" t="s">
        <v>251</v>
      </c>
      <c r="G1" s="56" t="s">
        <v>252</v>
      </c>
      <c r="H1" s="56" t="s">
        <v>32</v>
      </c>
      <c r="I1" s="56" t="s">
        <v>33</v>
      </c>
      <c r="J1" s="56" t="s">
        <v>253</v>
      </c>
      <c r="K1" s="56" t="s">
        <v>254</v>
      </c>
      <c r="L1" s="56" t="s">
        <v>35</v>
      </c>
      <c r="M1" s="56" t="s">
        <v>203</v>
      </c>
      <c r="N1" s="56" t="s">
        <v>204</v>
      </c>
      <c r="O1" s="56" t="s">
        <v>205</v>
      </c>
      <c r="P1" s="56" t="s">
        <v>37</v>
      </c>
      <c r="Q1" s="56" t="s">
        <v>38</v>
      </c>
      <c r="R1" s="56" t="s">
        <v>255</v>
      </c>
      <c r="S1" s="56" t="s">
        <v>45</v>
      </c>
      <c r="T1" s="56" t="s">
        <v>256</v>
      </c>
      <c r="U1" s="56" t="s">
        <v>257</v>
      </c>
      <c r="V1" s="56" t="s">
        <v>258</v>
      </c>
      <c r="W1" s="56" t="s">
        <v>259</v>
      </c>
      <c r="X1" s="56" t="s">
        <v>260</v>
      </c>
      <c r="Y1" s="56" t="s">
        <v>261</v>
      </c>
      <c r="Z1" s="56" t="s">
        <v>262</v>
      </c>
      <c r="AA1" s="56" t="s">
        <v>263</v>
      </c>
      <c r="AB1" s="56" t="s">
        <v>264</v>
      </c>
      <c r="AC1" s="57" t="s">
        <v>265</v>
      </c>
      <c r="AD1" s="58"/>
      <c r="AE1" s="117"/>
    </row>
    <row r="2" spans="1:31" s="119" customFormat="1" ht="125.25" customHeight="1" thickBot="1">
      <c r="A2" s="59" t="s">
        <v>47</v>
      </c>
      <c r="B2" s="60" t="s">
        <v>48</v>
      </c>
      <c r="C2" s="206" t="s">
        <v>426</v>
      </c>
      <c r="D2" s="208" t="s">
        <v>49</v>
      </c>
      <c r="E2" s="209" t="s">
        <v>50</v>
      </c>
      <c r="F2" s="209" t="s">
        <v>266</v>
      </c>
      <c r="G2" s="209" t="s">
        <v>267</v>
      </c>
      <c r="H2" s="209" t="s">
        <v>268</v>
      </c>
      <c r="I2" s="209" t="s">
        <v>269</v>
      </c>
      <c r="J2" s="209" t="s">
        <v>52</v>
      </c>
      <c r="K2" s="209" t="s">
        <v>51</v>
      </c>
      <c r="L2" s="209" t="s">
        <v>270</v>
      </c>
      <c r="M2" s="209" t="s">
        <v>271</v>
      </c>
      <c r="N2" s="209" t="s">
        <v>272</v>
      </c>
      <c r="O2" s="209" t="s">
        <v>273</v>
      </c>
      <c r="P2" s="209" t="s">
        <v>274</v>
      </c>
      <c r="Q2" s="209" t="s">
        <v>396</v>
      </c>
      <c r="R2" s="209" t="s">
        <v>275</v>
      </c>
      <c r="S2" s="209" t="s">
        <v>276</v>
      </c>
      <c r="T2" s="209" t="s">
        <v>277</v>
      </c>
      <c r="U2" s="209" t="s">
        <v>53</v>
      </c>
      <c r="V2" s="209" t="s">
        <v>278</v>
      </c>
      <c r="W2" s="209" t="s">
        <v>54</v>
      </c>
      <c r="X2" s="209" t="s">
        <v>55</v>
      </c>
      <c r="Y2" s="209" t="s">
        <v>56</v>
      </c>
      <c r="Z2" s="209" t="s">
        <v>57</v>
      </c>
      <c r="AA2" s="209" t="s">
        <v>58</v>
      </c>
      <c r="AB2" s="209" t="s">
        <v>279</v>
      </c>
      <c r="AC2" s="210" t="s">
        <v>59</v>
      </c>
      <c r="AD2" s="211" t="s">
        <v>397</v>
      </c>
    </row>
    <row r="3" spans="1:31" s="119" customFormat="1" ht="2.25" customHeight="1">
      <c r="A3" s="120"/>
      <c r="B3" s="164"/>
      <c r="C3" s="152"/>
      <c r="D3" s="123"/>
      <c r="E3" s="123"/>
      <c r="F3" s="123"/>
      <c r="G3" s="123"/>
      <c r="H3" s="123"/>
      <c r="I3" s="123"/>
      <c r="J3" s="123"/>
      <c r="K3" s="123"/>
      <c r="L3" s="123"/>
      <c r="M3" s="123"/>
      <c r="N3" s="123"/>
      <c r="O3" s="123"/>
      <c r="P3" s="123"/>
      <c r="Q3" s="123"/>
      <c r="R3" s="123"/>
      <c r="S3" s="123"/>
      <c r="T3" s="123"/>
      <c r="U3" s="123"/>
      <c r="V3" s="123"/>
      <c r="W3" s="123"/>
      <c r="X3" s="123"/>
      <c r="Y3" s="123"/>
      <c r="Z3" s="123"/>
      <c r="AA3" s="123"/>
      <c r="AB3" s="123"/>
      <c r="AC3" s="123"/>
      <c r="AD3" s="207"/>
    </row>
    <row r="4" spans="1:31" s="119" customFormat="1" ht="2.25" customHeight="1">
      <c r="A4" s="121"/>
      <c r="B4" s="165"/>
      <c r="C4" s="151"/>
      <c r="D4" s="122"/>
      <c r="E4" s="122"/>
      <c r="F4" s="122"/>
      <c r="G4" s="122"/>
      <c r="H4" s="122"/>
      <c r="I4" s="122"/>
      <c r="J4" s="122"/>
      <c r="K4" s="122"/>
      <c r="L4" s="122"/>
      <c r="M4" s="123"/>
      <c r="N4" s="122"/>
      <c r="O4" s="122"/>
      <c r="P4" s="122"/>
      <c r="Q4" s="122"/>
      <c r="R4" s="123"/>
      <c r="S4" s="122"/>
      <c r="T4" s="123"/>
      <c r="U4" s="123"/>
      <c r="V4" s="123"/>
      <c r="W4" s="123"/>
      <c r="X4" s="123"/>
      <c r="Y4" s="123"/>
      <c r="Z4" s="122"/>
      <c r="AA4" s="123"/>
      <c r="AB4" s="122"/>
      <c r="AC4" s="122"/>
      <c r="AD4" s="124"/>
    </row>
    <row r="5" spans="1:31" s="63" customFormat="1" ht="15">
      <c r="A5" s="115" t="s">
        <v>63</v>
      </c>
      <c r="B5" s="166" t="s">
        <v>61</v>
      </c>
      <c r="C5" s="218"/>
      <c r="D5" s="148"/>
      <c r="E5" s="148"/>
      <c r="F5" s="148"/>
      <c r="G5" s="148"/>
      <c r="H5" s="148"/>
      <c r="I5" s="148"/>
      <c r="J5" s="148"/>
      <c r="K5" s="148"/>
      <c r="L5" s="148"/>
      <c r="M5" s="149"/>
      <c r="N5" s="148"/>
      <c r="O5" s="148"/>
      <c r="P5" s="148"/>
      <c r="Q5" s="148"/>
      <c r="R5" s="149"/>
      <c r="S5" s="148"/>
      <c r="T5" s="149"/>
      <c r="U5" s="149"/>
      <c r="V5" s="149"/>
      <c r="W5" s="149"/>
      <c r="X5" s="149"/>
      <c r="Y5" s="149"/>
      <c r="Z5" s="148"/>
      <c r="AA5" s="149"/>
      <c r="AB5" s="148"/>
      <c r="AC5" s="148"/>
      <c r="AD5" s="150"/>
    </row>
    <row r="6" spans="1:31" s="63" customFormat="1">
      <c r="A6" s="125" t="s">
        <v>280</v>
      </c>
      <c r="B6" s="167" t="s">
        <v>281</v>
      </c>
      <c r="C6" s="397"/>
      <c r="D6" s="425">
        <f>2914.81/1000</f>
        <v>2.9148100000000001</v>
      </c>
      <c r="E6" s="401"/>
      <c r="F6" s="401"/>
      <c r="G6" s="401"/>
      <c r="H6" s="401"/>
      <c r="I6" s="401"/>
      <c r="J6" s="401">
        <f>695661.69/1000</f>
        <v>695.66168999999991</v>
      </c>
      <c r="K6" s="401"/>
      <c r="L6" s="401"/>
      <c r="M6" s="410"/>
      <c r="N6" s="401"/>
      <c r="O6" s="401">
        <f>258930/1000</f>
        <v>258.93</v>
      </c>
      <c r="P6" s="401"/>
      <c r="Q6" s="401"/>
      <c r="R6" s="401"/>
      <c r="S6" s="401">
        <f>(412.56)/1000</f>
        <v>0.41255999999999998</v>
      </c>
      <c r="T6" s="409"/>
      <c r="U6" s="398"/>
      <c r="V6" s="398"/>
      <c r="W6" s="398"/>
      <c r="X6" s="398"/>
      <c r="Y6" s="396"/>
      <c r="Z6" s="401"/>
      <c r="AA6" s="401"/>
      <c r="AB6" s="401"/>
      <c r="AC6" s="399"/>
      <c r="AD6" s="400">
        <f t="shared" ref="AD6:AD14" si="0">SUM(C6:AC6)</f>
        <v>957.91905999999994</v>
      </c>
      <c r="AE6" s="126"/>
    </row>
    <row r="7" spans="1:31" s="63" customFormat="1">
      <c r="A7" s="125" t="s">
        <v>30</v>
      </c>
      <c r="B7" s="167" t="s">
        <v>282</v>
      </c>
      <c r="C7" s="401"/>
      <c r="D7" s="425"/>
      <c r="E7" s="401"/>
      <c r="F7" s="401"/>
      <c r="G7" s="401"/>
      <c r="H7" s="401"/>
      <c r="I7" s="401"/>
      <c r="J7" s="401">
        <f>213354.6/1000</f>
        <v>213.3546</v>
      </c>
      <c r="K7" s="401"/>
      <c r="L7" s="401"/>
      <c r="M7" s="410"/>
      <c r="N7" s="401"/>
      <c r="O7" s="401">
        <f>5000/1000</f>
        <v>5</v>
      </c>
      <c r="P7" s="401"/>
      <c r="Q7" s="401"/>
      <c r="R7" s="401"/>
      <c r="S7" s="401"/>
      <c r="T7" s="409"/>
      <c r="U7" s="398"/>
      <c r="V7" s="398"/>
      <c r="W7" s="398"/>
      <c r="X7" s="398"/>
      <c r="Y7" s="396"/>
      <c r="Z7" s="401"/>
      <c r="AA7" s="401"/>
      <c r="AB7" s="401"/>
      <c r="AC7" s="399"/>
      <c r="AD7" s="400">
        <f t="shared" si="0"/>
        <v>218.3546</v>
      </c>
      <c r="AE7" s="126"/>
    </row>
    <row r="8" spans="1:31" s="63" customFormat="1">
      <c r="A8" s="125" t="s">
        <v>31</v>
      </c>
      <c r="B8" s="167" t="s">
        <v>283</v>
      </c>
      <c r="C8" s="401"/>
      <c r="D8" s="408"/>
      <c r="E8" s="426"/>
      <c r="F8" s="401"/>
      <c r="G8" s="401"/>
      <c r="H8" s="401"/>
      <c r="I8" s="401"/>
      <c r="J8" s="401"/>
      <c r="K8" s="401"/>
      <c r="L8" s="401"/>
      <c r="M8" s="410"/>
      <c r="N8" s="401"/>
      <c r="O8" s="401">
        <f>14775/1000</f>
        <v>14.775</v>
      </c>
      <c r="P8" s="401"/>
      <c r="Q8" s="401"/>
      <c r="R8" s="401"/>
      <c r="S8" s="401"/>
      <c r="T8" s="409"/>
      <c r="U8" s="398"/>
      <c r="V8" s="398"/>
      <c r="W8" s="398"/>
      <c r="X8" s="398"/>
      <c r="Y8" s="396"/>
      <c r="Z8" s="401"/>
      <c r="AA8" s="401"/>
      <c r="AB8" s="401"/>
      <c r="AC8" s="399"/>
      <c r="AD8" s="400">
        <f t="shared" si="0"/>
        <v>14.775</v>
      </c>
      <c r="AE8" s="126"/>
    </row>
    <row r="9" spans="1:31" s="63" customFormat="1">
      <c r="A9" s="125" t="s">
        <v>284</v>
      </c>
      <c r="B9" s="167" t="s">
        <v>285</v>
      </c>
      <c r="C9" s="401"/>
      <c r="D9" s="398"/>
      <c r="E9" s="396"/>
      <c r="F9" s="401"/>
      <c r="G9" s="401"/>
      <c r="H9" s="401"/>
      <c r="I9" s="401"/>
      <c r="J9" s="401">
        <f>86071.41/1000</f>
        <v>86.07141</v>
      </c>
      <c r="K9" s="401"/>
      <c r="L9" s="401"/>
      <c r="M9" s="410"/>
      <c r="N9" s="401"/>
      <c r="O9" s="401"/>
      <c r="P9" s="401"/>
      <c r="Q9" s="401"/>
      <c r="R9" s="401"/>
      <c r="S9" s="401"/>
      <c r="T9" s="409"/>
      <c r="U9" s="398"/>
      <c r="V9" s="398"/>
      <c r="W9" s="398"/>
      <c r="X9" s="398"/>
      <c r="Y9" s="396"/>
      <c r="Z9" s="401"/>
      <c r="AA9" s="401"/>
      <c r="AB9" s="401"/>
      <c r="AC9" s="399"/>
      <c r="AD9" s="400">
        <f t="shared" si="0"/>
        <v>86.07141</v>
      </c>
      <c r="AE9" s="126"/>
    </row>
    <row r="10" spans="1:31" s="63" customFormat="1">
      <c r="A10" s="125" t="s">
        <v>286</v>
      </c>
      <c r="B10" s="167" t="s">
        <v>287</v>
      </c>
      <c r="C10" s="401"/>
      <c r="D10" s="398"/>
      <c r="E10" s="396"/>
      <c r="F10" s="401"/>
      <c r="G10" s="401"/>
      <c r="H10" s="401"/>
      <c r="I10" s="401"/>
      <c r="J10" s="401"/>
      <c r="K10" s="401"/>
      <c r="L10" s="401"/>
      <c r="M10" s="410"/>
      <c r="N10" s="401"/>
      <c r="O10" s="401"/>
      <c r="P10" s="401"/>
      <c r="Q10" s="401"/>
      <c r="R10" s="401"/>
      <c r="S10" s="401"/>
      <c r="T10" s="409"/>
      <c r="U10" s="398"/>
      <c r="V10" s="398"/>
      <c r="W10" s="398"/>
      <c r="X10" s="398"/>
      <c r="Y10" s="396"/>
      <c r="Z10" s="401"/>
      <c r="AA10" s="401"/>
      <c r="AB10" s="401"/>
      <c r="AC10" s="399"/>
      <c r="AD10" s="400">
        <f t="shared" si="0"/>
        <v>0</v>
      </c>
      <c r="AE10" s="126"/>
    </row>
    <row r="11" spans="1:31" s="63" customFormat="1">
      <c r="A11" s="125" t="s">
        <v>288</v>
      </c>
      <c r="B11" s="167" t="s">
        <v>289</v>
      </c>
      <c r="C11" s="401"/>
      <c r="D11" s="398"/>
      <c r="E11" s="396"/>
      <c r="F11" s="401"/>
      <c r="G11" s="401"/>
      <c r="H11" s="401"/>
      <c r="I11" s="401"/>
      <c r="J11" s="401">
        <f>317128.03/1000</f>
        <v>317.12803000000002</v>
      </c>
      <c r="K11" s="401"/>
      <c r="L11" s="401"/>
      <c r="M11" s="410"/>
      <c r="N11" s="401"/>
      <c r="O11" s="401"/>
      <c r="P11" s="401"/>
      <c r="Q11" s="401"/>
      <c r="R11" s="401"/>
      <c r="S11" s="401"/>
      <c r="T11" s="409"/>
      <c r="U11" s="398"/>
      <c r="V11" s="398"/>
      <c r="W11" s="398"/>
      <c r="X11" s="398"/>
      <c r="Y11" s="396"/>
      <c r="Z11" s="401"/>
      <c r="AA11" s="401"/>
      <c r="AB11" s="401"/>
      <c r="AC11" s="399"/>
      <c r="AD11" s="400">
        <f t="shared" si="0"/>
        <v>317.12803000000002</v>
      </c>
      <c r="AE11" s="126"/>
    </row>
    <row r="12" spans="1:31" s="63" customFormat="1">
      <c r="A12" s="125" t="s">
        <v>290</v>
      </c>
      <c r="B12" s="167" t="s">
        <v>291</v>
      </c>
      <c r="C12" s="401"/>
      <c r="D12" s="398"/>
      <c r="E12" s="396"/>
      <c r="F12" s="401"/>
      <c r="G12" s="401"/>
      <c r="H12" s="401"/>
      <c r="I12" s="401"/>
      <c r="J12" s="401">
        <f>698816.26/1000</f>
        <v>698.81626000000006</v>
      </c>
      <c r="K12" s="401"/>
      <c r="L12" s="401"/>
      <c r="M12" s="410"/>
      <c r="N12" s="401">
        <f>13986.45/1000</f>
        <v>13.986450000000001</v>
      </c>
      <c r="O12" s="401">
        <f>694221.11/1000</f>
        <v>694.22110999999995</v>
      </c>
      <c r="P12" s="401"/>
      <c r="Q12" s="401"/>
      <c r="R12" s="401"/>
      <c r="S12" s="401">
        <f>(555.37)/1000</f>
        <v>0.55537000000000003</v>
      </c>
      <c r="T12" s="409"/>
      <c r="U12" s="398"/>
      <c r="V12" s="398"/>
      <c r="W12" s="398"/>
      <c r="X12" s="398"/>
      <c r="Y12" s="396"/>
      <c r="Z12" s="401"/>
      <c r="AA12" s="401"/>
      <c r="AB12" s="401"/>
      <c r="AC12" s="399"/>
      <c r="AD12" s="400">
        <f t="shared" si="0"/>
        <v>1407.5791899999999</v>
      </c>
      <c r="AE12" s="126"/>
    </row>
    <row r="13" spans="1:31" s="63" customFormat="1">
      <c r="A13" s="127" t="s">
        <v>292</v>
      </c>
      <c r="B13" s="168" t="s">
        <v>293</v>
      </c>
      <c r="C13" s="402"/>
      <c r="D13" s="398"/>
      <c r="E13" s="396"/>
      <c r="F13" s="402"/>
      <c r="G13" s="402"/>
      <c r="H13" s="402"/>
      <c r="I13" s="402"/>
      <c r="J13" s="402">
        <f>43068.72/1000</f>
        <v>43.068719999999999</v>
      </c>
      <c r="K13" s="402"/>
      <c r="L13" s="402">
        <f>-118.36/1000</f>
        <v>-0.11835999999999999</v>
      </c>
      <c r="M13" s="410"/>
      <c r="N13" s="402"/>
      <c r="O13" s="402">
        <f>-11500.53/1000</f>
        <v>-11.500530000000001</v>
      </c>
      <c r="P13" s="402"/>
      <c r="Q13" s="402"/>
      <c r="R13" s="402"/>
      <c r="S13" s="402"/>
      <c r="T13" s="409"/>
      <c r="U13" s="398"/>
      <c r="V13" s="398"/>
      <c r="W13" s="398"/>
      <c r="X13" s="398"/>
      <c r="Y13" s="396"/>
      <c r="Z13" s="402"/>
      <c r="AA13" s="402"/>
      <c r="AB13" s="402"/>
      <c r="AC13" s="403"/>
      <c r="AD13" s="404">
        <f t="shared" si="0"/>
        <v>31.449829999999995</v>
      </c>
      <c r="AE13" s="126"/>
    </row>
    <row r="14" spans="1:31" s="63" customFormat="1" ht="15" collapsed="1">
      <c r="A14" s="463" t="s">
        <v>66</v>
      </c>
      <c r="B14" s="464"/>
      <c r="C14" s="401">
        <f>SUM(C6:C13)</f>
        <v>0</v>
      </c>
      <c r="D14" s="425">
        <f t="shared" ref="D14:AC14" si="1">SUM(D6:D13)</f>
        <v>2.9148100000000001</v>
      </c>
      <c r="E14" s="401">
        <f t="shared" si="1"/>
        <v>0</v>
      </c>
      <c r="F14" s="401">
        <f t="shared" si="1"/>
        <v>0</v>
      </c>
      <c r="G14" s="401">
        <f t="shared" si="1"/>
        <v>0</v>
      </c>
      <c r="H14" s="401">
        <f t="shared" si="1"/>
        <v>0</v>
      </c>
      <c r="I14" s="401">
        <f t="shared" si="1"/>
        <v>0</v>
      </c>
      <c r="J14" s="401">
        <f t="shared" si="1"/>
        <v>2054.1007100000002</v>
      </c>
      <c r="K14" s="401">
        <f t="shared" si="1"/>
        <v>0</v>
      </c>
      <c r="L14" s="401">
        <f t="shared" si="1"/>
        <v>-0.11835999999999999</v>
      </c>
      <c r="M14" s="410">
        <f t="shared" si="1"/>
        <v>0</v>
      </c>
      <c r="N14" s="401">
        <f t="shared" si="1"/>
        <v>13.986450000000001</v>
      </c>
      <c r="O14" s="401">
        <f t="shared" si="1"/>
        <v>961.42557999999985</v>
      </c>
      <c r="P14" s="401">
        <f t="shared" si="1"/>
        <v>0</v>
      </c>
      <c r="Q14" s="401">
        <f t="shared" si="1"/>
        <v>0</v>
      </c>
      <c r="R14" s="401">
        <f t="shared" si="1"/>
        <v>0</v>
      </c>
      <c r="S14" s="401">
        <f t="shared" si="1"/>
        <v>0.96792999999999996</v>
      </c>
      <c r="T14" s="409">
        <f t="shared" si="1"/>
        <v>0</v>
      </c>
      <c r="U14" s="398">
        <f t="shared" si="1"/>
        <v>0</v>
      </c>
      <c r="V14" s="398">
        <f t="shared" si="1"/>
        <v>0</v>
      </c>
      <c r="W14" s="398">
        <f t="shared" si="1"/>
        <v>0</v>
      </c>
      <c r="X14" s="398">
        <f t="shared" si="1"/>
        <v>0</v>
      </c>
      <c r="Y14" s="396">
        <f t="shared" si="1"/>
        <v>0</v>
      </c>
      <c r="Z14" s="401">
        <f t="shared" si="1"/>
        <v>0</v>
      </c>
      <c r="AA14" s="401">
        <f t="shared" si="1"/>
        <v>0</v>
      </c>
      <c r="AB14" s="401">
        <f t="shared" si="1"/>
        <v>0</v>
      </c>
      <c r="AC14" s="399">
        <f t="shared" si="1"/>
        <v>0</v>
      </c>
      <c r="AD14" s="400">
        <f t="shared" si="0"/>
        <v>3033.2771199999997</v>
      </c>
      <c r="AE14" s="126"/>
    </row>
    <row r="15" spans="1:31" s="63" customFormat="1">
      <c r="A15" s="128"/>
      <c r="B15" s="65"/>
      <c r="C15" s="406"/>
      <c r="D15" s="406"/>
      <c r="E15" s="406"/>
      <c r="F15" s="406"/>
      <c r="G15" s="406"/>
      <c r="H15" s="406"/>
      <c r="I15" s="406"/>
      <c r="J15" s="406"/>
      <c r="K15" s="406"/>
      <c r="L15" s="406"/>
      <c r="M15" s="405"/>
      <c r="N15" s="406"/>
      <c r="O15" s="406"/>
      <c r="P15" s="406"/>
      <c r="Q15" s="406"/>
      <c r="R15" s="405"/>
      <c r="S15" s="406"/>
      <c r="T15" s="405"/>
      <c r="U15" s="405"/>
      <c r="V15" s="405"/>
      <c r="W15" s="405"/>
      <c r="X15" s="405"/>
      <c r="Y15" s="405"/>
      <c r="Z15" s="406"/>
      <c r="AA15" s="405"/>
      <c r="AB15" s="406"/>
      <c r="AC15" s="406"/>
      <c r="AD15" s="407"/>
      <c r="AE15" s="126"/>
    </row>
    <row r="16" spans="1:31" s="63" customFormat="1" ht="15">
      <c r="A16" s="130" t="s">
        <v>67</v>
      </c>
      <c r="B16" s="169" t="s">
        <v>64</v>
      </c>
      <c r="C16" s="406"/>
      <c r="D16" s="408"/>
      <c r="E16" s="408"/>
      <c r="F16" s="406"/>
      <c r="G16" s="406"/>
      <c r="H16" s="406"/>
      <c r="I16" s="406"/>
      <c r="J16" s="406"/>
      <c r="K16" s="406"/>
      <c r="L16" s="406"/>
      <c r="M16" s="408"/>
      <c r="N16" s="406"/>
      <c r="O16" s="406"/>
      <c r="P16" s="406"/>
      <c r="Q16" s="406"/>
      <c r="R16" s="408"/>
      <c r="S16" s="406"/>
      <c r="T16" s="408"/>
      <c r="U16" s="408"/>
      <c r="V16" s="408"/>
      <c r="W16" s="408"/>
      <c r="X16" s="408"/>
      <c r="Y16" s="408"/>
      <c r="Z16" s="406"/>
      <c r="AA16" s="408"/>
      <c r="AB16" s="406"/>
      <c r="AC16" s="406"/>
      <c r="AD16" s="407"/>
      <c r="AE16" s="126"/>
    </row>
    <row r="17" spans="1:31" s="63" customFormat="1">
      <c r="A17" s="125" t="s">
        <v>294</v>
      </c>
      <c r="B17" s="167" t="s">
        <v>295</v>
      </c>
      <c r="C17" s="397"/>
      <c r="D17" s="398"/>
      <c r="E17" s="396"/>
      <c r="F17" s="401"/>
      <c r="G17" s="401"/>
      <c r="H17" s="401"/>
      <c r="I17" s="401"/>
      <c r="J17" s="401">
        <f>32786.17/1000</f>
        <v>32.786169999999998</v>
      </c>
      <c r="K17" s="401"/>
      <c r="L17" s="401"/>
      <c r="M17" s="410"/>
      <c r="N17" s="401"/>
      <c r="O17" s="401"/>
      <c r="P17" s="401"/>
      <c r="Q17" s="401"/>
      <c r="R17" s="401"/>
      <c r="S17" s="401"/>
      <c r="T17" s="409"/>
      <c r="U17" s="398"/>
      <c r="V17" s="398"/>
      <c r="W17" s="398"/>
      <c r="X17" s="398"/>
      <c r="Y17" s="396"/>
      <c r="Z17" s="401"/>
      <c r="AA17" s="401"/>
      <c r="AB17" s="401"/>
      <c r="AC17" s="399"/>
      <c r="AD17" s="400">
        <f>SUM(C17:AC17)</f>
        <v>32.786169999999998</v>
      </c>
      <c r="AE17" s="126"/>
    </row>
    <row r="18" spans="1:31" s="63" customFormat="1">
      <c r="A18" s="125" t="s">
        <v>32</v>
      </c>
      <c r="B18" s="167" t="s">
        <v>65</v>
      </c>
      <c r="C18" s="401"/>
      <c r="D18" s="398"/>
      <c r="E18" s="396"/>
      <c r="F18" s="401"/>
      <c r="G18" s="401"/>
      <c r="H18" s="401"/>
      <c r="I18" s="401"/>
      <c r="J18" s="401"/>
      <c r="K18" s="401"/>
      <c r="L18" s="401"/>
      <c r="M18" s="410"/>
      <c r="N18" s="401"/>
      <c r="O18" s="401"/>
      <c r="P18" s="401"/>
      <c r="Q18" s="401"/>
      <c r="R18" s="401"/>
      <c r="S18" s="401"/>
      <c r="T18" s="409"/>
      <c r="U18" s="398"/>
      <c r="V18" s="398"/>
      <c r="W18" s="398"/>
      <c r="X18" s="398"/>
      <c r="Y18" s="396"/>
      <c r="Z18" s="401"/>
      <c r="AA18" s="401"/>
      <c r="AB18" s="401"/>
      <c r="AC18" s="399"/>
      <c r="AD18" s="400">
        <f>SUM(C18:AC18)</f>
        <v>0</v>
      </c>
      <c r="AE18" s="126"/>
    </row>
    <row r="19" spans="1:31" s="63" customFormat="1">
      <c r="A19" s="127" t="s">
        <v>33</v>
      </c>
      <c r="B19" s="168" t="s">
        <v>296</v>
      </c>
      <c r="C19" s="402"/>
      <c r="D19" s="398"/>
      <c r="E19" s="396"/>
      <c r="F19" s="402"/>
      <c r="G19" s="402"/>
      <c r="H19" s="402"/>
      <c r="I19" s="402"/>
      <c r="J19" s="402"/>
      <c r="K19" s="402"/>
      <c r="L19" s="402"/>
      <c r="M19" s="410"/>
      <c r="N19" s="402"/>
      <c r="O19" s="402"/>
      <c r="P19" s="402"/>
      <c r="Q19" s="402"/>
      <c r="R19" s="402"/>
      <c r="S19" s="402"/>
      <c r="T19" s="409"/>
      <c r="U19" s="398"/>
      <c r="V19" s="398"/>
      <c r="W19" s="398"/>
      <c r="X19" s="398"/>
      <c r="Y19" s="396"/>
      <c r="Z19" s="402"/>
      <c r="AA19" s="402"/>
      <c r="AB19" s="402"/>
      <c r="AC19" s="403"/>
      <c r="AD19" s="404">
        <f>SUM(C19:AC19)</f>
        <v>0</v>
      </c>
      <c r="AE19" s="126"/>
    </row>
    <row r="20" spans="1:31" s="63" customFormat="1" ht="15" collapsed="1">
      <c r="A20" s="463" t="s">
        <v>68</v>
      </c>
      <c r="B20" s="464"/>
      <c r="C20" s="401">
        <f>SUM(C17:C19)</f>
        <v>0</v>
      </c>
      <c r="D20" s="398">
        <f t="shared" ref="D20:AC20" si="2">SUM(D17:D19)</f>
        <v>0</v>
      </c>
      <c r="E20" s="396">
        <f t="shared" si="2"/>
        <v>0</v>
      </c>
      <c r="F20" s="401">
        <f t="shared" si="2"/>
        <v>0</v>
      </c>
      <c r="G20" s="401">
        <f t="shared" si="2"/>
        <v>0</v>
      </c>
      <c r="H20" s="401">
        <f t="shared" si="2"/>
        <v>0</v>
      </c>
      <c r="I20" s="401">
        <f t="shared" si="2"/>
        <v>0</v>
      </c>
      <c r="J20" s="401">
        <f t="shared" si="2"/>
        <v>32.786169999999998</v>
      </c>
      <c r="K20" s="401">
        <f t="shared" si="2"/>
        <v>0</v>
      </c>
      <c r="L20" s="401">
        <f t="shared" si="2"/>
        <v>0</v>
      </c>
      <c r="M20" s="410">
        <f t="shared" si="2"/>
        <v>0</v>
      </c>
      <c r="N20" s="401">
        <f t="shared" si="2"/>
        <v>0</v>
      </c>
      <c r="O20" s="401">
        <f t="shared" si="2"/>
        <v>0</v>
      </c>
      <c r="P20" s="401">
        <f t="shared" si="2"/>
        <v>0</v>
      </c>
      <c r="Q20" s="401">
        <f t="shared" si="2"/>
        <v>0</v>
      </c>
      <c r="R20" s="401">
        <f t="shared" si="2"/>
        <v>0</v>
      </c>
      <c r="S20" s="401">
        <f t="shared" si="2"/>
        <v>0</v>
      </c>
      <c r="T20" s="409">
        <f t="shared" si="2"/>
        <v>0</v>
      </c>
      <c r="U20" s="398">
        <f t="shared" si="2"/>
        <v>0</v>
      </c>
      <c r="V20" s="398">
        <f t="shared" si="2"/>
        <v>0</v>
      </c>
      <c r="W20" s="398">
        <f t="shared" si="2"/>
        <v>0</v>
      </c>
      <c r="X20" s="398">
        <f t="shared" si="2"/>
        <v>0</v>
      </c>
      <c r="Y20" s="396">
        <f t="shared" si="2"/>
        <v>0</v>
      </c>
      <c r="Z20" s="401">
        <f t="shared" si="2"/>
        <v>0</v>
      </c>
      <c r="AA20" s="401">
        <f t="shared" si="2"/>
        <v>0</v>
      </c>
      <c r="AB20" s="401">
        <f t="shared" si="2"/>
        <v>0</v>
      </c>
      <c r="AC20" s="399">
        <f t="shared" si="2"/>
        <v>0</v>
      </c>
      <c r="AD20" s="400">
        <f>SUM(C20:AC20)</f>
        <v>32.786169999999998</v>
      </c>
      <c r="AE20" s="126"/>
    </row>
    <row r="21" spans="1:31" s="63" customFormat="1">
      <c r="A21" s="128"/>
      <c r="B21" s="65"/>
      <c r="C21" s="406"/>
      <c r="D21" s="405"/>
      <c r="E21" s="405"/>
      <c r="F21" s="406"/>
      <c r="G21" s="406"/>
      <c r="H21" s="406"/>
      <c r="I21" s="406"/>
      <c r="J21" s="406"/>
      <c r="K21" s="406"/>
      <c r="L21" s="406"/>
      <c r="M21" s="405"/>
      <c r="N21" s="406"/>
      <c r="O21" s="406"/>
      <c r="P21" s="406"/>
      <c r="Q21" s="406"/>
      <c r="R21" s="405"/>
      <c r="S21" s="406"/>
      <c r="T21" s="405"/>
      <c r="U21" s="405"/>
      <c r="V21" s="405"/>
      <c r="W21" s="405"/>
      <c r="X21" s="405"/>
      <c r="Y21" s="405"/>
      <c r="Z21" s="406"/>
      <c r="AA21" s="405"/>
      <c r="AB21" s="406"/>
      <c r="AC21" s="406"/>
      <c r="AD21" s="407"/>
      <c r="AE21" s="126"/>
    </row>
    <row r="22" spans="1:31" s="63" customFormat="1" ht="15">
      <c r="A22" s="130" t="s">
        <v>69</v>
      </c>
      <c r="B22" s="169" t="s">
        <v>297</v>
      </c>
      <c r="C22" s="406"/>
      <c r="D22" s="408"/>
      <c r="E22" s="408"/>
      <c r="F22" s="406"/>
      <c r="G22" s="406"/>
      <c r="H22" s="406"/>
      <c r="I22" s="406"/>
      <c r="J22" s="406"/>
      <c r="K22" s="406"/>
      <c r="L22" s="406"/>
      <c r="M22" s="406"/>
      <c r="N22" s="406"/>
      <c r="O22" s="406"/>
      <c r="P22" s="406"/>
      <c r="Q22" s="406"/>
      <c r="R22" s="408"/>
      <c r="S22" s="406"/>
      <c r="T22" s="408"/>
      <c r="U22" s="408"/>
      <c r="V22" s="408"/>
      <c r="W22" s="408"/>
      <c r="X22" s="408"/>
      <c r="Y22" s="408"/>
      <c r="Z22" s="406"/>
      <c r="AA22" s="408"/>
      <c r="AB22" s="406"/>
      <c r="AC22" s="406"/>
      <c r="AD22" s="407"/>
      <c r="AE22" s="126"/>
    </row>
    <row r="23" spans="1:31" s="63" customFormat="1">
      <c r="A23" s="125" t="s">
        <v>35</v>
      </c>
      <c r="B23" s="167" t="s">
        <v>298</v>
      </c>
      <c r="C23" s="397"/>
      <c r="D23" s="398"/>
      <c r="E23" s="396"/>
      <c r="F23" s="401"/>
      <c r="G23" s="401"/>
      <c r="H23" s="401"/>
      <c r="I23" s="401"/>
      <c r="J23" s="401">
        <f>657272.58/1000</f>
        <v>657.27257999999995</v>
      </c>
      <c r="K23" s="401"/>
      <c r="L23" s="401"/>
      <c r="M23" s="401"/>
      <c r="N23" s="401">
        <f>-16246.2/1000</f>
        <v>-16.246200000000002</v>
      </c>
      <c r="O23" s="401">
        <f>5000/1000</f>
        <v>5</v>
      </c>
      <c r="P23" s="401">
        <f>661794/1000</f>
        <v>661.79399999999998</v>
      </c>
      <c r="Q23" s="401"/>
      <c r="R23" s="401"/>
      <c r="S23" s="401">
        <f>(40227.61)/1000</f>
        <v>40.227609999999999</v>
      </c>
      <c r="T23" s="409"/>
      <c r="U23" s="398"/>
      <c r="V23" s="398"/>
      <c r="W23" s="398"/>
      <c r="X23" s="398"/>
      <c r="Y23" s="396"/>
      <c r="Z23" s="401"/>
      <c r="AA23" s="401"/>
      <c r="AB23" s="401"/>
      <c r="AC23" s="399"/>
      <c r="AD23" s="400">
        <f t="shared" ref="AD23:AD28" si="3">SUM(C23:AC23)</f>
        <v>1348.0479899999998</v>
      </c>
      <c r="AE23" s="126"/>
    </row>
    <row r="24" spans="1:31" s="63" customFormat="1">
      <c r="A24" s="125" t="s">
        <v>36</v>
      </c>
      <c r="B24" s="167" t="s">
        <v>299</v>
      </c>
      <c r="C24" s="401"/>
      <c r="D24" s="398"/>
      <c r="E24" s="396"/>
      <c r="F24" s="401"/>
      <c r="G24" s="401"/>
      <c r="H24" s="401">
        <f>4010.72/1000</f>
        <v>4.0107200000000001</v>
      </c>
      <c r="I24" s="401">
        <f>1728.2/1000</f>
        <v>1.7282</v>
      </c>
      <c r="J24" s="401">
        <f>4253861.39/1000</f>
        <v>4253.86139</v>
      </c>
      <c r="K24" s="401">
        <f>9524.53/1000</f>
        <v>9.5245300000000004</v>
      </c>
      <c r="L24" s="401">
        <f>29787.96/1000</f>
        <v>29.787959999999998</v>
      </c>
      <c r="M24" s="427"/>
      <c r="N24" s="401"/>
      <c r="O24" s="401"/>
      <c r="P24" s="401"/>
      <c r="Q24" s="401"/>
      <c r="R24" s="401"/>
      <c r="S24" s="401">
        <f>(719.94)/1000</f>
        <v>0.71994000000000002</v>
      </c>
      <c r="T24" s="409"/>
      <c r="U24" s="398"/>
      <c r="V24" s="398"/>
      <c r="W24" s="398"/>
      <c r="X24" s="398"/>
      <c r="Y24" s="396"/>
      <c r="Z24" s="401"/>
      <c r="AA24" s="401"/>
      <c r="AB24" s="401"/>
      <c r="AC24" s="399"/>
      <c r="AD24" s="400">
        <f t="shared" si="3"/>
        <v>4299.6327399999991</v>
      </c>
      <c r="AE24" s="126"/>
    </row>
    <row r="25" spans="1:31" s="63" customFormat="1">
      <c r="A25" s="125" t="s">
        <v>300</v>
      </c>
      <c r="B25" s="167" t="s">
        <v>301</v>
      </c>
      <c r="C25" s="401"/>
      <c r="D25" s="398"/>
      <c r="E25" s="396"/>
      <c r="F25" s="401"/>
      <c r="G25" s="401"/>
      <c r="H25" s="401"/>
      <c r="I25" s="401"/>
      <c r="J25" s="401"/>
      <c r="K25" s="401"/>
      <c r="L25" s="401"/>
      <c r="M25" s="410"/>
      <c r="N25" s="401"/>
      <c r="O25" s="401"/>
      <c r="P25" s="401"/>
      <c r="Q25" s="401"/>
      <c r="R25" s="401"/>
      <c r="S25" s="401"/>
      <c r="T25" s="409"/>
      <c r="U25" s="398"/>
      <c r="V25" s="398"/>
      <c r="W25" s="398"/>
      <c r="X25" s="398"/>
      <c r="Y25" s="396"/>
      <c r="Z25" s="401"/>
      <c r="AA25" s="401"/>
      <c r="AB25" s="401"/>
      <c r="AC25" s="399"/>
      <c r="AD25" s="400">
        <f t="shared" si="3"/>
        <v>0</v>
      </c>
      <c r="AE25" s="126"/>
    </row>
    <row r="26" spans="1:31" s="63" customFormat="1">
      <c r="A26" s="125" t="s">
        <v>302</v>
      </c>
      <c r="B26" s="167" t="s">
        <v>303</v>
      </c>
      <c r="C26" s="401"/>
      <c r="D26" s="398"/>
      <c r="E26" s="396"/>
      <c r="F26" s="401"/>
      <c r="G26" s="401"/>
      <c r="H26" s="401"/>
      <c r="I26" s="401"/>
      <c r="J26" s="401">
        <f>1849927.7/1000</f>
        <v>1849.9277</v>
      </c>
      <c r="K26" s="401"/>
      <c r="L26" s="401">
        <f>7493.22/1000</f>
        <v>7.49322</v>
      </c>
      <c r="M26" s="428"/>
      <c r="N26" s="401"/>
      <c r="O26" s="401"/>
      <c r="P26" s="401">
        <f>500000/1000</f>
        <v>500</v>
      </c>
      <c r="Q26" s="401"/>
      <c r="R26" s="401"/>
      <c r="S26" s="401">
        <f>(359448.93)/1000</f>
        <v>359.44893000000002</v>
      </c>
      <c r="T26" s="409"/>
      <c r="U26" s="398"/>
      <c r="V26" s="398"/>
      <c r="W26" s="398"/>
      <c r="X26" s="398"/>
      <c r="Y26" s="396"/>
      <c r="Z26" s="401"/>
      <c r="AA26" s="401"/>
      <c r="AB26" s="401"/>
      <c r="AC26" s="399"/>
      <c r="AD26" s="400">
        <f t="shared" si="3"/>
        <v>2716.86985</v>
      </c>
      <c r="AE26" s="126"/>
    </row>
    <row r="27" spans="1:31" s="63" customFormat="1">
      <c r="A27" s="127" t="s">
        <v>202</v>
      </c>
      <c r="B27" s="168" t="s">
        <v>304</v>
      </c>
      <c r="C27" s="402"/>
      <c r="D27" s="398"/>
      <c r="E27" s="396"/>
      <c r="F27" s="402"/>
      <c r="G27" s="402"/>
      <c r="H27" s="402"/>
      <c r="I27" s="402"/>
      <c r="J27" s="402">
        <f>594272.63/1000</f>
        <v>594.27263000000005</v>
      </c>
      <c r="K27" s="402"/>
      <c r="L27" s="402"/>
      <c r="M27" s="402">
        <f>7210526.17/1000</f>
        <v>7210.5261700000001</v>
      </c>
      <c r="N27" s="402">
        <f>19976738.38/1000</f>
        <v>19976.738379999999</v>
      </c>
      <c r="O27" s="402">
        <f>1703500/1000</f>
        <v>1703.5</v>
      </c>
      <c r="P27" s="402">
        <f>177046/1000</f>
        <v>177.04599999999999</v>
      </c>
      <c r="Q27" s="402"/>
      <c r="R27" s="402"/>
      <c r="S27" s="402"/>
      <c r="T27" s="409"/>
      <c r="U27" s="398"/>
      <c r="V27" s="398"/>
      <c r="W27" s="398"/>
      <c r="X27" s="398"/>
      <c r="Y27" s="396"/>
      <c r="Z27" s="402"/>
      <c r="AA27" s="402"/>
      <c r="AB27" s="402"/>
      <c r="AC27" s="403"/>
      <c r="AD27" s="404">
        <f t="shared" si="3"/>
        <v>29662.083179999998</v>
      </c>
      <c r="AE27" s="126"/>
    </row>
    <row r="28" spans="1:31" s="63" customFormat="1" ht="15" collapsed="1">
      <c r="A28" s="463" t="s">
        <v>70</v>
      </c>
      <c r="B28" s="464"/>
      <c r="C28" s="401">
        <f>SUM(C23:C27)</f>
        <v>0</v>
      </c>
      <c r="D28" s="398">
        <f t="shared" ref="D28:AC28" si="4">SUM(D23:D27)</f>
        <v>0</v>
      </c>
      <c r="E28" s="396">
        <f t="shared" si="4"/>
        <v>0</v>
      </c>
      <c r="F28" s="401">
        <f t="shared" si="4"/>
        <v>0</v>
      </c>
      <c r="G28" s="401">
        <f t="shared" si="4"/>
        <v>0</v>
      </c>
      <c r="H28" s="401">
        <f t="shared" si="4"/>
        <v>4.0107200000000001</v>
      </c>
      <c r="I28" s="401">
        <f t="shared" si="4"/>
        <v>1.7282</v>
      </c>
      <c r="J28" s="401">
        <f t="shared" si="4"/>
        <v>7355.3343000000004</v>
      </c>
      <c r="K28" s="401">
        <f t="shared" si="4"/>
        <v>9.5245300000000004</v>
      </c>
      <c r="L28" s="401">
        <f t="shared" si="4"/>
        <v>37.281179999999999</v>
      </c>
      <c r="M28" s="401">
        <f t="shared" si="4"/>
        <v>7210.5261700000001</v>
      </c>
      <c r="N28" s="401">
        <f t="shared" si="4"/>
        <v>19960.492179999997</v>
      </c>
      <c r="O28" s="401">
        <f t="shared" si="4"/>
        <v>1708.5</v>
      </c>
      <c r="P28" s="401">
        <f t="shared" si="4"/>
        <v>1338.84</v>
      </c>
      <c r="Q28" s="401">
        <f t="shared" si="4"/>
        <v>0</v>
      </c>
      <c r="R28" s="401">
        <f t="shared" si="4"/>
        <v>0</v>
      </c>
      <c r="S28" s="401">
        <f t="shared" si="4"/>
        <v>400.39648</v>
      </c>
      <c r="T28" s="409">
        <f t="shared" si="4"/>
        <v>0</v>
      </c>
      <c r="U28" s="398">
        <f t="shared" si="4"/>
        <v>0</v>
      </c>
      <c r="V28" s="398">
        <f t="shared" si="4"/>
        <v>0</v>
      </c>
      <c r="W28" s="398">
        <f t="shared" si="4"/>
        <v>0</v>
      </c>
      <c r="X28" s="398">
        <f t="shared" si="4"/>
        <v>0</v>
      </c>
      <c r="Y28" s="396">
        <f t="shared" si="4"/>
        <v>0</v>
      </c>
      <c r="Z28" s="401">
        <f t="shared" si="4"/>
        <v>0</v>
      </c>
      <c r="AA28" s="401">
        <f t="shared" si="4"/>
        <v>0</v>
      </c>
      <c r="AB28" s="401">
        <f t="shared" si="4"/>
        <v>0</v>
      </c>
      <c r="AC28" s="399">
        <f t="shared" si="4"/>
        <v>0</v>
      </c>
      <c r="AD28" s="400">
        <f t="shared" si="3"/>
        <v>38026.633759999997</v>
      </c>
      <c r="AE28" s="126"/>
    </row>
    <row r="29" spans="1:31" s="63" customFormat="1">
      <c r="A29" s="128"/>
      <c r="B29" s="65"/>
      <c r="C29" s="406"/>
      <c r="D29" s="405"/>
      <c r="E29" s="405"/>
      <c r="F29" s="406"/>
      <c r="G29" s="406"/>
      <c r="H29" s="406"/>
      <c r="I29" s="406"/>
      <c r="J29" s="406"/>
      <c r="K29" s="406"/>
      <c r="L29" s="406"/>
      <c r="M29" s="406"/>
      <c r="N29" s="406"/>
      <c r="O29" s="406"/>
      <c r="P29" s="406"/>
      <c r="Q29" s="406"/>
      <c r="R29" s="405"/>
      <c r="S29" s="406"/>
      <c r="T29" s="405"/>
      <c r="U29" s="405"/>
      <c r="V29" s="405"/>
      <c r="W29" s="405"/>
      <c r="X29" s="405"/>
      <c r="Y29" s="405"/>
      <c r="Z29" s="406"/>
      <c r="AA29" s="405"/>
      <c r="AB29" s="406"/>
      <c r="AC29" s="406"/>
      <c r="AD29" s="407"/>
      <c r="AE29" s="126"/>
    </row>
    <row r="30" spans="1:31" s="63" customFormat="1" ht="15">
      <c r="A30" s="130" t="s">
        <v>71</v>
      </c>
      <c r="B30" s="169" t="s">
        <v>305</v>
      </c>
      <c r="C30" s="406"/>
      <c r="D30" s="408"/>
      <c r="E30" s="408"/>
      <c r="F30" s="406"/>
      <c r="G30" s="406"/>
      <c r="H30" s="406"/>
      <c r="I30" s="406"/>
      <c r="J30" s="406"/>
      <c r="K30" s="406"/>
      <c r="L30" s="406"/>
      <c r="M30" s="408"/>
      <c r="N30" s="406"/>
      <c r="O30" s="406"/>
      <c r="P30" s="406"/>
      <c r="Q30" s="406"/>
      <c r="R30" s="408"/>
      <c r="S30" s="406"/>
      <c r="T30" s="408"/>
      <c r="U30" s="408"/>
      <c r="V30" s="408"/>
      <c r="W30" s="408"/>
      <c r="X30" s="408"/>
      <c r="Y30" s="408"/>
      <c r="Z30" s="406"/>
      <c r="AA30" s="408"/>
      <c r="AB30" s="406"/>
      <c r="AC30" s="406"/>
      <c r="AD30" s="407"/>
      <c r="AE30" s="126"/>
    </row>
    <row r="31" spans="1:31" s="63" customFormat="1">
      <c r="A31" s="125" t="s">
        <v>306</v>
      </c>
      <c r="B31" s="167" t="s">
        <v>307</v>
      </c>
      <c r="C31" s="397"/>
      <c r="D31" s="398"/>
      <c r="E31" s="396"/>
      <c r="F31" s="401"/>
      <c r="G31" s="401"/>
      <c r="H31" s="401"/>
      <c r="I31" s="401">
        <f>1683/1000</f>
        <v>1.6830000000000001</v>
      </c>
      <c r="J31" s="401">
        <f>165708.9/1000</f>
        <v>165.7089</v>
      </c>
      <c r="K31" s="401"/>
      <c r="L31" s="401">
        <f>173.53/1000</f>
        <v>0.17352999999999999</v>
      </c>
      <c r="M31" s="410"/>
      <c r="N31" s="401"/>
      <c r="O31" s="401">
        <f>10000/1000</f>
        <v>10</v>
      </c>
      <c r="P31" s="401"/>
      <c r="Q31" s="401"/>
      <c r="R31" s="401"/>
      <c r="S31" s="401"/>
      <c r="T31" s="409"/>
      <c r="U31" s="398"/>
      <c r="V31" s="398"/>
      <c r="W31" s="398"/>
      <c r="X31" s="398"/>
      <c r="Y31" s="396"/>
      <c r="Z31" s="401"/>
      <c r="AA31" s="401"/>
      <c r="AB31" s="401"/>
      <c r="AC31" s="399"/>
      <c r="AD31" s="400">
        <f t="shared" ref="AD31:AD37" si="5">SUM(C31:AC31)</f>
        <v>177.56542999999999</v>
      </c>
      <c r="AE31" s="126"/>
    </row>
    <row r="32" spans="1:31" s="63" customFormat="1">
      <c r="A32" s="125" t="s">
        <v>308</v>
      </c>
      <c r="B32" s="167" t="s">
        <v>309</v>
      </c>
      <c r="C32" s="401"/>
      <c r="D32" s="398"/>
      <c r="E32" s="396"/>
      <c r="F32" s="401"/>
      <c r="G32" s="401"/>
      <c r="H32" s="401"/>
      <c r="I32" s="401"/>
      <c r="J32" s="401"/>
      <c r="K32" s="401"/>
      <c r="L32" s="401"/>
      <c r="M32" s="410"/>
      <c r="N32" s="401"/>
      <c r="O32" s="401"/>
      <c r="P32" s="401"/>
      <c r="Q32" s="401"/>
      <c r="R32" s="401"/>
      <c r="S32" s="401"/>
      <c r="T32" s="409"/>
      <c r="U32" s="398"/>
      <c r="V32" s="398"/>
      <c r="W32" s="398"/>
      <c r="X32" s="398"/>
      <c r="Y32" s="396"/>
      <c r="Z32" s="401"/>
      <c r="AA32" s="401"/>
      <c r="AB32" s="401"/>
      <c r="AC32" s="399"/>
      <c r="AD32" s="400">
        <f t="shared" si="5"/>
        <v>0</v>
      </c>
      <c r="AE32" s="126"/>
    </row>
    <row r="33" spans="1:31" s="63" customFormat="1">
      <c r="A33" s="125" t="s">
        <v>310</v>
      </c>
      <c r="B33" s="167" t="s">
        <v>311</v>
      </c>
      <c r="C33" s="401"/>
      <c r="D33" s="398"/>
      <c r="E33" s="396"/>
      <c r="F33" s="401"/>
      <c r="G33" s="401"/>
      <c r="H33" s="401"/>
      <c r="I33" s="401"/>
      <c r="J33" s="401"/>
      <c r="K33" s="401"/>
      <c r="L33" s="401"/>
      <c r="M33" s="410"/>
      <c r="N33" s="401"/>
      <c r="O33" s="401"/>
      <c r="P33" s="401"/>
      <c r="Q33" s="401"/>
      <c r="R33" s="401"/>
      <c r="S33" s="401"/>
      <c r="T33" s="409"/>
      <c r="U33" s="398"/>
      <c r="V33" s="398"/>
      <c r="W33" s="398"/>
      <c r="X33" s="398"/>
      <c r="Y33" s="396"/>
      <c r="Z33" s="401"/>
      <c r="AA33" s="401"/>
      <c r="AB33" s="401"/>
      <c r="AC33" s="399"/>
      <c r="AD33" s="400">
        <f t="shared" si="5"/>
        <v>0</v>
      </c>
      <c r="AE33" s="126"/>
    </row>
    <row r="34" spans="1:31" s="63" customFormat="1">
      <c r="A34" s="125" t="s">
        <v>312</v>
      </c>
      <c r="B34" s="167" t="s">
        <v>313</v>
      </c>
      <c r="C34" s="401"/>
      <c r="D34" s="398"/>
      <c r="E34" s="396"/>
      <c r="F34" s="401"/>
      <c r="G34" s="401"/>
      <c r="H34" s="401"/>
      <c r="I34" s="401"/>
      <c r="J34" s="401"/>
      <c r="K34" s="401"/>
      <c r="L34" s="401"/>
      <c r="M34" s="410"/>
      <c r="N34" s="401"/>
      <c r="O34" s="401"/>
      <c r="P34" s="401"/>
      <c r="Q34" s="401"/>
      <c r="R34" s="401"/>
      <c r="S34" s="401"/>
      <c r="T34" s="409"/>
      <c r="U34" s="398"/>
      <c r="V34" s="398"/>
      <c r="W34" s="398"/>
      <c r="X34" s="398"/>
      <c r="Y34" s="396"/>
      <c r="Z34" s="401"/>
      <c r="AA34" s="401"/>
      <c r="AB34" s="401"/>
      <c r="AC34" s="399"/>
      <c r="AD34" s="400">
        <f t="shared" si="5"/>
        <v>0</v>
      </c>
      <c r="AE34" s="126"/>
    </row>
    <row r="35" spans="1:31" s="63" customFormat="1">
      <c r="A35" s="125" t="s">
        <v>314</v>
      </c>
      <c r="B35" s="167" t="s">
        <v>315</v>
      </c>
      <c r="C35" s="401"/>
      <c r="D35" s="398"/>
      <c r="E35" s="396"/>
      <c r="F35" s="401"/>
      <c r="G35" s="401"/>
      <c r="H35" s="401"/>
      <c r="I35" s="401"/>
      <c r="J35" s="401"/>
      <c r="K35" s="401"/>
      <c r="L35" s="401"/>
      <c r="M35" s="410"/>
      <c r="N35" s="401"/>
      <c r="O35" s="401"/>
      <c r="P35" s="401"/>
      <c r="Q35" s="401"/>
      <c r="R35" s="401"/>
      <c r="S35" s="401"/>
      <c r="T35" s="409"/>
      <c r="U35" s="398"/>
      <c r="V35" s="398"/>
      <c r="W35" s="398"/>
      <c r="X35" s="398"/>
      <c r="Y35" s="396"/>
      <c r="Z35" s="401"/>
      <c r="AA35" s="401"/>
      <c r="AB35" s="401"/>
      <c r="AC35" s="399"/>
      <c r="AD35" s="400">
        <f t="shared" si="5"/>
        <v>0</v>
      </c>
      <c r="AE35" s="126"/>
    </row>
    <row r="36" spans="1:31" s="63" customFormat="1">
      <c r="A36" s="127" t="s">
        <v>316</v>
      </c>
      <c r="B36" s="168" t="s">
        <v>317</v>
      </c>
      <c r="C36" s="402"/>
      <c r="D36" s="398"/>
      <c r="E36" s="396"/>
      <c r="F36" s="402"/>
      <c r="G36" s="402"/>
      <c r="H36" s="402"/>
      <c r="I36" s="402"/>
      <c r="J36" s="402"/>
      <c r="K36" s="402"/>
      <c r="L36" s="402"/>
      <c r="M36" s="410"/>
      <c r="N36" s="402"/>
      <c r="O36" s="402"/>
      <c r="P36" s="402"/>
      <c r="Q36" s="402"/>
      <c r="R36" s="402"/>
      <c r="S36" s="402"/>
      <c r="T36" s="409"/>
      <c r="U36" s="398"/>
      <c r="V36" s="398"/>
      <c r="W36" s="398"/>
      <c r="X36" s="398"/>
      <c r="Y36" s="396"/>
      <c r="Z36" s="402"/>
      <c r="AA36" s="402"/>
      <c r="AB36" s="402"/>
      <c r="AC36" s="403"/>
      <c r="AD36" s="404">
        <f t="shared" si="5"/>
        <v>0</v>
      </c>
      <c r="AE36" s="126"/>
    </row>
    <row r="37" spans="1:31" s="63" customFormat="1" ht="15" collapsed="1">
      <c r="A37" s="469" t="s">
        <v>72</v>
      </c>
      <c r="B37" s="470"/>
      <c r="C37" s="401">
        <f>SUM(C31:C36)</f>
        <v>0</v>
      </c>
      <c r="D37" s="398">
        <f t="shared" ref="D37:AC37" si="6">SUM(D31:D36)</f>
        <v>0</v>
      </c>
      <c r="E37" s="396">
        <f t="shared" si="6"/>
        <v>0</v>
      </c>
      <c r="F37" s="401">
        <f t="shared" si="6"/>
        <v>0</v>
      </c>
      <c r="G37" s="401">
        <f t="shared" si="6"/>
        <v>0</v>
      </c>
      <c r="H37" s="401">
        <f t="shared" si="6"/>
        <v>0</v>
      </c>
      <c r="I37" s="401">
        <f t="shared" si="6"/>
        <v>1.6830000000000001</v>
      </c>
      <c r="J37" s="401">
        <f t="shared" si="6"/>
        <v>165.7089</v>
      </c>
      <c r="K37" s="401">
        <f t="shared" si="6"/>
        <v>0</v>
      </c>
      <c r="L37" s="401">
        <f t="shared" si="6"/>
        <v>0.17352999999999999</v>
      </c>
      <c r="M37" s="410">
        <f t="shared" si="6"/>
        <v>0</v>
      </c>
      <c r="N37" s="401">
        <f t="shared" si="6"/>
        <v>0</v>
      </c>
      <c r="O37" s="401">
        <f t="shared" si="6"/>
        <v>10</v>
      </c>
      <c r="P37" s="401">
        <f t="shared" si="6"/>
        <v>0</v>
      </c>
      <c r="Q37" s="401">
        <f t="shared" si="6"/>
        <v>0</v>
      </c>
      <c r="R37" s="401">
        <f t="shared" si="6"/>
        <v>0</v>
      </c>
      <c r="S37" s="401">
        <f t="shared" si="6"/>
        <v>0</v>
      </c>
      <c r="T37" s="409">
        <f t="shared" si="6"/>
        <v>0</v>
      </c>
      <c r="U37" s="398">
        <f t="shared" si="6"/>
        <v>0</v>
      </c>
      <c r="V37" s="398">
        <f t="shared" si="6"/>
        <v>0</v>
      </c>
      <c r="W37" s="398">
        <f t="shared" si="6"/>
        <v>0</v>
      </c>
      <c r="X37" s="398">
        <f t="shared" si="6"/>
        <v>0</v>
      </c>
      <c r="Y37" s="396">
        <f t="shared" si="6"/>
        <v>0</v>
      </c>
      <c r="Z37" s="401">
        <f t="shared" si="6"/>
        <v>0</v>
      </c>
      <c r="AA37" s="401">
        <f t="shared" si="6"/>
        <v>0</v>
      </c>
      <c r="AB37" s="401">
        <f t="shared" si="6"/>
        <v>0</v>
      </c>
      <c r="AC37" s="399">
        <f t="shared" si="6"/>
        <v>0</v>
      </c>
      <c r="AD37" s="400">
        <f t="shared" si="5"/>
        <v>177.56542999999999</v>
      </c>
      <c r="AE37" s="126"/>
    </row>
    <row r="38" spans="1:31" s="63" customFormat="1">
      <c r="A38" s="128"/>
      <c r="B38" s="65"/>
      <c r="C38" s="406"/>
      <c r="D38" s="405"/>
      <c r="E38" s="405"/>
      <c r="F38" s="406"/>
      <c r="G38" s="406"/>
      <c r="H38" s="406"/>
      <c r="I38" s="406"/>
      <c r="J38" s="406"/>
      <c r="K38" s="406"/>
      <c r="L38" s="406"/>
      <c r="M38" s="405"/>
      <c r="N38" s="406"/>
      <c r="O38" s="406"/>
      <c r="P38" s="406"/>
      <c r="Q38" s="406"/>
      <c r="R38" s="405"/>
      <c r="S38" s="406"/>
      <c r="T38" s="405"/>
      <c r="U38" s="405"/>
      <c r="V38" s="405"/>
      <c r="W38" s="405"/>
      <c r="X38" s="405"/>
      <c r="Y38" s="405"/>
      <c r="Z38" s="406"/>
      <c r="AA38" s="405"/>
      <c r="AB38" s="406"/>
      <c r="AC38" s="406"/>
      <c r="AD38" s="407"/>
      <c r="AE38" s="126"/>
    </row>
    <row r="39" spans="1:31" s="63" customFormat="1" ht="15">
      <c r="A39" s="130" t="s">
        <v>73</v>
      </c>
      <c r="B39" s="169" t="s">
        <v>318</v>
      </c>
      <c r="C39" s="406"/>
      <c r="D39" s="408"/>
      <c r="E39" s="408"/>
      <c r="F39" s="406"/>
      <c r="G39" s="406"/>
      <c r="H39" s="406"/>
      <c r="I39" s="406"/>
      <c r="J39" s="406"/>
      <c r="K39" s="406"/>
      <c r="L39" s="406"/>
      <c r="M39" s="406"/>
      <c r="N39" s="406"/>
      <c r="O39" s="406"/>
      <c r="P39" s="406"/>
      <c r="Q39" s="406"/>
      <c r="R39" s="408"/>
      <c r="S39" s="406"/>
      <c r="T39" s="408"/>
      <c r="U39" s="408"/>
      <c r="V39" s="408"/>
      <c r="W39" s="408"/>
      <c r="X39" s="408"/>
      <c r="Y39" s="408"/>
      <c r="Z39" s="406"/>
      <c r="AA39" s="408"/>
      <c r="AB39" s="406"/>
      <c r="AC39" s="406"/>
      <c r="AD39" s="407"/>
      <c r="AE39" s="126"/>
    </row>
    <row r="40" spans="1:31" s="63" customFormat="1">
      <c r="A40" s="125" t="s">
        <v>255</v>
      </c>
      <c r="B40" s="167" t="s">
        <v>319</v>
      </c>
      <c r="C40" s="397"/>
      <c r="D40" s="398"/>
      <c r="E40" s="396"/>
      <c r="F40" s="401"/>
      <c r="G40" s="401"/>
      <c r="H40" s="401"/>
      <c r="I40" s="401"/>
      <c r="J40" s="401">
        <f>101676.1/1000</f>
        <v>101.67610000000001</v>
      </c>
      <c r="K40" s="401"/>
      <c r="L40" s="401"/>
      <c r="M40" s="401"/>
      <c r="N40" s="401">
        <f>342556.5/1000</f>
        <v>342.55650000000003</v>
      </c>
      <c r="O40" s="401">
        <f>777778.27/1000</f>
        <v>777.77827000000002</v>
      </c>
      <c r="P40" s="401"/>
      <c r="Q40" s="401"/>
      <c r="R40" s="401"/>
      <c r="S40" s="401">
        <f>(455.78)/1000</f>
        <v>0.45577999999999996</v>
      </c>
      <c r="T40" s="409"/>
      <c r="U40" s="398"/>
      <c r="V40" s="398"/>
      <c r="W40" s="398"/>
      <c r="X40" s="398"/>
      <c r="Y40" s="396"/>
      <c r="Z40" s="401"/>
      <c r="AA40" s="401"/>
      <c r="AB40" s="401"/>
      <c r="AC40" s="399"/>
      <c r="AD40" s="400">
        <f t="shared" ref="AD40:AD47" si="7">SUM(C40:AC40)</f>
        <v>1222.4666500000001</v>
      </c>
      <c r="AE40" s="126"/>
    </row>
    <row r="41" spans="1:31" s="63" customFormat="1">
      <c r="A41" s="125" t="s">
        <v>39</v>
      </c>
      <c r="B41" s="167" t="s">
        <v>320</v>
      </c>
      <c r="C41" s="401"/>
      <c r="D41" s="398"/>
      <c r="E41" s="396"/>
      <c r="F41" s="401"/>
      <c r="G41" s="401"/>
      <c r="H41" s="401"/>
      <c r="I41" s="401"/>
      <c r="J41" s="401"/>
      <c r="K41" s="401"/>
      <c r="L41" s="401"/>
      <c r="M41" s="427"/>
      <c r="N41" s="401"/>
      <c r="O41" s="401"/>
      <c r="P41" s="401"/>
      <c r="Q41" s="401"/>
      <c r="R41" s="401"/>
      <c r="S41" s="401"/>
      <c r="T41" s="409"/>
      <c r="U41" s="398"/>
      <c r="V41" s="398"/>
      <c r="W41" s="398"/>
      <c r="X41" s="398"/>
      <c r="Y41" s="396"/>
      <c r="Z41" s="401"/>
      <c r="AA41" s="401"/>
      <c r="AB41" s="401"/>
      <c r="AC41" s="399"/>
      <c r="AD41" s="400">
        <f t="shared" si="7"/>
        <v>0</v>
      </c>
      <c r="AE41" s="126"/>
    </row>
    <row r="42" spans="1:31" s="63" customFormat="1">
      <c r="A42" s="125" t="s">
        <v>40</v>
      </c>
      <c r="B42" s="167" t="s">
        <v>321</v>
      </c>
      <c r="C42" s="401"/>
      <c r="D42" s="398"/>
      <c r="E42" s="396"/>
      <c r="F42" s="401"/>
      <c r="G42" s="401"/>
      <c r="H42" s="401"/>
      <c r="I42" s="401"/>
      <c r="J42" s="401">
        <f>711590.24/1000</f>
        <v>711.59023999999999</v>
      </c>
      <c r="K42" s="401"/>
      <c r="L42" s="401"/>
      <c r="M42" s="410"/>
      <c r="N42" s="401">
        <f>390741.46/1000</f>
        <v>390.74146000000002</v>
      </c>
      <c r="O42" s="401"/>
      <c r="P42" s="401"/>
      <c r="Q42" s="401"/>
      <c r="R42" s="401"/>
      <c r="S42" s="401">
        <f>(620.92)/1000</f>
        <v>0.62091999999999992</v>
      </c>
      <c r="T42" s="409"/>
      <c r="U42" s="398"/>
      <c r="V42" s="398"/>
      <c r="W42" s="398"/>
      <c r="X42" s="398"/>
      <c r="Y42" s="396"/>
      <c r="Z42" s="401"/>
      <c r="AA42" s="401"/>
      <c r="AB42" s="401"/>
      <c r="AC42" s="399"/>
      <c r="AD42" s="400">
        <f t="shared" si="7"/>
        <v>1102.95262</v>
      </c>
      <c r="AE42" s="126"/>
    </row>
    <row r="43" spans="1:31" s="63" customFormat="1">
      <c r="A43" s="125" t="s">
        <v>41</v>
      </c>
      <c r="B43" s="167" t="s">
        <v>322</v>
      </c>
      <c r="C43" s="401"/>
      <c r="D43" s="398"/>
      <c r="E43" s="396"/>
      <c r="F43" s="401"/>
      <c r="G43" s="401"/>
      <c r="H43" s="401"/>
      <c r="I43" s="401"/>
      <c r="J43" s="401"/>
      <c r="K43" s="401"/>
      <c r="L43" s="401"/>
      <c r="M43" s="410"/>
      <c r="N43" s="401"/>
      <c r="O43" s="401"/>
      <c r="P43" s="401"/>
      <c r="Q43" s="401"/>
      <c r="R43" s="401"/>
      <c r="S43" s="401"/>
      <c r="T43" s="409"/>
      <c r="U43" s="398"/>
      <c r="V43" s="398"/>
      <c r="W43" s="398"/>
      <c r="X43" s="398"/>
      <c r="Y43" s="396"/>
      <c r="Z43" s="401"/>
      <c r="AA43" s="401"/>
      <c r="AB43" s="401"/>
      <c r="AC43" s="399"/>
      <c r="AD43" s="400">
        <f t="shared" si="7"/>
        <v>0</v>
      </c>
      <c r="AE43" s="126"/>
    </row>
    <row r="44" spans="1:31" s="63" customFormat="1">
      <c r="A44" s="125" t="s">
        <v>42</v>
      </c>
      <c r="B44" s="167" t="s">
        <v>323</v>
      </c>
      <c r="C44" s="401"/>
      <c r="D44" s="398"/>
      <c r="E44" s="396"/>
      <c r="F44" s="401"/>
      <c r="G44" s="401"/>
      <c r="H44" s="401"/>
      <c r="I44" s="401"/>
      <c r="J44" s="401"/>
      <c r="K44" s="401"/>
      <c r="L44" s="401"/>
      <c r="M44" s="410"/>
      <c r="N44" s="401"/>
      <c r="O44" s="401"/>
      <c r="P44" s="401"/>
      <c r="Q44" s="401"/>
      <c r="R44" s="401"/>
      <c r="S44" s="401"/>
      <c r="T44" s="409"/>
      <c r="U44" s="398"/>
      <c r="V44" s="398"/>
      <c r="W44" s="398"/>
      <c r="X44" s="398"/>
      <c r="Y44" s="396"/>
      <c r="Z44" s="401"/>
      <c r="AA44" s="401"/>
      <c r="AB44" s="401"/>
      <c r="AC44" s="399"/>
      <c r="AD44" s="400">
        <f t="shared" si="7"/>
        <v>0</v>
      </c>
      <c r="AE44" s="126"/>
    </row>
    <row r="45" spans="1:31" s="63" customFormat="1">
      <c r="A45" s="125" t="s">
        <v>43</v>
      </c>
      <c r="B45" s="167" t="s">
        <v>324</v>
      </c>
      <c r="C45" s="401"/>
      <c r="D45" s="398"/>
      <c r="E45" s="396"/>
      <c r="F45" s="401"/>
      <c r="G45" s="401"/>
      <c r="H45" s="401"/>
      <c r="I45" s="401">
        <f>4293/1000</f>
        <v>4.2930000000000001</v>
      </c>
      <c r="J45" s="401">
        <f>718305.3/1000</f>
        <v>718.3053000000001</v>
      </c>
      <c r="K45" s="401"/>
      <c r="L45" s="401"/>
      <c r="M45" s="410"/>
      <c r="N45" s="401"/>
      <c r="O45" s="401"/>
      <c r="P45" s="401"/>
      <c r="Q45" s="401"/>
      <c r="R45" s="401"/>
      <c r="S45" s="401">
        <f>(2921.84)/1000</f>
        <v>2.92184</v>
      </c>
      <c r="T45" s="409"/>
      <c r="U45" s="398"/>
      <c r="V45" s="398"/>
      <c r="W45" s="398"/>
      <c r="X45" s="398"/>
      <c r="Y45" s="396"/>
      <c r="Z45" s="401"/>
      <c r="AA45" s="401"/>
      <c r="AB45" s="401"/>
      <c r="AC45" s="399"/>
      <c r="AD45" s="400">
        <f t="shared" si="7"/>
        <v>725.52014000000008</v>
      </c>
      <c r="AE45" s="126"/>
    </row>
    <row r="46" spans="1:31" s="63" customFormat="1">
      <c r="A46" s="127" t="s">
        <v>44</v>
      </c>
      <c r="B46" s="168" t="s">
        <v>325</v>
      </c>
      <c r="C46" s="402"/>
      <c r="D46" s="398"/>
      <c r="E46" s="396"/>
      <c r="F46" s="402"/>
      <c r="G46" s="402"/>
      <c r="H46" s="402"/>
      <c r="I46" s="402"/>
      <c r="J46" s="402">
        <f>3470/1000</f>
        <v>3.47</v>
      </c>
      <c r="K46" s="402"/>
      <c r="L46" s="402"/>
      <c r="M46" s="410"/>
      <c r="N46" s="402"/>
      <c r="O46" s="402"/>
      <c r="P46" s="402"/>
      <c r="Q46" s="402"/>
      <c r="R46" s="402"/>
      <c r="S46" s="402"/>
      <c r="T46" s="409"/>
      <c r="U46" s="398"/>
      <c r="V46" s="398"/>
      <c r="W46" s="398"/>
      <c r="X46" s="398"/>
      <c r="Y46" s="396"/>
      <c r="Z46" s="402"/>
      <c r="AA46" s="402"/>
      <c r="AB46" s="402"/>
      <c r="AC46" s="403"/>
      <c r="AD46" s="404">
        <f t="shared" si="7"/>
        <v>3.47</v>
      </c>
      <c r="AE46" s="126"/>
    </row>
    <row r="47" spans="1:31" s="63" customFormat="1" ht="15" collapsed="1">
      <c r="A47" s="463" t="s">
        <v>74</v>
      </c>
      <c r="B47" s="464"/>
      <c r="C47" s="401">
        <f>SUM(C40:C46)</f>
        <v>0</v>
      </c>
      <c r="D47" s="398">
        <f t="shared" ref="D47:AC47" si="8">SUM(D40:D46)</f>
        <v>0</v>
      </c>
      <c r="E47" s="396">
        <f t="shared" si="8"/>
        <v>0</v>
      </c>
      <c r="F47" s="401">
        <f t="shared" si="8"/>
        <v>0</v>
      </c>
      <c r="G47" s="401">
        <f t="shared" si="8"/>
        <v>0</v>
      </c>
      <c r="H47" s="401">
        <f t="shared" si="8"/>
        <v>0</v>
      </c>
      <c r="I47" s="401">
        <f t="shared" si="8"/>
        <v>4.2930000000000001</v>
      </c>
      <c r="J47" s="401">
        <f t="shared" si="8"/>
        <v>1535.0416400000001</v>
      </c>
      <c r="K47" s="401">
        <f t="shared" si="8"/>
        <v>0</v>
      </c>
      <c r="L47" s="401">
        <f t="shared" si="8"/>
        <v>0</v>
      </c>
      <c r="M47" s="401">
        <f t="shared" si="8"/>
        <v>0</v>
      </c>
      <c r="N47" s="401">
        <f t="shared" si="8"/>
        <v>733.2979600000001</v>
      </c>
      <c r="O47" s="401">
        <f t="shared" si="8"/>
        <v>777.77827000000002</v>
      </c>
      <c r="P47" s="401">
        <f t="shared" si="8"/>
        <v>0</v>
      </c>
      <c r="Q47" s="401">
        <f t="shared" si="8"/>
        <v>0</v>
      </c>
      <c r="R47" s="401">
        <f t="shared" si="8"/>
        <v>0</v>
      </c>
      <c r="S47" s="401">
        <f t="shared" si="8"/>
        <v>3.9985399999999998</v>
      </c>
      <c r="T47" s="409">
        <f t="shared" si="8"/>
        <v>0</v>
      </c>
      <c r="U47" s="398">
        <f t="shared" si="8"/>
        <v>0</v>
      </c>
      <c r="V47" s="398">
        <f t="shared" si="8"/>
        <v>0</v>
      </c>
      <c r="W47" s="398">
        <f t="shared" si="8"/>
        <v>0</v>
      </c>
      <c r="X47" s="398">
        <f t="shared" si="8"/>
        <v>0</v>
      </c>
      <c r="Y47" s="396">
        <f t="shared" si="8"/>
        <v>0</v>
      </c>
      <c r="Z47" s="401">
        <f t="shared" si="8"/>
        <v>0</v>
      </c>
      <c r="AA47" s="401">
        <f t="shared" si="8"/>
        <v>0</v>
      </c>
      <c r="AB47" s="401">
        <f t="shared" si="8"/>
        <v>0</v>
      </c>
      <c r="AC47" s="399">
        <f t="shared" si="8"/>
        <v>0</v>
      </c>
      <c r="AD47" s="400">
        <f t="shared" si="7"/>
        <v>3054.4094099999998</v>
      </c>
      <c r="AE47" s="126"/>
    </row>
    <row r="48" spans="1:31" s="63" customFormat="1">
      <c r="A48" s="128"/>
      <c r="B48" s="65"/>
      <c r="C48" s="406"/>
      <c r="D48" s="405"/>
      <c r="E48" s="405"/>
      <c r="F48" s="406"/>
      <c r="G48" s="406"/>
      <c r="H48" s="406"/>
      <c r="I48" s="406"/>
      <c r="J48" s="406"/>
      <c r="K48" s="406"/>
      <c r="L48" s="406"/>
      <c r="M48" s="406"/>
      <c r="N48" s="406"/>
      <c r="O48" s="406"/>
      <c r="P48" s="406"/>
      <c r="Q48" s="406"/>
      <c r="R48" s="405"/>
      <c r="S48" s="406"/>
      <c r="T48" s="405"/>
      <c r="U48" s="405"/>
      <c r="V48" s="405"/>
      <c r="W48" s="405"/>
      <c r="X48" s="405"/>
      <c r="Y48" s="405"/>
      <c r="Z48" s="406"/>
      <c r="AA48" s="405"/>
      <c r="AB48" s="406"/>
      <c r="AC48" s="406"/>
      <c r="AD48" s="407"/>
      <c r="AE48" s="126"/>
    </row>
    <row r="49" spans="1:31" s="63" customFormat="1" ht="15">
      <c r="A49" s="130" t="s">
        <v>75</v>
      </c>
      <c r="B49" s="169" t="s">
        <v>326</v>
      </c>
      <c r="C49" s="406"/>
      <c r="D49" s="408"/>
      <c r="E49" s="408"/>
      <c r="F49" s="406"/>
      <c r="G49" s="406"/>
      <c r="H49" s="406"/>
      <c r="I49" s="406"/>
      <c r="J49" s="406"/>
      <c r="K49" s="406"/>
      <c r="L49" s="406"/>
      <c r="M49" s="408"/>
      <c r="N49" s="406"/>
      <c r="O49" s="406"/>
      <c r="P49" s="406"/>
      <c r="Q49" s="406"/>
      <c r="R49" s="408"/>
      <c r="S49" s="406"/>
      <c r="T49" s="408"/>
      <c r="U49" s="408"/>
      <c r="V49" s="408"/>
      <c r="W49" s="408"/>
      <c r="X49" s="408"/>
      <c r="Y49" s="408"/>
      <c r="Z49" s="406"/>
      <c r="AA49" s="408"/>
      <c r="AB49" s="406"/>
      <c r="AC49" s="406"/>
      <c r="AD49" s="407"/>
      <c r="AE49" s="126"/>
    </row>
    <row r="50" spans="1:31" s="63" customFormat="1">
      <c r="A50" s="125" t="s">
        <v>45</v>
      </c>
      <c r="B50" s="167" t="s">
        <v>327</v>
      </c>
      <c r="C50" s="397"/>
      <c r="D50" s="398"/>
      <c r="E50" s="396"/>
      <c r="F50" s="401"/>
      <c r="G50" s="401"/>
      <c r="H50" s="401"/>
      <c r="I50" s="401"/>
      <c r="J50" s="401"/>
      <c r="K50" s="401"/>
      <c r="L50" s="401"/>
      <c r="M50" s="410"/>
      <c r="N50" s="401"/>
      <c r="O50" s="401"/>
      <c r="P50" s="401"/>
      <c r="Q50" s="401"/>
      <c r="R50" s="401"/>
      <c r="S50" s="401"/>
      <c r="T50" s="409"/>
      <c r="U50" s="398"/>
      <c r="V50" s="398"/>
      <c r="W50" s="398"/>
      <c r="X50" s="398"/>
      <c r="Y50" s="396"/>
      <c r="Z50" s="401"/>
      <c r="AA50" s="401"/>
      <c r="AB50" s="401"/>
      <c r="AC50" s="399"/>
      <c r="AD50" s="400">
        <f>SUM(C50:AC50)</f>
        <v>0</v>
      </c>
      <c r="AE50" s="126"/>
    </row>
    <row r="51" spans="1:31" s="63" customFormat="1">
      <c r="A51" s="125" t="s">
        <v>46</v>
      </c>
      <c r="B51" s="167" t="s">
        <v>328</v>
      </c>
      <c r="C51" s="401"/>
      <c r="D51" s="398"/>
      <c r="E51" s="396"/>
      <c r="F51" s="401"/>
      <c r="G51" s="401"/>
      <c r="H51" s="401">
        <f>98814.39/1000</f>
        <v>98.814390000000003</v>
      </c>
      <c r="I51" s="401"/>
      <c r="J51" s="401">
        <f>546347.07/1000</f>
        <v>546.34706999999992</v>
      </c>
      <c r="K51" s="401"/>
      <c r="L51" s="401"/>
      <c r="M51" s="410"/>
      <c r="N51" s="401"/>
      <c r="O51" s="401">
        <f>277042.3/1000</f>
        <v>277.04230000000001</v>
      </c>
      <c r="P51" s="401">
        <f>502922.2/1000</f>
        <v>502.92220000000003</v>
      </c>
      <c r="Q51" s="401"/>
      <c r="R51" s="401"/>
      <c r="S51" s="401"/>
      <c r="T51" s="409"/>
      <c r="U51" s="398"/>
      <c r="V51" s="398"/>
      <c r="W51" s="398"/>
      <c r="X51" s="398"/>
      <c r="Y51" s="396"/>
      <c r="Z51" s="401"/>
      <c r="AA51" s="401"/>
      <c r="AB51" s="401"/>
      <c r="AC51" s="399"/>
      <c r="AD51" s="400">
        <f>SUM(C51:AC51)</f>
        <v>1425.1259599999998</v>
      </c>
      <c r="AE51" s="126"/>
    </row>
    <row r="52" spans="1:31" s="63" customFormat="1">
      <c r="A52" s="127" t="s">
        <v>329</v>
      </c>
      <c r="B52" s="168" t="s">
        <v>330</v>
      </c>
      <c r="C52" s="402"/>
      <c r="D52" s="398"/>
      <c r="E52" s="396"/>
      <c r="F52" s="402"/>
      <c r="G52" s="402"/>
      <c r="H52" s="402"/>
      <c r="I52" s="402"/>
      <c r="J52" s="402">
        <f>2570234.14/1000</f>
        <v>2570.23414</v>
      </c>
      <c r="K52" s="402">
        <f>97/1000</f>
        <v>9.7000000000000003E-2</v>
      </c>
      <c r="L52" s="402">
        <f>5159.99/1000</f>
        <v>5.1599899999999996</v>
      </c>
      <c r="M52" s="437"/>
      <c r="N52" s="402">
        <f>5447867.16/1000</f>
        <v>5447.8671599999998</v>
      </c>
      <c r="O52" s="402">
        <f>705053.42/1000</f>
        <v>705.05342000000007</v>
      </c>
      <c r="P52" s="402">
        <f>(-265414.39+2178)/1000</f>
        <v>-263.23639000000003</v>
      </c>
      <c r="Q52" s="402">
        <f>19185.96/1000</f>
        <v>19.185959999999998</v>
      </c>
      <c r="R52" s="402"/>
      <c r="S52" s="402">
        <f>(160.45)/1000</f>
        <v>0.16044999999999998</v>
      </c>
      <c r="T52" s="409"/>
      <c r="U52" s="398"/>
      <c r="V52" s="398"/>
      <c r="W52" s="398"/>
      <c r="X52" s="398"/>
      <c r="Y52" s="396"/>
      <c r="Z52" s="402"/>
      <c r="AA52" s="402"/>
      <c r="AB52" s="402"/>
      <c r="AC52" s="403"/>
      <c r="AD52" s="404">
        <f>SUM(C52:AC52)</f>
        <v>8484.5217300000004</v>
      </c>
      <c r="AE52" s="126"/>
    </row>
    <row r="53" spans="1:31" s="63" customFormat="1" ht="15" collapsed="1">
      <c r="A53" s="463" t="s">
        <v>76</v>
      </c>
      <c r="B53" s="464"/>
      <c r="C53" s="401">
        <f>+SUM(C50:C52)</f>
        <v>0</v>
      </c>
      <c r="D53" s="398">
        <f t="shared" ref="D53:AC53" si="9">+SUM(D50:D52)</f>
        <v>0</v>
      </c>
      <c r="E53" s="396">
        <f t="shared" si="9"/>
        <v>0</v>
      </c>
      <c r="F53" s="401">
        <f t="shared" si="9"/>
        <v>0</v>
      </c>
      <c r="G53" s="401">
        <f t="shared" si="9"/>
        <v>0</v>
      </c>
      <c r="H53" s="401">
        <f t="shared" si="9"/>
        <v>98.814390000000003</v>
      </c>
      <c r="I53" s="401">
        <f t="shared" si="9"/>
        <v>0</v>
      </c>
      <c r="J53" s="401">
        <f t="shared" si="9"/>
        <v>3116.5812099999998</v>
      </c>
      <c r="K53" s="401">
        <f t="shared" si="9"/>
        <v>9.7000000000000003E-2</v>
      </c>
      <c r="L53" s="401">
        <f t="shared" si="9"/>
        <v>5.1599899999999996</v>
      </c>
      <c r="M53" s="410">
        <f t="shared" si="9"/>
        <v>0</v>
      </c>
      <c r="N53" s="401">
        <f t="shared" si="9"/>
        <v>5447.8671599999998</v>
      </c>
      <c r="O53" s="401">
        <f t="shared" si="9"/>
        <v>982.09572000000003</v>
      </c>
      <c r="P53" s="401">
        <f t="shared" si="9"/>
        <v>239.68581</v>
      </c>
      <c r="Q53" s="401">
        <f t="shared" si="9"/>
        <v>19.185959999999998</v>
      </c>
      <c r="R53" s="401">
        <f t="shared" si="9"/>
        <v>0</v>
      </c>
      <c r="S53" s="401">
        <f t="shared" si="9"/>
        <v>0.16044999999999998</v>
      </c>
      <c r="T53" s="409">
        <f t="shared" si="9"/>
        <v>0</v>
      </c>
      <c r="U53" s="398">
        <f t="shared" si="9"/>
        <v>0</v>
      </c>
      <c r="V53" s="398">
        <f t="shared" si="9"/>
        <v>0</v>
      </c>
      <c r="W53" s="398">
        <f t="shared" si="9"/>
        <v>0</v>
      </c>
      <c r="X53" s="398">
        <f t="shared" si="9"/>
        <v>0</v>
      </c>
      <c r="Y53" s="396">
        <f t="shared" si="9"/>
        <v>0</v>
      </c>
      <c r="Z53" s="401">
        <f t="shared" si="9"/>
        <v>0</v>
      </c>
      <c r="AA53" s="401">
        <f t="shared" si="9"/>
        <v>0</v>
      </c>
      <c r="AB53" s="401">
        <f t="shared" si="9"/>
        <v>0</v>
      </c>
      <c r="AC53" s="399">
        <f t="shared" si="9"/>
        <v>0</v>
      </c>
      <c r="AD53" s="400">
        <f>SUM(C53:AC53)</f>
        <v>9909.6476899999998</v>
      </c>
      <c r="AE53" s="126"/>
    </row>
    <row r="54" spans="1:31" s="63" customFormat="1">
      <c r="A54" s="128"/>
      <c r="B54" s="65"/>
      <c r="C54" s="406"/>
      <c r="D54" s="405"/>
      <c r="E54" s="405"/>
      <c r="F54" s="406"/>
      <c r="G54" s="406"/>
      <c r="H54" s="406"/>
      <c r="I54" s="406"/>
      <c r="J54" s="406"/>
      <c r="K54" s="406"/>
      <c r="L54" s="406"/>
      <c r="M54" s="405"/>
      <c r="N54" s="406"/>
      <c r="O54" s="406"/>
      <c r="P54" s="406"/>
      <c r="Q54" s="406"/>
      <c r="R54" s="405"/>
      <c r="S54" s="406"/>
      <c r="T54" s="405"/>
      <c r="U54" s="405"/>
      <c r="V54" s="405"/>
      <c r="W54" s="405"/>
      <c r="X54" s="405"/>
      <c r="Y54" s="405"/>
      <c r="Z54" s="406"/>
      <c r="AA54" s="405"/>
      <c r="AB54" s="406"/>
      <c r="AC54" s="406"/>
      <c r="AD54" s="407"/>
      <c r="AE54" s="126"/>
    </row>
    <row r="55" spans="1:31" s="63" customFormat="1" ht="15">
      <c r="A55" s="130" t="s">
        <v>77</v>
      </c>
      <c r="B55" s="169" t="s">
        <v>331</v>
      </c>
      <c r="C55" s="406"/>
      <c r="D55" s="408"/>
      <c r="E55" s="408"/>
      <c r="F55" s="406"/>
      <c r="G55" s="406"/>
      <c r="H55" s="406"/>
      <c r="I55" s="406"/>
      <c r="J55" s="406"/>
      <c r="K55" s="406"/>
      <c r="L55" s="406"/>
      <c r="M55" s="406"/>
      <c r="N55" s="406"/>
      <c r="O55" s="406"/>
      <c r="P55" s="406"/>
      <c r="Q55" s="406"/>
      <c r="R55" s="408"/>
      <c r="S55" s="406"/>
      <c r="T55" s="408"/>
      <c r="U55" s="408"/>
      <c r="V55" s="408"/>
      <c r="W55" s="408"/>
      <c r="X55" s="408"/>
      <c r="Y55" s="408"/>
      <c r="Z55" s="406"/>
      <c r="AA55" s="408"/>
      <c r="AB55" s="406"/>
      <c r="AC55" s="406"/>
      <c r="AD55" s="407"/>
      <c r="AE55" s="126"/>
    </row>
    <row r="56" spans="1:31" s="63" customFormat="1">
      <c r="A56" s="125" t="s">
        <v>332</v>
      </c>
      <c r="B56" s="167" t="s">
        <v>333</v>
      </c>
      <c r="C56" s="397"/>
      <c r="D56" s="398"/>
      <c r="E56" s="396"/>
      <c r="F56" s="401"/>
      <c r="G56" s="401"/>
      <c r="H56" s="401"/>
      <c r="I56" s="401"/>
      <c r="J56" s="401">
        <f>249896/1000</f>
        <v>249.89599999999999</v>
      </c>
      <c r="K56" s="401"/>
      <c r="L56" s="401"/>
      <c r="M56" s="401"/>
      <c r="N56" s="401"/>
      <c r="O56" s="401">
        <f>35000/1000</f>
        <v>35</v>
      </c>
      <c r="P56" s="401"/>
      <c r="Q56" s="401"/>
      <c r="R56" s="401"/>
      <c r="S56" s="401"/>
      <c r="T56" s="409"/>
      <c r="U56" s="398"/>
      <c r="V56" s="398"/>
      <c r="W56" s="398"/>
      <c r="X56" s="398"/>
      <c r="Y56" s="396"/>
      <c r="Z56" s="401"/>
      <c r="AA56" s="401"/>
      <c r="AB56" s="401"/>
      <c r="AC56" s="399"/>
      <c r="AD56" s="400">
        <f>SUM(C56:AC56)</f>
        <v>284.89599999999996</v>
      </c>
      <c r="AE56" s="126"/>
    </row>
    <row r="57" spans="1:31" s="63" customFormat="1">
      <c r="A57" s="125" t="s">
        <v>256</v>
      </c>
      <c r="B57" s="167" t="s">
        <v>334</v>
      </c>
      <c r="C57" s="401"/>
      <c r="D57" s="398"/>
      <c r="E57" s="396"/>
      <c r="F57" s="401"/>
      <c r="G57" s="401"/>
      <c r="H57" s="401"/>
      <c r="I57" s="401"/>
      <c r="J57" s="401">
        <f>32288.32/1000</f>
        <v>32.288319999999999</v>
      </c>
      <c r="K57" s="401"/>
      <c r="L57" s="401"/>
      <c r="M57" s="401"/>
      <c r="N57" s="401">
        <f>5250002/1000</f>
        <v>5250.0020000000004</v>
      </c>
      <c r="O57" s="401">
        <f>2072184.96/1000</f>
        <v>2072.18496</v>
      </c>
      <c r="P57" s="401">
        <f>1129984/1000</f>
        <v>1129.9839999999999</v>
      </c>
      <c r="Q57" s="401">
        <f>4939477/1000</f>
        <v>4939.4769999999999</v>
      </c>
      <c r="R57" s="401"/>
      <c r="S57" s="401">
        <f>(5040.71)/1000</f>
        <v>5.0407099999999998</v>
      </c>
      <c r="T57" s="409"/>
      <c r="U57" s="398"/>
      <c r="V57" s="398"/>
      <c r="W57" s="398"/>
      <c r="X57" s="398"/>
      <c r="Y57" s="396"/>
      <c r="Z57" s="401"/>
      <c r="AA57" s="401"/>
      <c r="AB57" s="401"/>
      <c r="AC57" s="399"/>
      <c r="AD57" s="400">
        <f>SUM(C57:AC57)</f>
        <v>13428.976990000001</v>
      </c>
      <c r="AE57" s="126"/>
    </row>
    <row r="58" spans="1:31" s="63" customFormat="1">
      <c r="A58" s="125" t="s">
        <v>257</v>
      </c>
      <c r="B58" s="167" t="s">
        <v>335</v>
      </c>
      <c r="C58" s="401"/>
      <c r="D58" s="398"/>
      <c r="E58" s="396"/>
      <c r="F58" s="401"/>
      <c r="G58" s="401"/>
      <c r="H58" s="401"/>
      <c r="I58" s="401"/>
      <c r="J58" s="401"/>
      <c r="K58" s="401"/>
      <c r="L58" s="401"/>
      <c r="M58" s="401"/>
      <c r="N58" s="401"/>
      <c r="O58" s="401"/>
      <c r="P58" s="401"/>
      <c r="Q58" s="401"/>
      <c r="R58" s="401"/>
      <c r="S58" s="401"/>
      <c r="T58" s="409"/>
      <c r="U58" s="398"/>
      <c r="V58" s="398"/>
      <c r="W58" s="398"/>
      <c r="X58" s="398"/>
      <c r="Y58" s="396"/>
      <c r="Z58" s="401"/>
      <c r="AA58" s="401"/>
      <c r="AB58" s="401"/>
      <c r="AC58" s="399"/>
      <c r="AD58" s="400">
        <f>SUM(C58:AC58)</f>
        <v>0</v>
      </c>
      <c r="AE58" s="126"/>
    </row>
    <row r="59" spans="1:31" s="63" customFormat="1">
      <c r="A59" s="127" t="s">
        <v>258</v>
      </c>
      <c r="B59" s="168" t="s">
        <v>336</v>
      </c>
      <c r="C59" s="402"/>
      <c r="D59" s="398"/>
      <c r="E59" s="396"/>
      <c r="F59" s="402"/>
      <c r="G59" s="402"/>
      <c r="H59" s="402"/>
      <c r="I59" s="402"/>
      <c r="J59" s="402">
        <f>143488.76/1000</f>
        <v>143.48876000000001</v>
      </c>
      <c r="K59" s="402"/>
      <c r="L59" s="402"/>
      <c r="M59" s="402">
        <f>4274.75/1000</f>
        <v>4.27475</v>
      </c>
      <c r="N59" s="402"/>
      <c r="O59" s="402">
        <f>249074.15/1000</f>
        <v>249.07415</v>
      </c>
      <c r="P59" s="402">
        <f>146652.43/1000</f>
        <v>146.65242999999998</v>
      </c>
      <c r="Q59" s="402"/>
      <c r="R59" s="402"/>
      <c r="S59" s="402"/>
      <c r="T59" s="409"/>
      <c r="U59" s="398"/>
      <c r="V59" s="398"/>
      <c r="W59" s="398"/>
      <c r="X59" s="398"/>
      <c r="Y59" s="396"/>
      <c r="Z59" s="402"/>
      <c r="AA59" s="402"/>
      <c r="AB59" s="402"/>
      <c r="AC59" s="403"/>
      <c r="AD59" s="404">
        <f>SUM(C59:AC59)</f>
        <v>543.49009000000001</v>
      </c>
      <c r="AE59" s="126"/>
    </row>
    <row r="60" spans="1:31" s="63" customFormat="1" ht="15" collapsed="1">
      <c r="A60" s="463" t="s">
        <v>78</v>
      </c>
      <c r="B60" s="464"/>
      <c r="C60" s="401">
        <f>+SUM(C56:C59)</f>
        <v>0</v>
      </c>
      <c r="D60" s="398">
        <f t="shared" ref="D60:AC60" si="10">+SUM(D56:D59)</f>
        <v>0</v>
      </c>
      <c r="E60" s="396">
        <f t="shared" si="10"/>
        <v>0</v>
      </c>
      <c r="F60" s="401">
        <f t="shared" si="10"/>
        <v>0</v>
      </c>
      <c r="G60" s="401">
        <f t="shared" si="10"/>
        <v>0</v>
      </c>
      <c r="H60" s="401">
        <f t="shared" si="10"/>
        <v>0</v>
      </c>
      <c r="I60" s="401">
        <f t="shared" si="10"/>
        <v>0</v>
      </c>
      <c r="J60" s="401">
        <f t="shared" si="10"/>
        <v>425.67307999999997</v>
      </c>
      <c r="K60" s="401">
        <f t="shared" si="10"/>
        <v>0</v>
      </c>
      <c r="L60" s="401">
        <f t="shared" si="10"/>
        <v>0</v>
      </c>
      <c r="M60" s="401">
        <f t="shared" si="10"/>
        <v>4.27475</v>
      </c>
      <c r="N60" s="401">
        <f t="shared" si="10"/>
        <v>5250.0020000000004</v>
      </c>
      <c r="O60" s="401">
        <f t="shared" si="10"/>
        <v>2356.25911</v>
      </c>
      <c r="P60" s="401">
        <f t="shared" si="10"/>
        <v>1276.63643</v>
      </c>
      <c r="Q60" s="401">
        <f t="shared" si="10"/>
        <v>4939.4769999999999</v>
      </c>
      <c r="R60" s="401">
        <f t="shared" si="10"/>
        <v>0</v>
      </c>
      <c r="S60" s="401">
        <f t="shared" si="10"/>
        <v>5.0407099999999998</v>
      </c>
      <c r="T60" s="409">
        <f t="shared" si="10"/>
        <v>0</v>
      </c>
      <c r="U60" s="398">
        <f t="shared" si="10"/>
        <v>0</v>
      </c>
      <c r="V60" s="398">
        <f t="shared" si="10"/>
        <v>0</v>
      </c>
      <c r="W60" s="398">
        <f t="shared" si="10"/>
        <v>0</v>
      </c>
      <c r="X60" s="398">
        <f t="shared" si="10"/>
        <v>0</v>
      </c>
      <c r="Y60" s="396">
        <f t="shared" si="10"/>
        <v>0</v>
      </c>
      <c r="Z60" s="401">
        <f t="shared" si="10"/>
        <v>0</v>
      </c>
      <c r="AA60" s="401">
        <f t="shared" si="10"/>
        <v>0</v>
      </c>
      <c r="AB60" s="401">
        <f t="shared" si="10"/>
        <v>0</v>
      </c>
      <c r="AC60" s="399">
        <f t="shared" si="10"/>
        <v>0</v>
      </c>
      <c r="AD60" s="400">
        <f>SUM(C60:AC60)</f>
        <v>14257.363080000001</v>
      </c>
      <c r="AE60" s="126"/>
    </row>
    <row r="61" spans="1:31" s="63" customFormat="1">
      <c r="A61" s="128"/>
      <c r="B61" s="65"/>
      <c r="C61" s="406"/>
      <c r="D61" s="405"/>
      <c r="E61" s="405"/>
      <c r="F61" s="406"/>
      <c r="G61" s="406"/>
      <c r="H61" s="406"/>
      <c r="I61" s="406"/>
      <c r="J61" s="406"/>
      <c r="K61" s="406"/>
      <c r="L61" s="406"/>
      <c r="M61" s="406"/>
      <c r="N61" s="406"/>
      <c r="O61" s="406"/>
      <c r="P61" s="406"/>
      <c r="Q61" s="406"/>
      <c r="R61" s="405"/>
      <c r="S61" s="406"/>
      <c r="T61" s="405"/>
      <c r="U61" s="405"/>
      <c r="V61" s="405"/>
      <c r="W61" s="405"/>
      <c r="X61" s="405"/>
      <c r="Y61" s="405"/>
      <c r="Z61" s="406"/>
      <c r="AA61" s="405"/>
      <c r="AB61" s="406"/>
      <c r="AC61" s="406"/>
      <c r="AD61" s="407"/>
      <c r="AE61" s="126"/>
    </row>
    <row r="62" spans="1:31" s="63" customFormat="1" ht="15">
      <c r="A62" s="130" t="s">
        <v>79</v>
      </c>
      <c r="B62" s="169" t="s">
        <v>337</v>
      </c>
      <c r="C62" s="406"/>
      <c r="D62" s="408"/>
      <c r="E62" s="408"/>
      <c r="F62" s="406"/>
      <c r="G62" s="406"/>
      <c r="H62" s="406"/>
      <c r="I62" s="406"/>
      <c r="J62" s="406"/>
      <c r="K62" s="406"/>
      <c r="L62" s="406"/>
      <c r="M62" s="408"/>
      <c r="N62" s="406"/>
      <c r="O62" s="406"/>
      <c r="P62" s="406"/>
      <c r="Q62" s="406"/>
      <c r="R62" s="408"/>
      <c r="S62" s="406"/>
      <c r="T62" s="408"/>
      <c r="U62" s="408"/>
      <c r="V62" s="408"/>
      <c r="W62" s="408"/>
      <c r="X62" s="408"/>
      <c r="Y62" s="408"/>
      <c r="Z62" s="406"/>
      <c r="AA62" s="408"/>
      <c r="AB62" s="406"/>
      <c r="AC62" s="406"/>
      <c r="AD62" s="407"/>
      <c r="AE62" s="126"/>
    </row>
    <row r="63" spans="1:31" s="63" customFormat="1">
      <c r="A63" s="125" t="s">
        <v>338</v>
      </c>
      <c r="B63" s="167" t="s">
        <v>339</v>
      </c>
      <c r="C63" s="397"/>
      <c r="D63" s="398"/>
      <c r="E63" s="396"/>
      <c r="F63" s="401"/>
      <c r="G63" s="401"/>
      <c r="H63" s="401"/>
      <c r="I63" s="401"/>
      <c r="J63" s="401">
        <f>26.36/1000</f>
        <v>2.6359999999999998E-2</v>
      </c>
      <c r="K63" s="401"/>
      <c r="L63" s="401"/>
      <c r="M63" s="410"/>
      <c r="N63" s="401">
        <f>1161.25/1000</f>
        <v>1.1612499999999999</v>
      </c>
      <c r="O63" s="401">
        <f>5716896.12/1000</f>
        <v>5716.8961200000003</v>
      </c>
      <c r="P63" s="401"/>
      <c r="Q63" s="401">
        <f>4537.8/1000</f>
        <v>4.5377999999999998</v>
      </c>
      <c r="R63" s="401"/>
      <c r="S63" s="401"/>
      <c r="T63" s="409"/>
      <c r="U63" s="398"/>
      <c r="V63" s="398"/>
      <c r="W63" s="398"/>
      <c r="X63" s="398"/>
      <c r="Y63" s="396"/>
      <c r="Z63" s="401"/>
      <c r="AA63" s="401"/>
      <c r="AB63" s="401"/>
      <c r="AC63" s="399"/>
      <c r="AD63" s="400">
        <f t="shared" ref="AD63:AD72" si="11">SUM(C63:AC63)</f>
        <v>5722.6215300000003</v>
      </c>
      <c r="AE63" s="126"/>
    </row>
    <row r="64" spans="1:31" s="63" customFormat="1">
      <c r="A64" s="125" t="s">
        <v>264</v>
      </c>
      <c r="B64" s="167" t="s">
        <v>340</v>
      </c>
      <c r="C64" s="401"/>
      <c r="D64" s="398"/>
      <c r="E64" s="396"/>
      <c r="F64" s="401"/>
      <c r="G64" s="401"/>
      <c r="H64" s="401"/>
      <c r="I64" s="401"/>
      <c r="J64" s="401">
        <f>295.75/1000</f>
        <v>0.29575000000000001</v>
      </c>
      <c r="K64" s="401"/>
      <c r="L64" s="401"/>
      <c r="M64" s="428"/>
      <c r="N64" s="401"/>
      <c r="O64" s="401">
        <f>109498.35/1000</f>
        <v>109.49835</v>
      </c>
      <c r="P64" s="401"/>
      <c r="Q64" s="401"/>
      <c r="R64" s="401"/>
      <c r="S64" s="401"/>
      <c r="T64" s="409"/>
      <c r="U64" s="398"/>
      <c r="V64" s="398"/>
      <c r="W64" s="398"/>
      <c r="X64" s="398"/>
      <c r="Y64" s="396"/>
      <c r="Z64" s="401"/>
      <c r="AA64" s="401"/>
      <c r="AB64" s="401"/>
      <c r="AC64" s="399"/>
      <c r="AD64" s="400">
        <f t="shared" si="11"/>
        <v>109.7941</v>
      </c>
      <c r="AE64" s="126"/>
    </row>
    <row r="65" spans="1:31" s="63" customFormat="1">
      <c r="A65" s="125" t="s">
        <v>265</v>
      </c>
      <c r="B65" s="167" t="s">
        <v>341</v>
      </c>
      <c r="C65" s="401"/>
      <c r="D65" s="398"/>
      <c r="E65" s="396"/>
      <c r="F65" s="401"/>
      <c r="G65" s="401"/>
      <c r="H65" s="401"/>
      <c r="I65" s="401"/>
      <c r="J65" s="401"/>
      <c r="K65" s="401"/>
      <c r="L65" s="401"/>
      <c r="M65" s="401"/>
      <c r="N65" s="401"/>
      <c r="O65" s="401">
        <f>121581.94/1000</f>
        <v>121.58194</v>
      </c>
      <c r="P65" s="401"/>
      <c r="Q65" s="401"/>
      <c r="R65" s="401"/>
      <c r="S65" s="401"/>
      <c r="T65" s="409"/>
      <c r="U65" s="398"/>
      <c r="V65" s="398"/>
      <c r="W65" s="398"/>
      <c r="X65" s="398"/>
      <c r="Y65" s="396"/>
      <c r="Z65" s="401"/>
      <c r="AA65" s="401"/>
      <c r="AB65" s="401"/>
      <c r="AC65" s="399"/>
      <c r="AD65" s="400">
        <f t="shared" si="11"/>
        <v>121.58194</v>
      </c>
      <c r="AE65" s="126"/>
    </row>
    <row r="66" spans="1:31" s="63" customFormat="1">
      <c r="A66" s="125" t="s">
        <v>342</v>
      </c>
      <c r="B66" s="167" t="s">
        <v>343</v>
      </c>
      <c r="C66" s="401"/>
      <c r="D66" s="398"/>
      <c r="E66" s="396"/>
      <c r="F66" s="401"/>
      <c r="G66" s="401"/>
      <c r="H66" s="401"/>
      <c r="I66" s="401"/>
      <c r="J66" s="401">
        <f>4221.54/1000</f>
        <v>4.2215400000000001</v>
      </c>
      <c r="K66" s="401"/>
      <c r="L66" s="401"/>
      <c r="M66" s="401"/>
      <c r="N66" s="401">
        <f>19250/1000</f>
        <v>19.25</v>
      </c>
      <c r="O66" s="401">
        <f>2759418/1000</f>
        <v>2759.4180000000001</v>
      </c>
      <c r="P66" s="401"/>
      <c r="Q66" s="401">
        <f>257699.76/1000</f>
        <v>257.69976000000003</v>
      </c>
      <c r="R66" s="401"/>
      <c r="S66" s="401">
        <f>(173.07)/1000</f>
        <v>0.17307</v>
      </c>
      <c r="T66" s="409"/>
      <c r="U66" s="398"/>
      <c r="V66" s="398"/>
      <c r="W66" s="398"/>
      <c r="X66" s="398"/>
      <c r="Y66" s="396"/>
      <c r="Z66" s="401"/>
      <c r="AA66" s="401"/>
      <c r="AB66" s="401"/>
      <c r="AC66" s="399"/>
      <c r="AD66" s="400">
        <f t="shared" si="11"/>
        <v>3040.7623699999999</v>
      </c>
      <c r="AE66" s="126"/>
    </row>
    <row r="67" spans="1:31" s="63" customFormat="1">
      <c r="A67" s="125" t="s">
        <v>344</v>
      </c>
      <c r="B67" s="167" t="s">
        <v>345</v>
      </c>
      <c r="C67" s="401"/>
      <c r="D67" s="398"/>
      <c r="E67" s="396"/>
      <c r="F67" s="401"/>
      <c r="G67" s="401"/>
      <c r="H67" s="401"/>
      <c r="I67" s="401"/>
      <c r="J67" s="401"/>
      <c r="K67" s="401"/>
      <c r="L67" s="401"/>
      <c r="M67" s="429"/>
      <c r="N67" s="401"/>
      <c r="O67" s="401">
        <f>1350000/1000</f>
        <v>1350</v>
      </c>
      <c r="P67" s="401"/>
      <c r="Q67" s="401"/>
      <c r="R67" s="401"/>
      <c r="S67" s="401"/>
      <c r="T67" s="409"/>
      <c r="U67" s="398"/>
      <c r="V67" s="398"/>
      <c r="W67" s="398"/>
      <c r="X67" s="398"/>
      <c r="Y67" s="396"/>
      <c r="Z67" s="401"/>
      <c r="AA67" s="401"/>
      <c r="AB67" s="401"/>
      <c r="AC67" s="399"/>
      <c r="AD67" s="400">
        <f t="shared" si="11"/>
        <v>1350</v>
      </c>
      <c r="AE67" s="126"/>
    </row>
    <row r="68" spans="1:31" s="63" customFormat="1">
      <c r="A68" s="125" t="s">
        <v>346</v>
      </c>
      <c r="B68" s="167" t="s">
        <v>347</v>
      </c>
      <c r="C68" s="401"/>
      <c r="D68" s="398"/>
      <c r="E68" s="396"/>
      <c r="F68" s="401"/>
      <c r="G68" s="401"/>
      <c r="H68" s="401"/>
      <c r="I68" s="401"/>
      <c r="J68" s="401"/>
      <c r="K68" s="401"/>
      <c r="L68" s="401"/>
      <c r="M68" s="401"/>
      <c r="N68" s="401"/>
      <c r="O68" s="401"/>
      <c r="P68" s="401"/>
      <c r="Q68" s="401"/>
      <c r="R68" s="401"/>
      <c r="S68" s="401"/>
      <c r="T68" s="409"/>
      <c r="U68" s="398"/>
      <c r="V68" s="398"/>
      <c r="W68" s="398"/>
      <c r="X68" s="398"/>
      <c r="Y68" s="396"/>
      <c r="Z68" s="401"/>
      <c r="AA68" s="401"/>
      <c r="AB68" s="401"/>
      <c r="AC68" s="399"/>
      <c r="AD68" s="400">
        <f t="shared" si="11"/>
        <v>0</v>
      </c>
      <c r="AE68" s="126"/>
    </row>
    <row r="69" spans="1:31" s="63" customFormat="1">
      <c r="A69" s="125" t="s">
        <v>348</v>
      </c>
      <c r="B69" s="167" t="s">
        <v>349</v>
      </c>
      <c r="C69" s="401"/>
      <c r="D69" s="398"/>
      <c r="E69" s="396"/>
      <c r="F69" s="401"/>
      <c r="G69" s="401"/>
      <c r="H69" s="401"/>
      <c r="I69" s="401"/>
      <c r="J69" s="401"/>
      <c r="K69" s="401"/>
      <c r="L69" s="401"/>
      <c r="M69" s="429"/>
      <c r="N69" s="401">
        <f>615914.17/1000</f>
        <v>615.91417000000001</v>
      </c>
      <c r="O69" s="401">
        <f>42250/1000</f>
        <v>42.25</v>
      </c>
      <c r="P69" s="401"/>
      <c r="Q69" s="401"/>
      <c r="R69" s="401"/>
      <c r="S69" s="401"/>
      <c r="T69" s="409"/>
      <c r="U69" s="398"/>
      <c r="V69" s="398"/>
      <c r="W69" s="398"/>
      <c r="X69" s="398"/>
      <c r="Y69" s="396"/>
      <c r="Z69" s="401"/>
      <c r="AA69" s="401"/>
      <c r="AB69" s="401"/>
      <c r="AC69" s="399"/>
      <c r="AD69" s="400">
        <f t="shared" si="11"/>
        <v>658.16417000000001</v>
      </c>
      <c r="AE69" s="126"/>
    </row>
    <row r="70" spans="1:31" s="63" customFormat="1">
      <c r="A70" s="125" t="s">
        <v>350</v>
      </c>
      <c r="B70" s="167" t="s">
        <v>351</v>
      </c>
      <c r="C70" s="401"/>
      <c r="D70" s="398"/>
      <c r="E70" s="396"/>
      <c r="F70" s="401"/>
      <c r="G70" s="401"/>
      <c r="H70" s="401"/>
      <c r="I70" s="401"/>
      <c r="J70" s="401">
        <f>24811.68/1000</f>
        <v>24.811679999999999</v>
      </c>
      <c r="K70" s="401"/>
      <c r="L70" s="401"/>
      <c r="M70" s="401"/>
      <c r="N70" s="401"/>
      <c r="O70" s="401">
        <f>269786.53/1000</f>
        <v>269.78653000000003</v>
      </c>
      <c r="P70" s="401"/>
      <c r="Q70" s="401">
        <f>96336.08/1000</f>
        <v>96.336079999999995</v>
      </c>
      <c r="R70" s="401"/>
      <c r="S70" s="401"/>
      <c r="T70" s="409"/>
      <c r="U70" s="398"/>
      <c r="V70" s="398"/>
      <c r="W70" s="398"/>
      <c r="X70" s="398"/>
      <c r="Y70" s="396"/>
      <c r="Z70" s="401"/>
      <c r="AA70" s="401"/>
      <c r="AB70" s="401"/>
      <c r="AC70" s="399"/>
      <c r="AD70" s="400">
        <f t="shared" si="11"/>
        <v>390.93429000000003</v>
      </c>
      <c r="AE70" s="126"/>
    </row>
    <row r="71" spans="1:31" s="63" customFormat="1">
      <c r="A71" s="127" t="s">
        <v>352</v>
      </c>
      <c r="B71" s="168" t="s">
        <v>353</v>
      </c>
      <c r="C71" s="402"/>
      <c r="D71" s="398"/>
      <c r="E71" s="396"/>
      <c r="F71" s="402"/>
      <c r="G71" s="402"/>
      <c r="H71" s="402"/>
      <c r="I71" s="402"/>
      <c r="J71" s="402">
        <f>1132.3/1000</f>
        <v>1.1322999999999999</v>
      </c>
      <c r="K71" s="402"/>
      <c r="L71" s="402"/>
      <c r="M71" s="427"/>
      <c r="N71" s="402">
        <f>27084638.82/1000</f>
        <v>27084.63882</v>
      </c>
      <c r="O71" s="402">
        <f>-6271.75/1000</f>
        <v>-6.2717499999999999</v>
      </c>
      <c r="P71" s="402"/>
      <c r="Q71" s="402"/>
      <c r="R71" s="402"/>
      <c r="S71" s="402"/>
      <c r="T71" s="409"/>
      <c r="U71" s="398"/>
      <c r="V71" s="398"/>
      <c r="W71" s="398"/>
      <c r="X71" s="398"/>
      <c r="Y71" s="396"/>
      <c r="Z71" s="402"/>
      <c r="AA71" s="402"/>
      <c r="AB71" s="402"/>
      <c r="AC71" s="403"/>
      <c r="AD71" s="404">
        <f t="shared" si="11"/>
        <v>27079.499370000001</v>
      </c>
      <c r="AE71" s="126"/>
    </row>
    <row r="72" spans="1:31" s="63" customFormat="1" ht="15" collapsed="1">
      <c r="A72" s="463" t="s">
        <v>82</v>
      </c>
      <c r="B72" s="464"/>
      <c r="C72" s="401">
        <f>SUM(C63:C71)</f>
        <v>0</v>
      </c>
      <c r="D72" s="398">
        <f t="shared" ref="D72:AC72" si="12">SUM(D63:D71)</f>
        <v>0</v>
      </c>
      <c r="E72" s="396">
        <f t="shared" si="12"/>
        <v>0</v>
      </c>
      <c r="F72" s="401">
        <f t="shared" si="12"/>
        <v>0</v>
      </c>
      <c r="G72" s="401">
        <f t="shared" si="12"/>
        <v>0</v>
      </c>
      <c r="H72" s="401">
        <f t="shared" si="12"/>
        <v>0</v>
      </c>
      <c r="I72" s="401">
        <f t="shared" si="12"/>
        <v>0</v>
      </c>
      <c r="J72" s="401">
        <f t="shared" si="12"/>
        <v>30.487629999999999</v>
      </c>
      <c r="K72" s="401">
        <f t="shared" si="12"/>
        <v>0</v>
      </c>
      <c r="L72" s="401">
        <f t="shared" si="12"/>
        <v>0</v>
      </c>
      <c r="M72" s="401">
        <f t="shared" si="12"/>
        <v>0</v>
      </c>
      <c r="N72" s="401">
        <f t="shared" si="12"/>
        <v>27720.964240000001</v>
      </c>
      <c r="O72" s="401">
        <f t="shared" si="12"/>
        <v>10363.15919</v>
      </c>
      <c r="P72" s="401">
        <f t="shared" si="12"/>
        <v>0</v>
      </c>
      <c r="Q72" s="401">
        <f t="shared" si="12"/>
        <v>358.57364000000001</v>
      </c>
      <c r="R72" s="401">
        <f t="shared" si="12"/>
        <v>0</v>
      </c>
      <c r="S72" s="401">
        <f t="shared" si="12"/>
        <v>0.17307</v>
      </c>
      <c r="T72" s="409">
        <f t="shared" si="12"/>
        <v>0</v>
      </c>
      <c r="U72" s="398">
        <f t="shared" si="12"/>
        <v>0</v>
      </c>
      <c r="V72" s="398">
        <f t="shared" si="12"/>
        <v>0</v>
      </c>
      <c r="W72" s="398">
        <f t="shared" si="12"/>
        <v>0</v>
      </c>
      <c r="X72" s="398">
        <f t="shared" si="12"/>
        <v>0</v>
      </c>
      <c r="Y72" s="396">
        <f t="shared" si="12"/>
        <v>0</v>
      </c>
      <c r="Z72" s="401">
        <f t="shared" si="12"/>
        <v>0</v>
      </c>
      <c r="AA72" s="401">
        <f t="shared" si="12"/>
        <v>0</v>
      </c>
      <c r="AB72" s="401">
        <f t="shared" si="12"/>
        <v>0</v>
      </c>
      <c r="AC72" s="399">
        <f t="shared" si="12"/>
        <v>0</v>
      </c>
      <c r="AD72" s="400">
        <f t="shared" si="11"/>
        <v>38473.357770000002</v>
      </c>
      <c r="AE72" s="126"/>
    </row>
    <row r="73" spans="1:31" s="63" customFormat="1">
      <c r="A73" s="128"/>
      <c r="B73" s="65"/>
      <c r="C73" s="406"/>
      <c r="D73" s="405"/>
      <c r="E73" s="405"/>
      <c r="F73" s="406"/>
      <c r="G73" s="406"/>
      <c r="H73" s="406"/>
      <c r="I73" s="406"/>
      <c r="J73" s="406"/>
      <c r="K73" s="406"/>
      <c r="L73" s="406"/>
      <c r="M73" s="406"/>
      <c r="N73" s="406"/>
      <c r="O73" s="406"/>
      <c r="P73" s="406"/>
      <c r="Q73" s="406"/>
      <c r="R73" s="405"/>
      <c r="S73" s="406"/>
      <c r="T73" s="405"/>
      <c r="U73" s="405"/>
      <c r="V73" s="405"/>
      <c r="W73" s="405"/>
      <c r="X73" s="405"/>
      <c r="Y73" s="405"/>
      <c r="Z73" s="406"/>
      <c r="AA73" s="405"/>
      <c r="AB73" s="406"/>
      <c r="AC73" s="406"/>
      <c r="AD73" s="407"/>
      <c r="AE73" s="126"/>
    </row>
    <row r="74" spans="1:31" s="63" customFormat="1" ht="15">
      <c r="A74" s="130" t="s">
        <v>83</v>
      </c>
      <c r="B74" s="169" t="s">
        <v>80</v>
      </c>
      <c r="C74" s="406"/>
      <c r="D74" s="408"/>
      <c r="E74" s="408"/>
      <c r="F74" s="406"/>
      <c r="G74" s="406"/>
      <c r="H74" s="406"/>
      <c r="I74" s="406"/>
      <c r="J74" s="406"/>
      <c r="K74" s="406"/>
      <c r="L74" s="406"/>
      <c r="M74" s="408"/>
      <c r="N74" s="406"/>
      <c r="O74" s="406"/>
      <c r="P74" s="406"/>
      <c r="Q74" s="406"/>
      <c r="R74" s="408"/>
      <c r="S74" s="406"/>
      <c r="T74" s="408"/>
      <c r="U74" s="408"/>
      <c r="V74" s="408"/>
      <c r="W74" s="408"/>
      <c r="X74" s="408"/>
      <c r="Y74" s="408"/>
      <c r="Z74" s="406"/>
      <c r="AA74" s="408"/>
      <c r="AB74" s="406"/>
      <c r="AC74" s="406"/>
      <c r="AD74" s="407"/>
      <c r="AE74" s="126"/>
    </row>
    <row r="75" spans="1:31" s="63" customFormat="1">
      <c r="A75" s="125" t="s">
        <v>354</v>
      </c>
      <c r="B75" s="167" t="s">
        <v>355</v>
      </c>
      <c r="C75" s="397"/>
      <c r="D75" s="398"/>
      <c r="E75" s="396"/>
      <c r="F75" s="401"/>
      <c r="G75" s="401"/>
      <c r="H75" s="401"/>
      <c r="I75" s="401"/>
      <c r="J75" s="401"/>
      <c r="K75" s="401"/>
      <c r="L75" s="401"/>
      <c r="M75" s="410"/>
      <c r="N75" s="401"/>
      <c r="O75" s="401"/>
      <c r="P75" s="401"/>
      <c r="Q75" s="401"/>
      <c r="R75" s="401"/>
      <c r="S75" s="401"/>
      <c r="T75" s="409"/>
      <c r="U75" s="398"/>
      <c r="V75" s="398"/>
      <c r="W75" s="398"/>
      <c r="X75" s="398"/>
      <c r="Y75" s="396"/>
      <c r="Z75" s="401"/>
      <c r="AA75" s="401"/>
      <c r="AB75" s="401"/>
      <c r="AC75" s="399"/>
      <c r="AD75" s="400">
        <f>SUM(C75:AC75)</f>
        <v>0</v>
      </c>
      <c r="AE75" s="126"/>
    </row>
    <row r="76" spans="1:31" s="63" customFormat="1">
      <c r="A76" s="125" t="s">
        <v>356</v>
      </c>
      <c r="B76" s="167" t="s">
        <v>81</v>
      </c>
      <c r="C76" s="401"/>
      <c r="D76" s="398"/>
      <c r="E76" s="396"/>
      <c r="F76" s="401"/>
      <c r="G76" s="401"/>
      <c r="H76" s="401">
        <f>706222.02/1000</f>
        <v>706.22202000000004</v>
      </c>
      <c r="I76" s="401"/>
      <c r="J76" s="401">
        <f>702396.55/1000</f>
        <v>702.39655000000005</v>
      </c>
      <c r="K76" s="401">
        <f>97/1000</f>
        <v>9.7000000000000003E-2</v>
      </c>
      <c r="L76" s="401">
        <f>25966.03/1000</f>
        <v>25.96603</v>
      </c>
      <c r="M76" s="437"/>
      <c r="N76" s="401">
        <f>398725.11/1000</f>
        <v>398.72510999999997</v>
      </c>
      <c r="O76" s="401">
        <f>2747857.26/1000</f>
        <v>2747.8572599999998</v>
      </c>
      <c r="P76" s="401">
        <f>(-150000)/1000</f>
        <v>-150</v>
      </c>
      <c r="Q76" s="401">
        <f>(19413.15+11851.22)/1000</f>
        <v>31.264370000000003</v>
      </c>
      <c r="R76" s="401"/>
      <c r="S76" s="401">
        <f>(226.29)/1000</f>
        <v>0.22628999999999999</v>
      </c>
      <c r="T76" s="409"/>
      <c r="U76" s="398"/>
      <c r="V76" s="398"/>
      <c r="W76" s="398"/>
      <c r="X76" s="398"/>
      <c r="Y76" s="396"/>
      <c r="Z76" s="401"/>
      <c r="AA76" s="401"/>
      <c r="AB76" s="401"/>
      <c r="AC76" s="399"/>
      <c r="AD76" s="400">
        <f>SUM(C76:AC76)</f>
        <v>4462.7546299999995</v>
      </c>
      <c r="AE76" s="126"/>
    </row>
    <row r="77" spans="1:31" s="63" customFormat="1">
      <c r="A77" s="125" t="s">
        <v>357</v>
      </c>
      <c r="B77" s="167" t="s">
        <v>358</v>
      </c>
      <c r="C77" s="401"/>
      <c r="D77" s="398"/>
      <c r="E77" s="396"/>
      <c r="F77" s="401"/>
      <c r="G77" s="401"/>
      <c r="H77" s="401"/>
      <c r="I77" s="401">
        <f>694.8/1000</f>
        <v>0.69479999999999997</v>
      </c>
      <c r="J77" s="401">
        <f>37037.78/1000</f>
        <v>37.037779999999998</v>
      </c>
      <c r="K77" s="401"/>
      <c r="L77" s="401"/>
      <c r="M77" s="410"/>
      <c r="N77" s="401">
        <f>79841.5/1000</f>
        <v>79.841499999999996</v>
      </c>
      <c r="O77" s="401">
        <f>627631.25/1000</f>
        <v>627.63125000000002</v>
      </c>
      <c r="P77" s="401">
        <f>1892578/1000</f>
        <v>1892.578</v>
      </c>
      <c r="Q77" s="401">
        <f>160000/1000</f>
        <v>160</v>
      </c>
      <c r="R77" s="401"/>
      <c r="S77" s="401"/>
      <c r="T77" s="409"/>
      <c r="U77" s="398"/>
      <c r="V77" s="398"/>
      <c r="W77" s="398"/>
      <c r="X77" s="398"/>
      <c r="Y77" s="396"/>
      <c r="Z77" s="401"/>
      <c r="AA77" s="401"/>
      <c r="AB77" s="401"/>
      <c r="AC77" s="399"/>
      <c r="AD77" s="400">
        <f>SUM(C77:AC77)</f>
        <v>2797.7833300000002</v>
      </c>
      <c r="AE77" s="126"/>
    </row>
    <row r="78" spans="1:31" s="63" customFormat="1">
      <c r="A78" s="127" t="s">
        <v>359</v>
      </c>
      <c r="B78" s="168" t="s">
        <v>360</v>
      </c>
      <c r="C78" s="402"/>
      <c r="D78" s="398"/>
      <c r="E78" s="396"/>
      <c r="F78" s="402"/>
      <c r="G78" s="402"/>
      <c r="H78" s="402"/>
      <c r="I78" s="402"/>
      <c r="J78" s="402"/>
      <c r="K78" s="402"/>
      <c r="L78" s="402"/>
      <c r="M78" s="410"/>
      <c r="N78" s="402"/>
      <c r="O78" s="402"/>
      <c r="P78" s="402"/>
      <c r="Q78" s="402"/>
      <c r="R78" s="402"/>
      <c r="S78" s="402"/>
      <c r="T78" s="409"/>
      <c r="U78" s="398"/>
      <c r="V78" s="398"/>
      <c r="W78" s="398"/>
      <c r="X78" s="398"/>
      <c r="Y78" s="396"/>
      <c r="Z78" s="402"/>
      <c r="AA78" s="402"/>
      <c r="AB78" s="402"/>
      <c r="AC78" s="403"/>
      <c r="AD78" s="404">
        <f>SUM(C78:AC78)</f>
        <v>0</v>
      </c>
      <c r="AE78" s="126"/>
    </row>
    <row r="79" spans="1:31" s="63" customFormat="1" ht="15" collapsed="1">
      <c r="A79" s="463" t="s">
        <v>91</v>
      </c>
      <c r="B79" s="464"/>
      <c r="C79" s="401">
        <f>SUM(C75:C78)</f>
        <v>0</v>
      </c>
      <c r="D79" s="398">
        <f t="shared" ref="D79:AC79" si="13">SUM(D75:D78)</f>
        <v>0</v>
      </c>
      <c r="E79" s="396">
        <f t="shared" si="13"/>
        <v>0</v>
      </c>
      <c r="F79" s="401">
        <f t="shared" si="13"/>
        <v>0</v>
      </c>
      <c r="G79" s="401">
        <f t="shared" si="13"/>
        <v>0</v>
      </c>
      <c r="H79" s="401">
        <f t="shared" si="13"/>
        <v>706.22202000000004</v>
      </c>
      <c r="I79" s="401">
        <f t="shared" si="13"/>
        <v>0.69479999999999997</v>
      </c>
      <c r="J79" s="401">
        <f t="shared" si="13"/>
        <v>739.43433000000005</v>
      </c>
      <c r="K79" s="401">
        <f t="shared" si="13"/>
        <v>9.7000000000000003E-2</v>
      </c>
      <c r="L79" s="401">
        <f t="shared" si="13"/>
        <v>25.96603</v>
      </c>
      <c r="M79" s="410">
        <f t="shared" si="13"/>
        <v>0</v>
      </c>
      <c r="N79" s="401">
        <f t="shared" si="13"/>
        <v>478.56660999999997</v>
      </c>
      <c r="O79" s="401">
        <f t="shared" si="13"/>
        <v>3375.4885099999997</v>
      </c>
      <c r="P79" s="401">
        <f t="shared" si="13"/>
        <v>1742.578</v>
      </c>
      <c r="Q79" s="401">
        <f t="shared" si="13"/>
        <v>191.26437000000001</v>
      </c>
      <c r="R79" s="401">
        <f t="shared" si="13"/>
        <v>0</v>
      </c>
      <c r="S79" s="401">
        <f t="shared" si="13"/>
        <v>0.22628999999999999</v>
      </c>
      <c r="T79" s="409">
        <f t="shared" si="13"/>
        <v>0</v>
      </c>
      <c r="U79" s="398">
        <f t="shared" si="13"/>
        <v>0</v>
      </c>
      <c r="V79" s="398">
        <f t="shared" si="13"/>
        <v>0</v>
      </c>
      <c r="W79" s="398">
        <f t="shared" si="13"/>
        <v>0</v>
      </c>
      <c r="X79" s="398">
        <f t="shared" si="13"/>
        <v>0</v>
      </c>
      <c r="Y79" s="396">
        <f t="shared" si="13"/>
        <v>0</v>
      </c>
      <c r="Z79" s="401">
        <f t="shared" si="13"/>
        <v>0</v>
      </c>
      <c r="AA79" s="401">
        <f t="shared" si="13"/>
        <v>0</v>
      </c>
      <c r="AB79" s="401">
        <f t="shared" si="13"/>
        <v>0</v>
      </c>
      <c r="AC79" s="399">
        <f t="shared" si="13"/>
        <v>0</v>
      </c>
      <c r="AD79" s="400">
        <f>SUM(C79:AC79)</f>
        <v>7260.5379599999997</v>
      </c>
      <c r="AE79" s="126"/>
    </row>
    <row r="80" spans="1:31" s="63" customFormat="1">
      <c r="A80" s="128"/>
      <c r="B80" s="65"/>
      <c r="C80" s="406"/>
      <c r="D80" s="405"/>
      <c r="E80" s="405"/>
      <c r="F80" s="406"/>
      <c r="G80" s="406"/>
      <c r="H80" s="406"/>
      <c r="I80" s="406"/>
      <c r="J80" s="406"/>
      <c r="K80" s="406"/>
      <c r="L80" s="406"/>
      <c r="M80" s="405"/>
      <c r="N80" s="406"/>
      <c r="O80" s="406"/>
      <c r="P80" s="406"/>
      <c r="Q80" s="406"/>
      <c r="R80" s="405"/>
      <c r="S80" s="406"/>
      <c r="T80" s="405"/>
      <c r="U80" s="405"/>
      <c r="V80" s="405"/>
      <c r="W80" s="405"/>
      <c r="X80" s="405"/>
      <c r="Y80" s="405"/>
      <c r="Z80" s="406"/>
      <c r="AA80" s="405"/>
      <c r="AB80" s="406"/>
      <c r="AC80" s="406"/>
      <c r="AD80" s="407"/>
      <c r="AE80" s="126"/>
    </row>
    <row r="81" spans="1:31" s="63" customFormat="1" ht="15">
      <c r="A81" s="62" t="s">
        <v>60</v>
      </c>
      <c r="B81" s="170" t="s">
        <v>84</v>
      </c>
      <c r="C81" s="406"/>
      <c r="D81" s="408"/>
      <c r="E81" s="408"/>
      <c r="F81" s="406"/>
      <c r="G81" s="406"/>
      <c r="H81" s="406"/>
      <c r="I81" s="406"/>
      <c r="J81" s="406"/>
      <c r="K81" s="406"/>
      <c r="L81" s="406"/>
      <c r="M81" s="408"/>
      <c r="N81" s="406"/>
      <c r="O81" s="406"/>
      <c r="P81" s="406"/>
      <c r="Q81" s="406"/>
      <c r="R81" s="408"/>
      <c r="S81" s="406"/>
      <c r="T81" s="408"/>
      <c r="U81" s="408"/>
      <c r="V81" s="408"/>
      <c r="W81" s="406"/>
      <c r="X81" s="408"/>
      <c r="Y81" s="408"/>
      <c r="Z81" s="408"/>
      <c r="AA81" s="408"/>
      <c r="AB81" s="406"/>
      <c r="AC81" s="406"/>
      <c r="AD81" s="407"/>
      <c r="AE81" s="126"/>
    </row>
    <row r="82" spans="1:31" s="63" customFormat="1">
      <c r="A82" s="125" t="s">
        <v>29</v>
      </c>
      <c r="B82" s="167" t="s">
        <v>85</v>
      </c>
      <c r="C82" s="397"/>
      <c r="D82" s="398"/>
      <c r="E82" s="396"/>
      <c r="F82" s="401"/>
      <c r="G82" s="401"/>
      <c r="H82" s="401"/>
      <c r="I82" s="401"/>
      <c r="J82" s="401"/>
      <c r="K82" s="401"/>
      <c r="L82" s="401"/>
      <c r="M82" s="410"/>
      <c r="N82" s="401"/>
      <c r="O82" s="401"/>
      <c r="P82" s="401"/>
      <c r="Q82" s="401"/>
      <c r="R82" s="401">
        <f>445265.66/1000</f>
        <v>445.26565999999997</v>
      </c>
      <c r="S82" s="401"/>
      <c r="T82" s="401"/>
      <c r="U82" s="401"/>
      <c r="V82" s="396"/>
      <c r="W82" s="401"/>
      <c r="X82" s="409"/>
      <c r="Y82" s="398"/>
      <c r="Z82" s="398"/>
      <c r="AA82" s="396"/>
      <c r="AB82" s="401"/>
      <c r="AC82" s="399"/>
      <c r="AD82" s="400">
        <f t="shared" ref="AD82:AD92" si="14">SUM(C82:AC82)</f>
        <v>445.26565999999997</v>
      </c>
      <c r="AE82" s="126"/>
    </row>
    <row r="83" spans="1:31" s="63" customFormat="1">
      <c r="A83" s="125" t="s">
        <v>361</v>
      </c>
      <c r="B83" s="167" t="s">
        <v>87</v>
      </c>
      <c r="C83" s="401"/>
      <c r="D83" s="398"/>
      <c r="E83" s="396"/>
      <c r="F83" s="401"/>
      <c r="G83" s="401"/>
      <c r="H83" s="401"/>
      <c r="I83" s="401"/>
      <c r="J83" s="401"/>
      <c r="K83" s="401"/>
      <c r="L83" s="401"/>
      <c r="M83" s="410"/>
      <c r="N83" s="401"/>
      <c r="O83" s="401"/>
      <c r="P83" s="401"/>
      <c r="Q83" s="401"/>
      <c r="R83" s="401">
        <f>1985.05/1000</f>
        <v>1.98505</v>
      </c>
      <c r="S83" s="401"/>
      <c r="T83" s="409"/>
      <c r="U83" s="398"/>
      <c r="V83" s="401"/>
      <c r="W83" s="401"/>
      <c r="X83" s="409"/>
      <c r="Y83" s="398"/>
      <c r="Z83" s="398"/>
      <c r="AA83" s="396"/>
      <c r="AB83" s="401"/>
      <c r="AC83" s="399"/>
      <c r="AD83" s="400">
        <f t="shared" si="14"/>
        <v>1.98505</v>
      </c>
      <c r="AE83" s="126"/>
    </row>
    <row r="84" spans="1:31" s="63" customFormat="1">
      <c r="A84" s="125" t="s">
        <v>362</v>
      </c>
      <c r="B84" s="167" t="s">
        <v>363</v>
      </c>
      <c r="C84" s="401"/>
      <c r="D84" s="398"/>
      <c r="E84" s="396"/>
      <c r="F84" s="401"/>
      <c r="G84" s="401"/>
      <c r="H84" s="401"/>
      <c r="I84" s="401"/>
      <c r="J84" s="401"/>
      <c r="K84" s="401"/>
      <c r="L84" s="401"/>
      <c r="M84" s="410"/>
      <c r="N84" s="401"/>
      <c r="O84" s="401"/>
      <c r="P84" s="401"/>
      <c r="Q84" s="401"/>
      <c r="R84" s="401"/>
      <c r="S84" s="401"/>
      <c r="T84" s="409"/>
      <c r="U84" s="398"/>
      <c r="V84" s="398"/>
      <c r="W84" s="408"/>
      <c r="X84" s="398"/>
      <c r="Y84" s="398"/>
      <c r="Z84" s="398"/>
      <c r="AA84" s="396"/>
      <c r="AB84" s="401"/>
      <c r="AC84" s="399"/>
      <c r="AD84" s="400">
        <f t="shared" si="14"/>
        <v>0</v>
      </c>
      <c r="AE84" s="126"/>
    </row>
    <row r="85" spans="1:31" s="63" customFormat="1">
      <c r="A85" s="125" t="s">
        <v>364</v>
      </c>
      <c r="B85" s="171" t="s">
        <v>365</v>
      </c>
      <c r="C85" s="401"/>
      <c r="D85" s="398"/>
      <c r="E85" s="396"/>
      <c r="F85" s="401"/>
      <c r="G85" s="401"/>
      <c r="H85" s="401"/>
      <c r="I85" s="401"/>
      <c r="J85" s="401"/>
      <c r="K85" s="401"/>
      <c r="L85" s="401"/>
      <c r="M85" s="410"/>
      <c r="N85" s="401"/>
      <c r="O85" s="401"/>
      <c r="P85" s="401"/>
      <c r="Q85" s="401"/>
      <c r="R85" s="401"/>
      <c r="S85" s="401"/>
      <c r="T85" s="409"/>
      <c r="U85" s="398"/>
      <c r="V85" s="398"/>
      <c r="W85" s="398"/>
      <c r="X85" s="398"/>
      <c r="Y85" s="398"/>
      <c r="Z85" s="405"/>
      <c r="AA85" s="396"/>
      <c r="AB85" s="401"/>
      <c r="AC85" s="399"/>
      <c r="AD85" s="400">
        <f t="shared" si="14"/>
        <v>0</v>
      </c>
      <c r="AE85" s="126"/>
    </row>
    <row r="86" spans="1:31" s="63" customFormat="1">
      <c r="A86" s="132" t="s">
        <v>366</v>
      </c>
      <c r="B86" s="171" t="s">
        <v>86</v>
      </c>
      <c r="C86" s="401"/>
      <c r="D86" s="398"/>
      <c r="E86" s="396"/>
      <c r="F86" s="402"/>
      <c r="G86" s="402"/>
      <c r="H86" s="402"/>
      <c r="I86" s="402"/>
      <c r="J86" s="402"/>
      <c r="K86" s="402"/>
      <c r="L86" s="402"/>
      <c r="M86" s="410"/>
      <c r="N86" s="402"/>
      <c r="O86" s="402"/>
      <c r="P86" s="402"/>
      <c r="Q86" s="402"/>
      <c r="R86" s="402"/>
      <c r="S86" s="402"/>
      <c r="T86" s="409"/>
      <c r="U86" s="398"/>
      <c r="V86" s="398"/>
      <c r="W86" s="398"/>
      <c r="X86" s="398"/>
      <c r="Y86" s="396"/>
      <c r="Z86" s="402"/>
      <c r="AA86" s="410"/>
      <c r="AB86" s="402"/>
      <c r="AC86" s="403"/>
      <c r="AD86" s="400">
        <f t="shared" si="14"/>
        <v>0</v>
      </c>
      <c r="AE86" s="126"/>
    </row>
    <row r="87" spans="1:31" s="63" customFormat="1">
      <c r="A87" s="132" t="s">
        <v>367</v>
      </c>
      <c r="B87" s="171" t="s">
        <v>368</v>
      </c>
      <c r="C87" s="401"/>
      <c r="D87" s="398"/>
      <c r="E87" s="396"/>
      <c r="F87" s="402"/>
      <c r="G87" s="402"/>
      <c r="H87" s="402"/>
      <c r="I87" s="402"/>
      <c r="J87" s="402"/>
      <c r="K87" s="402"/>
      <c r="L87" s="402"/>
      <c r="M87" s="410"/>
      <c r="N87" s="402"/>
      <c r="O87" s="402"/>
      <c r="P87" s="402"/>
      <c r="Q87" s="402"/>
      <c r="R87" s="402"/>
      <c r="S87" s="402"/>
      <c r="T87" s="409"/>
      <c r="U87" s="398"/>
      <c r="V87" s="398"/>
      <c r="W87" s="398"/>
      <c r="X87" s="398"/>
      <c r="Y87" s="398"/>
      <c r="Z87" s="408"/>
      <c r="AA87" s="396"/>
      <c r="AB87" s="402"/>
      <c r="AC87" s="403"/>
      <c r="AD87" s="400">
        <f t="shared" si="14"/>
        <v>0</v>
      </c>
      <c r="AE87" s="126"/>
    </row>
    <row r="88" spans="1:31" s="63" customFormat="1">
      <c r="A88" s="132" t="s">
        <v>369</v>
      </c>
      <c r="B88" s="171" t="s">
        <v>88</v>
      </c>
      <c r="C88" s="401"/>
      <c r="D88" s="398"/>
      <c r="E88" s="398"/>
      <c r="F88" s="408"/>
      <c r="G88" s="408"/>
      <c r="H88" s="408"/>
      <c r="I88" s="408"/>
      <c r="J88" s="408"/>
      <c r="K88" s="408"/>
      <c r="L88" s="408"/>
      <c r="M88" s="398"/>
      <c r="N88" s="408"/>
      <c r="O88" s="408"/>
      <c r="P88" s="408"/>
      <c r="Q88" s="408"/>
      <c r="R88" s="408"/>
      <c r="S88" s="402"/>
      <c r="T88" s="409"/>
      <c r="U88" s="398"/>
      <c r="V88" s="398"/>
      <c r="W88" s="398"/>
      <c r="X88" s="398"/>
      <c r="Y88" s="398"/>
      <c r="Z88" s="398"/>
      <c r="AA88" s="396"/>
      <c r="AB88" s="402"/>
      <c r="AC88" s="403"/>
      <c r="AD88" s="400">
        <f t="shared" si="14"/>
        <v>0</v>
      </c>
      <c r="AE88" s="126"/>
    </row>
    <row r="89" spans="1:31" s="63" customFormat="1">
      <c r="A89" s="132" t="s">
        <v>370</v>
      </c>
      <c r="B89" s="171" t="s">
        <v>89</v>
      </c>
      <c r="C89" s="401"/>
      <c r="D89" s="398"/>
      <c r="E89" s="398"/>
      <c r="F89" s="398"/>
      <c r="G89" s="398"/>
      <c r="H89" s="398"/>
      <c r="I89" s="398"/>
      <c r="J89" s="398"/>
      <c r="K89" s="398"/>
      <c r="L89" s="398"/>
      <c r="M89" s="398"/>
      <c r="N89" s="398"/>
      <c r="O89" s="398"/>
      <c r="P89" s="398"/>
      <c r="Q89" s="398"/>
      <c r="R89" s="398"/>
      <c r="S89" s="402"/>
      <c r="T89" s="409"/>
      <c r="U89" s="398"/>
      <c r="V89" s="398"/>
      <c r="W89" s="398"/>
      <c r="X89" s="398"/>
      <c r="Y89" s="398"/>
      <c r="Z89" s="398"/>
      <c r="AA89" s="396"/>
      <c r="AB89" s="402"/>
      <c r="AC89" s="403"/>
      <c r="AD89" s="400">
        <f t="shared" si="14"/>
        <v>0</v>
      </c>
      <c r="AE89" s="126"/>
    </row>
    <row r="90" spans="1:31" s="63" customFormat="1">
      <c r="A90" s="132" t="s">
        <v>371</v>
      </c>
      <c r="B90" s="172" t="s">
        <v>372</v>
      </c>
      <c r="C90" s="401"/>
      <c r="D90" s="398"/>
      <c r="E90" s="398"/>
      <c r="F90" s="398"/>
      <c r="G90" s="398"/>
      <c r="H90" s="398"/>
      <c r="I90" s="398"/>
      <c r="J90" s="398"/>
      <c r="K90" s="398"/>
      <c r="L90" s="398"/>
      <c r="M90" s="398"/>
      <c r="N90" s="398"/>
      <c r="O90" s="398"/>
      <c r="P90" s="398"/>
      <c r="Q90" s="398"/>
      <c r="R90" s="398"/>
      <c r="S90" s="402"/>
      <c r="T90" s="409"/>
      <c r="U90" s="398"/>
      <c r="V90" s="398"/>
      <c r="W90" s="398"/>
      <c r="X90" s="398"/>
      <c r="Y90" s="398"/>
      <c r="Z90" s="398"/>
      <c r="AA90" s="396"/>
      <c r="AB90" s="402"/>
      <c r="AC90" s="403"/>
      <c r="AD90" s="400">
        <f t="shared" si="14"/>
        <v>0</v>
      </c>
      <c r="AE90" s="126"/>
    </row>
    <row r="91" spans="1:31" s="63" customFormat="1">
      <c r="A91" s="133" t="s">
        <v>373</v>
      </c>
      <c r="B91" s="173" t="s">
        <v>90</v>
      </c>
      <c r="C91" s="401"/>
      <c r="D91" s="398"/>
      <c r="E91" s="398"/>
      <c r="F91" s="398"/>
      <c r="G91" s="398"/>
      <c r="H91" s="398"/>
      <c r="I91" s="398"/>
      <c r="J91" s="398"/>
      <c r="K91" s="398"/>
      <c r="L91" s="398"/>
      <c r="M91" s="398"/>
      <c r="N91" s="398"/>
      <c r="O91" s="398"/>
      <c r="P91" s="398"/>
      <c r="Q91" s="398"/>
      <c r="R91" s="398"/>
      <c r="S91" s="402"/>
      <c r="T91" s="409"/>
      <c r="U91" s="398"/>
      <c r="V91" s="398"/>
      <c r="W91" s="398"/>
      <c r="X91" s="398"/>
      <c r="Y91" s="398"/>
      <c r="Z91" s="398"/>
      <c r="AA91" s="396"/>
      <c r="AB91" s="402"/>
      <c r="AC91" s="403"/>
      <c r="AD91" s="404">
        <f t="shared" si="14"/>
        <v>0</v>
      </c>
      <c r="AE91" s="126"/>
    </row>
    <row r="92" spans="1:31" s="63" customFormat="1" ht="15" collapsed="1">
      <c r="A92" s="463" t="s">
        <v>62</v>
      </c>
      <c r="B92" s="464"/>
      <c r="C92" s="401">
        <f>SUM(C82:C91)-C89</f>
        <v>0</v>
      </c>
      <c r="D92" s="398">
        <f t="shared" ref="D92:AC92" si="15">SUM(D82:D91)-D89</f>
        <v>0</v>
      </c>
      <c r="E92" s="396">
        <f t="shared" si="15"/>
        <v>0</v>
      </c>
      <c r="F92" s="401">
        <f t="shared" si="15"/>
        <v>0</v>
      </c>
      <c r="G92" s="401">
        <f t="shared" si="15"/>
        <v>0</v>
      </c>
      <c r="H92" s="401">
        <f t="shared" si="15"/>
        <v>0</v>
      </c>
      <c r="I92" s="401">
        <f t="shared" si="15"/>
        <v>0</v>
      </c>
      <c r="J92" s="401">
        <f t="shared" si="15"/>
        <v>0</v>
      </c>
      <c r="K92" s="401">
        <f t="shared" si="15"/>
        <v>0</v>
      </c>
      <c r="L92" s="401">
        <f t="shared" si="15"/>
        <v>0</v>
      </c>
      <c r="M92" s="410">
        <f t="shared" si="15"/>
        <v>0</v>
      </c>
      <c r="N92" s="401">
        <f t="shared" si="15"/>
        <v>0</v>
      </c>
      <c r="O92" s="401">
        <f t="shared" si="15"/>
        <v>0</v>
      </c>
      <c r="P92" s="401">
        <f t="shared" si="15"/>
        <v>0</v>
      </c>
      <c r="Q92" s="401">
        <f t="shared" si="15"/>
        <v>0</v>
      </c>
      <c r="R92" s="401">
        <f t="shared" si="15"/>
        <v>447.25070999999997</v>
      </c>
      <c r="S92" s="401">
        <f t="shared" si="15"/>
        <v>0</v>
      </c>
      <c r="T92" s="401">
        <f>SUM(T82:T91)-T89</f>
        <v>0</v>
      </c>
      <c r="U92" s="401">
        <f>SUM(U82:U91)-U89</f>
        <v>0</v>
      </c>
      <c r="V92" s="401">
        <f>SUM(V82:V91)-V89</f>
        <v>0</v>
      </c>
      <c r="W92" s="401">
        <f t="shared" si="15"/>
        <v>0</v>
      </c>
      <c r="X92" s="409">
        <f t="shared" si="15"/>
        <v>0</v>
      </c>
      <c r="Y92" s="396">
        <f t="shared" si="15"/>
        <v>0</v>
      </c>
      <c r="Z92" s="401">
        <f t="shared" si="15"/>
        <v>0</v>
      </c>
      <c r="AA92" s="410">
        <f t="shared" si="15"/>
        <v>0</v>
      </c>
      <c r="AB92" s="401">
        <f t="shared" si="15"/>
        <v>0</v>
      </c>
      <c r="AC92" s="399">
        <f t="shared" si="15"/>
        <v>0</v>
      </c>
      <c r="AD92" s="400">
        <f t="shared" si="14"/>
        <v>447.25070999999997</v>
      </c>
      <c r="AE92" s="126"/>
    </row>
    <row r="93" spans="1:31" s="63" customFormat="1" ht="15" thickBot="1">
      <c r="A93" s="134"/>
      <c r="B93" s="174"/>
      <c r="C93" s="408"/>
      <c r="D93" s="398"/>
      <c r="E93" s="398"/>
      <c r="F93" s="408"/>
      <c r="G93" s="408"/>
      <c r="H93" s="408"/>
      <c r="I93" s="408"/>
      <c r="J93" s="408"/>
      <c r="K93" s="408"/>
      <c r="L93" s="408"/>
      <c r="M93" s="398"/>
      <c r="N93" s="408"/>
      <c r="O93" s="408"/>
      <c r="P93" s="408"/>
      <c r="Q93" s="408"/>
      <c r="R93" s="408"/>
      <c r="S93" s="408"/>
      <c r="T93" s="398"/>
      <c r="U93" s="398"/>
      <c r="V93" s="398"/>
      <c r="W93" s="408"/>
      <c r="X93" s="398"/>
      <c r="Y93" s="398"/>
      <c r="Z93" s="408"/>
      <c r="AA93" s="398"/>
      <c r="AB93" s="408"/>
      <c r="AC93" s="408"/>
      <c r="AD93" s="411"/>
      <c r="AE93" s="126"/>
    </row>
    <row r="94" spans="1:31" s="63" customFormat="1" ht="15.75" thickBot="1">
      <c r="A94" s="465" t="s">
        <v>374</v>
      </c>
      <c r="B94" s="466"/>
      <c r="C94" s="412">
        <f>SUM(C14,C20,C28,C37,C47,C53,C60,C72,C79,C92)</f>
        <v>0</v>
      </c>
      <c r="D94" s="430">
        <f t="shared" ref="D94:AC94" si="16">SUM(D14,D20,D28,D37,D47,D53,D60,D72,D79,D92)</f>
        <v>2.9148100000000001</v>
      </c>
      <c r="E94" s="412">
        <f t="shared" si="16"/>
        <v>0</v>
      </c>
      <c r="F94" s="412">
        <f t="shared" si="16"/>
        <v>0</v>
      </c>
      <c r="G94" s="412">
        <f t="shared" si="16"/>
        <v>0</v>
      </c>
      <c r="H94" s="412">
        <f t="shared" si="16"/>
        <v>809.04713000000004</v>
      </c>
      <c r="I94" s="412">
        <f t="shared" si="16"/>
        <v>8.3990000000000009</v>
      </c>
      <c r="J94" s="412">
        <f t="shared" si="16"/>
        <v>15455.14797</v>
      </c>
      <c r="K94" s="412">
        <f t="shared" si="16"/>
        <v>9.7185299999999994</v>
      </c>
      <c r="L94" s="412">
        <f t="shared" si="16"/>
        <v>68.462369999999993</v>
      </c>
      <c r="M94" s="412">
        <f t="shared" si="16"/>
        <v>7214.8009199999997</v>
      </c>
      <c r="N94" s="412">
        <f t="shared" si="16"/>
        <v>59605.176599999999</v>
      </c>
      <c r="O94" s="412">
        <f t="shared" si="16"/>
        <v>20534.70638</v>
      </c>
      <c r="P94" s="412">
        <f t="shared" si="16"/>
        <v>4597.7402399999992</v>
      </c>
      <c r="Q94" s="412">
        <f t="shared" si="16"/>
        <v>5508.5009699999991</v>
      </c>
      <c r="R94" s="412">
        <f>SUM(R14,R20,R28,R37,R47,R53,R60,R72,R79,R92)</f>
        <v>447.25070999999997</v>
      </c>
      <c r="S94" s="412">
        <f t="shared" si="16"/>
        <v>410.96347000000003</v>
      </c>
      <c r="T94" s="412">
        <f t="shared" si="16"/>
        <v>0</v>
      </c>
      <c r="U94" s="412">
        <f t="shared" si="16"/>
        <v>0</v>
      </c>
      <c r="V94" s="412">
        <f t="shared" si="16"/>
        <v>0</v>
      </c>
      <c r="W94" s="412">
        <f t="shared" si="16"/>
        <v>0</v>
      </c>
      <c r="X94" s="414">
        <f t="shared" si="16"/>
        <v>0</v>
      </c>
      <c r="Y94" s="415">
        <f t="shared" si="16"/>
        <v>0</v>
      </c>
      <c r="Z94" s="412">
        <f t="shared" si="16"/>
        <v>0</v>
      </c>
      <c r="AA94" s="412">
        <f>SUM(AA14,AA20,AA28,AA37,AA47,AA53,AA60,AA72,AA79)</f>
        <v>0</v>
      </c>
      <c r="AB94" s="412">
        <f t="shared" si="16"/>
        <v>0</v>
      </c>
      <c r="AC94" s="417">
        <f t="shared" si="16"/>
        <v>0</v>
      </c>
      <c r="AD94" s="418">
        <f>SUM(C94:AC94)</f>
        <v>114672.82909999999</v>
      </c>
      <c r="AE94" s="126"/>
    </row>
    <row r="95" spans="1:31" s="63" customFormat="1">
      <c r="A95" s="136"/>
      <c r="B95" s="175"/>
      <c r="C95" s="405"/>
      <c r="D95" s="405"/>
      <c r="E95" s="405"/>
      <c r="F95" s="405"/>
      <c r="G95" s="405"/>
      <c r="H95" s="405"/>
      <c r="I95" s="405"/>
      <c r="J95" s="405"/>
      <c r="K95" s="405"/>
      <c r="L95" s="405"/>
      <c r="M95" s="405"/>
      <c r="N95" s="405"/>
      <c r="O95" s="405"/>
      <c r="P95" s="405"/>
      <c r="Q95" s="405"/>
      <c r="R95" s="405"/>
      <c r="S95" s="405"/>
      <c r="T95" s="405"/>
      <c r="U95" s="405"/>
      <c r="V95" s="405"/>
      <c r="W95" s="405"/>
      <c r="X95" s="405"/>
      <c r="Y95" s="405"/>
      <c r="Z95" s="405"/>
      <c r="AA95" s="405"/>
      <c r="AB95" s="405"/>
      <c r="AC95" s="405"/>
      <c r="AD95" s="419"/>
      <c r="AE95" s="126"/>
    </row>
    <row r="96" spans="1:31" s="138" customFormat="1" ht="18">
      <c r="A96" s="467" t="s">
        <v>92</v>
      </c>
      <c r="B96" s="468"/>
      <c r="C96" s="420"/>
      <c r="D96" s="420"/>
      <c r="E96" s="420"/>
      <c r="F96" s="420"/>
      <c r="G96" s="420"/>
      <c r="H96" s="420"/>
      <c r="I96" s="420"/>
      <c r="J96" s="420"/>
      <c r="K96" s="420"/>
      <c r="L96" s="420"/>
      <c r="M96" s="420"/>
      <c r="N96" s="420"/>
      <c r="O96" s="420"/>
      <c r="P96" s="420"/>
      <c r="Q96" s="420"/>
      <c r="R96" s="420"/>
      <c r="S96" s="420"/>
      <c r="T96" s="420"/>
      <c r="U96" s="420"/>
      <c r="V96" s="420"/>
      <c r="W96" s="420"/>
      <c r="X96" s="420"/>
      <c r="Y96" s="420"/>
      <c r="Z96" s="420"/>
      <c r="AA96" s="420"/>
      <c r="AB96" s="420"/>
      <c r="AC96" s="420"/>
      <c r="AD96" s="421"/>
      <c r="AE96" s="137"/>
    </row>
    <row r="97" spans="1:31" s="63" customFormat="1">
      <c r="A97" s="128"/>
      <c r="B97" s="65"/>
      <c r="C97" s="398"/>
      <c r="D97" s="398"/>
      <c r="E97" s="398"/>
      <c r="F97" s="405"/>
      <c r="G97" s="405"/>
      <c r="H97" s="405"/>
      <c r="I97" s="405"/>
      <c r="J97" s="405"/>
      <c r="K97" s="405"/>
      <c r="L97" s="405"/>
      <c r="M97" s="398"/>
      <c r="N97" s="405"/>
      <c r="O97" s="405"/>
      <c r="P97" s="405"/>
      <c r="Q97" s="405"/>
      <c r="R97" s="405"/>
      <c r="S97" s="405"/>
      <c r="T97" s="398"/>
      <c r="U97" s="398"/>
      <c r="V97" s="398"/>
      <c r="W97" s="398"/>
      <c r="X97" s="398"/>
      <c r="Y97" s="398"/>
      <c r="Z97" s="405"/>
      <c r="AA97" s="398"/>
      <c r="AB97" s="405"/>
      <c r="AC97" s="405"/>
      <c r="AD97" s="419"/>
      <c r="AE97" s="126"/>
    </row>
    <row r="98" spans="1:31" s="63" customFormat="1">
      <c r="A98" s="139" t="s">
        <v>518</v>
      </c>
      <c r="B98" s="167" t="s">
        <v>93</v>
      </c>
      <c r="C98" s="402"/>
      <c r="D98" s="405"/>
      <c r="E98" s="431"/>
      <c r="F98" s="397"/>
      <c r="G98" s="397"/>
      <c r="H98" s="397"/>
      <c r="I98" s="401"/>
      <c r="J98" s="397"/>
      <c r="K98" s="397"/>
      <c r="L98" s="397"/>
      <c r="M98" s="410"/>
      <c r="N98" s="397"/>
      <c r="O98" s="397"/>
      <c r="P98" s="397"/>
      <c r="Q98" s="397"/>
      <c r="R98" s="397"/>
      <c r="S98" s="401"/>
      <c r="T98" s="409"/>
      <c r="U98" s="398"/>
      <c r="V98" s="398"/>
      <c r="W98" s="398"/>
      <c r="X98" s="398"/>
      <c r="Y98" s="396"/>
      <c r="Z98" s="401"/>
      <c r="AA98" s="410"/>
      <c r="AB98" s="401"/>
      <c r="AC98" s="399"/>
      <c r="AD98" s="400">
        <f>SUM(C98:AC98)</f>
        <v>0</v>
      </c>
      <c r="AE98" s="126"/>
    </row>
    <row r="99" spans="1:31" s="63" customFormat="1">
      <c r="A99" s="139" t="s">
        <v>519</v>
      </c>
      <c r="B99" s="167" t="s">
        <v>94</v>
      </c>
      <c r="C99" s="402"/>
      <c r="D99" s="425">
        <f>28219658.62/1000</f>
        <v>28219.658620000002</v>
      </c>
      <c r="E99" s="401">
        <f>25097.15/1000</f>
        <v>25.097150000000003</v>
      </c>
      <c r="F99" s="401"/>
      <c r="G99" s="401"/>
      <c r="H99" s="401">
        <f>41567.3/1000</f>
        <v>41.567300000000003</v>
      </c>
      <c r="I99" s="401">
        <f>1226559.04/1000</f>
        <v>1226.5590400000001</v>
      </c>
      <c r="J99" s="401">
        <f>7929317.25/1000</f>
        <v>7929.3172500000001</v>
      </c>
      <c r="K99" s="401"/>
      <c r="L99" s="401">
        <f>278476.6/1000</f>
        <v>278.47659999999996</v>
      </c>
      <c r="M99" s="410"/>
      <c r="N99" s="401">
        <f>3000/1000</f>
        <v>3</v>
      </c>
      <c r="O99" s="401">
        <f>27213/1000</f>
        <v>27.213000000000001</v>
      </c>
      <c r="P99" s="401"/>
      <c r="Q99" s="401"/>
      <c r="R99" s="429"/>
      <c r="S99" s="401">
        <f>(37.5)/1000</f>
        <v>3.7499999999999999E-2</v>
      </c>
      <c r="T99" s="409"/>
      <c r="U99" s="398"/>
      <c r="V99" s="398"/>
      <c r="W99" s="398"/>
      <c r="X99" s="398"/>
      <c r="Y99" s="396"/>
      <c r="Z99" s="401"/>
      <c r="AA99" s="410"/>
      <c r="AB99" s="401"/>
      <c r="AC99" s="399"/>
      <c r="AD99" s="400">
        <f>SUM(C99:AC99)</f>
        <v>37750.926460000002</v>
      </c>
      <c r="AE99" s="126"/>
    </row>
    <row r="100" spans="1:31" s="63" customFormat="1" ht="15">
      <c r="A100" s="115" t="s">
        <v>95</v>
      </c>
      <c r="B100" s="167"/>
      <c r="C100" s="401">
        <f>SUM(C98:C99)</f>
        <v>0</v>
      </c>
      <c r="D100" s="425">
        <f t="shared" ref="D100:AC100" si="17">SUM(D98:D99)</f>
        <v>28219.658620000002</v>
      </c>
      <c r="E100" s="401">
        <f t="shared" si="17"/>
        <v>25.097150000000003</v>
      </c>
      <c r="F100" s="401">
        <f t="shared" si="17"/>
        <v>0</v>
      </c>
      <c r="G100" s="401">
        <f t="shared" si="17"/>
        <v>0</v>
      </c>
      <c r="H100" s="401">
        <f t="shared" si="17"/>
        <v>41.567300000000003</v>
      </c>
      <c r="I100" s="401">
        <f t="shared" si="17"/>
        <v>1226.5590400000001</v>
      </c>
      <c r="J100" s="401">
        <f t="shared" si="17"/>
        <v>7929.3172500000001</v>
      </c>
      <c r="K100" s="401">
        <f t="shared" si="17"/>
        <v>0</v>
      </c>
      <c r="L100" s="401">
        <f t="shared" si="17"/>
        <v>278.47659999999996</v>
      </c>
      <c r="M100" s="410">
        <f t="shared" si="17"/>
        <v>0</v>
      </c>
      <c r="N100" s="401">
        <f t="shared" si="17"/>
        <v>3</v>
      </c>
      <c r="O100" s="401">
        <f t="shared" si="17"/>
        <v>27.213000000000001</v>
      </c>
      <c r="P100" s="401">
        <f t="shared" si="17"/>
        <v>0</v>
      </c>
      <c r="Q100" s="401">
        <f t="shared" si="17"/>
        <v>0</v>
      </c>
      <c r="R100" s="401">
        <f t="shared" si="17"/>
        <v>0</v>
      </c>
      <c r="S100" s="401">
        <f t="shared" si="17"/>
        <v>3.7499999999999999E-2</v>
      </c>
      <c r="T100" s="409">
        <f t="shared" si="17"/>
        <v>0</v>
      </c>
      <c r="U100" s="398">
        <f t="shared" si="17"/>
        <v>0</v>
      </c>
      <c r="V100" s="398">
        <f t="shared" si="17"/>
        <v>0</v>
      </c>
      <c r="W100" s="398">
        <f t="shared" si="17"/>
        <v>0</v>
      </c>
      <c r="X100" s="398">
        <f t="shared" si="17"/>
        <v>0</v>
      </c>
      <c r="Y100" s="396">
        <f t="shared" si="17"/>
        <v>0</v>
      </c>
      <c r="Z100" s="402">
        <f t="shared" si="17"/>
        <v>0</v>
      </c>
      <c r="AA100" s="410">
        <f t="shared" si="17"/>
        <v>0</v>
      </c>
      <c r="AB100" s="401">
        <f t="shared" si="17"/>
        <v>0</v>
      </c>
      <c r="AC100" s="399">
        <f t="shared" si="17"/>
        <v>0</v>
      </c>
      <c r="AD100" s="400">
        <f>SUM(C100:AC100)</f>
        <v>37750.926460000002</v>
      </c>
      <c r="AE100" s="126"/>
    </row>
    <row r="101" spans="1:31" s="63" customFormat="1">
      <c r="A101" s="128"/>
      <c r="B101" s="65"/>
      <c r="C101" s="406"/>
      <c r="D101" s="406"/>
      <c r="E101" s="406"/>
      <c r="F101" s="406"/>
      <c r="G101" s="406"/>
      <c r="H101" s="406"/>
      <c r="I101" s="406"/>
      <c r="J101" s="406"/>
      <c r="K101" s="406"/>
      <c r="L101" s="406"/>
      <c r="M101" s="405"/>
      <c r="N101" s="406"/>
      <c r="O101" s="406"/>
      <c r="P101" s="406"/>
      <c r="Q101" s="406"/>
      <c r="R101" s="406"/>
      <c r="S101" s="406"/>
      <c r="T101" s="405"/>
      <c r="U101" s="405"/>
      <c r="V101" s="405"/>
      <c r="W101" s="405"/>
      <c r="X101" s="405"/>
      <c r="Y101" s="405"/>
      <c r="Z101" s="406"/>
      <c r="AA101" s="405"/>
      <c r="AB101" s="406"/>
      <c r="AC101" s="406"/>
      <c r="AD101" s="407"/>
      <c r="AE101" s="126"/>
    </row>
    <row r="102" spans="1:31" s="138" customFormat="1" ht="18">
      <c r="A102" s="461" t="s">
        <v>96</v>
      </c>
      <c r="B102" s="462"/>
      <c r="C102" s="420"/>
      <c r="D102" s="420"/>
      <c r="E102" s="420"/>
      <c r="F102" s="420"/>
      <c r="G102" s="420"/>
      <c r="H102" s="420"/>
      <c r="I102" s="420"/>
      <c r="J102" s="420"/>
      <c r="K102" s="420"/>
      <c r="L102" s="420"/>
      <c r="M102" s="420"/>
      <c r="N102" s="420"/>
      <c r="O102" s="420"/>
      <c r="P102" s="420"/>
      <c r="Q102" s="420"/>
      <c r="R102" s="420"/>
      <c r="S102" s="420"/>
      <c r="T102" s="420"/>
      <c r="U102" s="420"/>
      <c r="V102" s="420"/>
      <c r="W102" s="420"/>
      <c r="X102" s="420"/>
      <c r="Y102" s="420"/>
      <c r="Z102" s="420"/>
      <c r="AA102" s="420"/>
      <c r="AB102" s="420"/>
      <c r="AC102" s="420"/>
      <c r="AD102" s="421"/>
      <c r="AE102" s="137"/>
    </row>
    <row r="103" spans="1:31" s="63" customFormat="1">
      <c r="A103" s="128"/>
      <c r="B103" s="65"/>
      <c r="C103" s="405"/>
      <c r="D103" s="405"/>
      <c r="E103" s="405"/>
      <c r="F103" s="405"/>
      <c r="G103" s="405"/>
      <c r="H103" s="405"/>
      <c r="I103" s="405"/>
      <c r="J103" s="405"/>
      <c r="K103" s="405"/>
      <c r="L103" s="405"/>
      <c r="M103" s="405"/>
      <c r="N103" s="405"/>
      <c r="O103" s="405"/>
      <c r="P103" s="405"/>
      <c r="Q103" s="405"/>
      <c r="R103" s="405"/>
      <c r="S103" s="405"/>
      <c r="T103" s="405"/>
      <c r="U103" s="405"/>
      <c r="V103" s="405"/>
      <c r="W103" s="405"/>
      <c r="X103" s="405"/>
      <c r="Y103" s="405"/>
      <c r="Z103" s="405"/>
      <c r="AA103" s="405"/>
      <c r="AB103" s="405"/>
      <c r="AC103" s="405"/>
      <c r="AD103" s="419"/>
      <c r="AE103" s="126"/>
    </row>
    <row r="104" spans="1:31" s="79" customFormat="1" ht="15">
      <c r="A104" s="115" t="s">
        <v>97</v>
      </c>
      <c r="B104" s="167"/>
      <c r="C104" s="406"/>
      <c r="D104" s="398"/>
      <c r="E104" s="398"/>
      <c r="F104" s="405"/>
      <c r="G104" s="405"/>
      <c r="H104" s="405"/>
      <c r="I104" s="405"/>
      <c r="J104" s="405"/>
      <c r="K104" s="405"/>
      <c r="L104" s="405"/>
      <c r="M104" s="398"/>
      <c r="N104" s="405"/>
      <c r="O104" s="405"/>
      <c r="P104" s="405"/>
      <c r="Q104" s="405"/>
      <c r="R104" s="398"/>
      <c r="S104" s="405"/>
      <c r="T104" s="398"/>
      <c r="U104" s="398"/>
      <c r="V104" s="398"/>
      <c r="W104" s="398"/>
      <c r="X104" s="398"/>
      <c r="Y104" s="398"/>
      <c r="Z104" s="398"/>
      <c r="AA104" s="398"/>
      <c r="AB104" s="405"/>
      <c r="AC104" s="405"/>
      <c r="AD104" s="419"/>
      <c r="AE104" s="140"/>
    </row>
    <row r="105" spans="1:31" s="79" customFormat="1" ht="15">
      <c r="A105" s="141" t="s">
        <v>98</v>
      </c>
      <c r="B105" s="171" t="s">
        <v>99</v>
      </c>
      <c r="C105" s="397"/>
      <c r="D105" s="398"/>
      <c r="E105" s="396"/>
      <c r="F105" s="397"/>
      <c r="G105" s="397"/>
      <c r="H105" s="397"/>
      <c r="I105" s="397"/>
      <c r="J105" s="397"/>
      <c r="K105" s="397"/>
      <c r="L105" s="397"/>
      <c r="M105" s="410"/>
      <c r="N105" s="397"/>
      <c r="O105" s="397"/>
      <c r="P105" s="397"/>
      <c r="Q105" s="397"/>
      <c r="R105" s="410"/>
      <c r="S105" s="397"/>
      <c r="T105" s="409"/>
      <c r="U105" s="398"/>
      <c r="V105" s="401"/>
      <c r="W105" s="398"/>
      <c r="X105" s="398"/>
      <c r="Y105" s="398"/>
      <c r="Z105" s="398"/>
      <c r="AA105" s="396"/>
      <c r="AB105" s="397"/>
      <c r="AC105" s="422"/>
      <c r="AD105" s="400">
        <f t="shared" ref="AD105:AD123" si="18">SUM(C105:AC105)</f>
        <v>0</v>
      </c>
      <c r="AE105" s="140"/>
    </row>
    <row r="106" spans="1:31" s="79" customFormat="1" ht="15.95" customHeight="1">
      <c r="A106" s="141" t="s">
        <v>100</v>
      </c>
      <c r="B106" s="171" t="s">
        <v>101</v>
      </c>
      <c r="C106" s="401"/>
      <c r="D106" s="398"/>
      <c r="E106" s="396"/>
      <c r="F106" s="401"/>
      <c r="G106" s="401"/>
      <c r="H106" s="401"/>
      <c r="I106" s="401"/>
      <c r="J106" s="401"/>
      <c r="K106" s="401"/>
      <c r="L106" s="401"/>
      <c r="M106" s="410"/>
      <c r="N106" s="401"/>
      <c r="O106" s="401"/>
      <c r="P106" s="401"/>
      <c r="Q106" s="401"/>
      <c r="R106" s="410"/>
      <c r="S106" s="401"/>
      <c r="T106" s="409"/>
      <c r="U106" s="398"/>
      <c r="V106" s="398"/>
      <c r="W106" s="398"/>
      <c r="X106" s="398"/>
      <c r="Y106" s="398"/>
      <c r="Z106" s="398"/>
      <c r="AA106" s="396"/>
      <c r="AB106" s="401"/>
      <c r="AC106" s="399"/>
      <c r="AD106" s="400">
        <f t="shared" si="18"/>
        <v>0</v>
      </c>
      <c r="AE106" s="140"/>
    </row>
    <row r="107" spans="1:31" s="79" customFormat="1" ht="15.95" customHeight="1">
      <c r="A107" s="141" t="s">
        <v>102</v>
      </c>
      <c r="B107" s="171" t="s">
        <v>103</v>
      </c>
      <c r="C107" s="401"/>
      <c r="D107" s="398"/>
      <c r="E107" s="396"/>
      <c r="F107" s="401"/>
      <c r="G107" s="401"/>
      <c r="H107" s="401"/>
      <c r="I107" s="401"/>
      <c r="J107" s="401"/>
      <c r="K107" s="401"/>
      <c r="L107" s="401"/>
      <c r="M107" s="410"/>
      <c r="N107" s="401"/>
      <c r="O107" s="401"/>
      <c r="P107" s="401"/>
      <c r="Q107" s="401"/>
      <c r="R107" s="410"/>
      <c r="S107" s="401"/>
      <c r="T107" s="409"/>
      <c r="U107" s="398"/>
      <c r="V107" s="398"/>
      <c r="W107" s="398"/>
      <c r="X107" s="398"/>
      <c r="Y107" s="398"/>
      <c r="Z107" s="398"/>
      <c r="AA107" s="396"/>
      <c r="AB107" s="401"/>
      <c r="AC107" s="399"/>
      <c r="AD107" s="400">
        <f t="shared" si="18"/>
        <v>0</v>
      </c>
      <c r="AE107" s="140"/>
    </row>
    <row r="108" spans="1:31" s="79" customFormat="1" ht="15.95" customHeight="1">
      <c r="A108" s="141" t="s">
        <v>104</v>
      </c>
      <c r="B108" s="171" t="s">
        <v>105</v>
      </c>
      <c r="C108" s="401"/>
      <c r="D108" s="398"/>
      <c r="E108" s="396"/>
      <c r="F108" s="401"/>
      <c r="G108" s="401"/>
      <c r="H108" s="401"/>
      <c r="I108" s="401"/>
      <c r="J108" s="401"/>
      <c r="K108" s="401"/>
      <c r="L108" s="401"/>
      <c r="M108" s="410"/>
      <c r="N108" s="401"/>
      <c r="O108" s="401"/>
      <c r="P108" s="401"/>
      <c r="Q108" s="401"/>
      <c r="R108" s="410"/>
      <c r="S108" s="401"/>
      <c r="T108" s="409"/>
      <c r="U108" s="398"/>
      <c r="V108" s="398"/>
      <c r="W108" s="398"/>
      <c r="X108" s="398"/>
      <c r="Y108" s="398"/>
      <c r="Z108" s="398"/>
      <c r="AA108" s="396"/>
      <c r="AB108" s="401"/>
      <c r="AC108" s="399"/>
      <c r="AD108" s="400">
        <f t="shared" si="18"/>
        <v>0</v>
      </c>
      <c r="AE108" s="140"/>
    </row>
    <row r="109" spans="1:31" s="79" customFormat="1" ht="16.5" customHeight="1">
      <c r="A109" s="141" t="s">
        <v>106</v>
      </c>
      <c r="B109" s="171" t="s">
        <v>107</v>
      </c>
      <c r="C109" s="401"/>
      <c r="D109" s="398"/>
      <c r="E109" s="396"/>
      <c r="F109" s="401"/>
      <c r="G109" s="401"/>
      <c r="H109" s="401">
        <f>1879983.19/1000</f>
        <v>1879.9831899999999</v>
      </c>
      <c r="I109" s="401">
        <f>315536.59/1000</f>
        <v>315.53659000000005</v>
      </c>
      <c r="J109" s="401">
        <f>1106352.5/1000</f>
        <v>1106.3525</v>
      </c>
      <c r="K109" s="401"/>
      <c r="L109" s="401"/>
      <c r="M109" s="410"/>
      <c r="N109" s="401"/>
      <c r="O109" s="401"/>
      <c r="P109" s="401"/>
      <c r="Q109" s="401"/>
      <c r="R109" s="410"/>
      <c r="S109" s="401"/>
      <c r="T109" s="409"/>
      <c r="U109" s="398"/>
      <c r="V109" s="398"/>
      <c r="W109" s="398"/>
      <c r="X109" s="398"/>
      <c r="Y109" s="398"/>
      <c r="Z109" s="398"/>
      <c r="AA109" s="396"/>
      <c r="AB109" s="401"/>
      <c r="AC109" s="399"/>
      <c r="AD109" s="400">
        <f t="shared" si="18"/>
        <v>3301.87228</v>
      </c>
      <c r="AE109" s="140"/>
    </row>
    <row r="110" spans="1:31" s="79" customFormat="1" ht="15.95" customHeight="1">
      <c r="A110" s="141" t="s">
        <v>108</v>
      </c>
      <c r="B110" s="171" t="s">
        <v>109</v>
      </c>
      <c r="C110" s="401"/>
      <c r="D110" s="398"/>
      <c r="E110" s="396"/>
      <c r="F110" s="401">
        <f>23608.27/1000</f>
        <v>23.608270000000001</v>
      </c>
      <c r="G110" s="401">
        <f>17453.95/1000</f>
        <v>17.453949999999999</v>
      </c>
      <c r="H110" s="401">
        <f>13553806.19/1000</f>
        <v>13553.806189999999</v>
      </c>
      <c r="I110" s="401">
        <f>724067.69/1000</f>
        <v>724.06768999999997</v>
      </c>
      <c r="J110" s="401">
        <f>882038.28/1000</f>
        <v>882.03827999999999</v>
      </c>
      <c r="K110" s="401">
        <f>664/1000</f>
        <v>0.66400000000000003</v>
      </c>
      <c r="L110" s="401">
        <f>2733.06/1000</f>
        <v>2.73306</v>
      </c>
      <c r="M110" s="410"/>
      <c r="N110" s="401"/>
      <c r="O110" s="401"/>
      <c r="P110" s="401"/>
      <c r="Q110" s="401"/>
      <c r="R110" s="410"/>
      <c r="S110" s="401">
        <f>(327429.41)/1000</f>
        <v>327.42940999999996</v>
      </c>
      <c r="T110" s="409"/>
      <c r="U110" s="398"/>
      <c r="V110" s="398"/>
      <c r="W110" s="398"/>
      <c r="X110" s="398"/>
      <c r="Y110" s="398"/>
      <c r="Z110" s="398"/>
      <c r="AA110" s="396"/>
      <c r="AB110" s="401"/>
      <c r="AC110" s="399"/>
      <c r="AD110" s="400">
        <f t="shared" si="18"/>
        <v>15531.800850000001</v>
      </c>
      <c r="AE110" s="140"/>
    </row>
    <row r="111" spans="1:31" s="79" customFormat="1" ht="15.95" customHeight="1">
      <c r="A111" s="141" t="s">
        <v>110</v>
      </c>
      <c r="B111" s="171" t="s">
        <v>111</v>
      </c>
      <c r="C111" s="401"/>
      <c r="D111" s="398"/>
      <c r="E111" s="396"/>
      <c r="F111" s="401"/>
      <c r="G111" s="401"/>
      <c r="H111" s="401"/>
      <c r="I111" s="401"/>
      <c r="J111" s="401"/>
      <c r="K111" s="401"/>
      <c r="L111" s="401"/>
      <c r="M111" s="410"/>
      <c r="N111" s="401"/>
      <c r="O111" s="401"/>
      <c r="P111" s="401"/>
      <c r="Q111" s="401"/>
      <c r="R111" s="410"/>
      <c r="S111" s="401"/>
      <c r="T111" s="409"/>
      <c r="U111" s="398"/>
      <c r="V111" s="398"/>
      <c r="W111" s="398"/>
      <c r="X111" s="398"/>
      <c r="Y111" s="398"/>
      <c r="Z111" s="398"/>
      <c r="AA111" s="396"/>
      <c r="AB111" s="401"/>
      <c r="AC111" s="399"/>
      <c r="AD111" s="400">
        <f t="shared" si="18"/>
        <v>0</v>
      </c>
      <c r="AE111" s="140"/>
    </row>
    <row r="112" spans="1:31" s="79" customFormat="1" ht="15.95" customHeight="1">
      <c r="A112" s="141" t="s">
        <v>112</v>
      </c>
      <c r="B112" s="171" t="s">
        <v>113</v>
      </c>
      <c r="C112" s="401"/>
      <c r="D112" s="398"/>
      <c r="E112" s="396"/>
      <c r="F112" s="401"/>
      <c r="G112" s="401"/>
      <c r="H112" s="401"/>
      <c r="I112" s="401"/>
      <c r="J112" s="401"/>
      <c r="K112" s="401"/>
      <c r="L112" s="401"/>
      <c r="M112" s="410"/>
      <c r="N112" s="401"/>
      <c r="O112" s="401"/>
      <c r="P112" s="401"/>
      <c r="Q112" s="401"/>
      <c r="R112" s="410"/>
      <c r="S112" s="401"/>
      <c r="T112" s="409"/>
      <c r="U112" s="398"/>
      <c r="V112" s="398"/>
      <c r="W112" s="398"/>
      <c r="X112" s="398"/>
      <c r="Y112" s="398"/>
      <c r="Z112" s="398"/>
      <c r="AA112" s="396"/>
      <c r="AB112" s="401"/>
      <c r="AC112" s="399"/>
      <c r="AD112" s="400">
        <f t="shared" si="18"/>
        <v>0</v>
      </c>
      <c r="AE112" s="140"/>
    </row>
    <row r="113" spans="1:31" s="79" customFormat="1" ht="15.95" customHeight="1">
      <c r="A113" s="141" t="s">
        <v>114</v>
      </c>
      <c r="B113" s="171" t="s">
        <v>115</v>
      </c>
      <c r="C113" s="401"/>
      <c r="D113" s="398"/>
      <c r="E113" s="396"/>
      <c r="F113" s="401"/>
      <c r="G113" s="401"/>
      <c r="H113" s="401"/>
      <c r="I113" s="401"/>
      <c r="J113" s="401"/>
      <c r="K113" s="401"/>
      <c r="L113" s="401"/>
      <c r="M113" s="410"/>
      <c r="N113" s="401"/>
      <c r="O113" s="401"/>
      <c r="P113" s="401"/>
      <c r="Q113" s="401"/>
      <c r="R113" s="410"/>
      <c r="S113" s="401"/>
      <c r="T113" s="409"/>
      <c r="U113" s="398"/>
      <c r="V113" s="398"/>
      <c r="W113" s="398"/>
      <c r="X113" s="398"/>
      <c r="Y113" s="398"/>
      <c r="Z113" s="405"/>
      <c r="AA113" s="396"/>
      <c r="AB113" s="401"/>
      <c r="AC113" s="399"/>
      <c r="AD113" s="400">
        <f t="shared" si="18"/>
        <v>0</v>
      </c>
      <c r="AE113" s="140"/>
    </row>
    <row r="114" spans="1:31" s="79" customFormat="1" ht="15.95" customHeight="1">
      <c r="A114" s="141" t="s">
        <v>116</v>
      </c>
      <c r="B114" s="171" t="s">
        <v>117</v>
      </c>
      <c r="C114" s="401"/>
      <c r="D114" s="398"/>
      <c r="E114" s="398"/>
      <c r="F114" s="408"/>
      <c r="G114" s="408"/>
      <c r="H114" s="408"/>
      <c r="I114" s="408"/>
      <c r="J114" s="408"/>
      <c r="K114" s="408"/>
      <c r="L114" s="408"/>
      <c r="M114" s="398"/>
      <c r="N114" s="408"/>
      <c r="O114" s="408"/>
      <c r="P114" s="408"/>
      <c r="Q114" s="408"/>
      <c r="R114" s="398"/>
      <c r="S114" s="408"/>
      <c r="T114" s="398"/>
      <c r="U114" s="398"/>
      <c r="V114" s="398"/>
      <c r="W114" s="401"/>
      <c r="X114" s="398"/>
      <c r="Y114" s="431"/>
      <c r="Z114" s="401"/>
      <c r="AA114" s="409"/>
      <c r="AB114" s="408"/>
      <c r="AC114" s="408"/>
      <c r="AD114" s="400">
        <f t="shared" si="18"/>
        <v>0</v>
      </c>
      <c r="AE114" s="140"/>
    </row>
    <row r="115" spans="1:31" s="79" customFormat="1" ht="15.95" customHeight="1">
      <c r="A115" s="141" t="s">
        <v>118</v>
      </c>
      <c r="B115" s="171" t="s">
        <v>119</v>
      </c>
      <c r="C115" s="401"/>
      <c r="D115" s="398"/>
      <c r="E115" s="398"/>
      <c r="F115" s="398"/>
      <c r="G115" s="398"/>
      <c r="H115" s="398"/>
      <c r="I115" s="398"/>
      <c r="J115" s="398"/>
      <c r="K115" s="398"/>
      <c r="L115" s="398"/>
      <c r="M115" s="398"/>
      <c r="N115" s="398"/>
      <c r="O115" s="398"/>
      <c r="P115" s="398"/>
      <c r="Q115" s="398"/>
      <c r="R115" s="398"/>
      <c r="S115" s="398"/>
      <c r="T115" s="398"/>
      <c r="U115" s="398"/>
      <c r="V115" s="396"/>
      <c r="W115" s="401"/>
      <c r="X115" s="410"/>
      <c r="Y115" s="401"/>
      <c r="Z115" s="432"/>
      <c r="AA115" s="398"/>
      <c r="AB115" s="398"/>
      <c r="AC115" s="398"/>
      <c r="AD115" s="400">
        <f t="shared" si="18"/>
        <v>0</v>
      </c>
      <c r="AE115" s="140"/>
    </row>
    <row r="116" spans="1:31" s="79" customFormat="1" ht="15.95" customHeight="1">
      <c r="A116" s="141" t="s">
        <v>120</v>
      </c>
      <c r="B116" s="171" t="s">
        <v>121</v>
      </c>
      <c r="C116" s="401"/>
      <c r="D116" s="398"/>
      <c r="E116" s="398"/>
      <c r="F116" s="398"/>
      <c r="G116" s="398"/>
      <c r="H116" s="398"/>
      <c r="I116" s="398"/>
      <c r="J116" s="398"/>
      <c r="K116" s="398"/>
      <c r="L116" s="398"/>
      <c r="M116" s="398"/>
      <c r="N116" s="398"/>
      <c r="O116" s="398"/>
      <c r="P116" s="398"/>
      <c r="Q116" s="398"/>
      <c r="R116" s="398"/>
      <c r="S116" s="398"/>
      <c r="T116" s="398"/>
      <c r="U116" s="398"/>
      <c r="V116" s="396"/>
      <c r="W116" s="401"/>
      <c r="X116" s="410"/>
      <c r="Y116" s="401"/>
      <c r="Z116" s="401"/>
      <c r="AA116" s="409"/>
      <c r="AB116" s="398"/>
      <c r="AC116" s="398"/>
      <c r="AD116" s="400">
        <f t="shared" si="18"/>
        <v>0</v>
      </c>
      <c r="AE116" s="140"/>
    </row>
    <row r="117" spans="1:31" s="79" customFormat="1" ht="15.95" customHeight="1">
      <c r="A117" s="141" t="s">
        <v>122</v>
      </c>
      <c r="B117" s="171" t="s">
        <v>123</v>
      </c>
      <c r="C117" s="401"/>
      <c r="D117" s="398"/>
      <c r="E117" s="398"/>
      <c r="F117" s="398"/>
      <c r="G117" s="398"/>
      <c r="H117" s="398"/>
      <c r="I117" s="398"/>
      <c r="J117" s="398"/>
      <c r="K117" s="398"/>
      <c r="L117" s="398"/>
      <c r="M117" s="398"/>
      <c r="N117" s="398"/>
      <c r="O117" s="398"/>
      <c r="P117" s="398"/>
      <c r="Q117" s="398"/>
      <c r="R117" s="398"/>
      <c r="S117" s="398"/>
      <c r="T117" s="398"/>
      <c r="U117" s="398"/>
      <c r="V117" s="398"/>
      <c r="W117" s="406"/>
      <c r="X117" s="405"/>
      <c r="Y117" s="406"/>
      <c r="Z117" s="406"/>
      <c r="AA117" s="398"/>
      <c r="AB117" s="398"/>
      <c r="AC117" s="398"/>
      <c r="AD117" s="400">
        <f t="shared" si="18"/>
        <v>0</v>
      </c>
      <c r="AE117" s="140"/>
    </row>
    <row r="118" spans="1:31" s="79" customFormat="1" ht="15.95" customHeight="1">
      <c r="A118" s="141" t="s">
        <v>124</v>
      </c>
      <c r="B118" s="171" t="s">
        <v>125</v>
      </c>
      <c r="C118" s="401"/>
      <c r="D118" s="398"/>
      <c r="E118" s="398"/>
      <c r="F118" s="398"/>
      <c r="G118" s="398"/>
      <c r="H118" s="398"/>
      <c r="I118" s="398"/>
      <c r="J118" s="398"/>
      <c r="K118" s="398"/>
      <c r="L118" s="398"/>
      <c r="M118" s="398"/>
      <c r="N118" s="398"/>
      <c r="O118" s="398"/>
      <c r="P118" s="398"/>
      <c r="Q118" s="398"/>
      <c r="R118" s="398"/>
      <c r="S118" s="398"/>
      <c r="T118" s="398"/>
      <c r="U118" s="398"/>
      <c r="V118" s="396"/>
      <c r="W118" s="401"/>
      <c r="X118" s="401"/>
      <c r="Y118" s="401"/>
      <c r="Z118" s="401"/>
      <c r="AA118" s="409"/>
      <c r="AB118" s="398"/>
      <c r="AC118" s="398"/>
      <c r="AD118" s="400">
        <f t="shared" si="18"/>
        <v>0</v>
      </c>
      <c r="AE118" s="140"/>
    </row>
    <row r="119" spans="1:31" s="79" customFormat="1" ht="15.95" customHeight="1">
      <c r="A119" s="141" t="s">
        <v>126</v>
      </c>
      <c r="B119" s="171" t="s">
        <v>127</v>
      </c>
      <c r="C119" s="401"/>
      <c r="D119" s="398"/>
      <c r="E119" s="398"/>
      <c r="F119" s="398"/>
      <c r="G119" s="398"/>
      <c r="H119" s="398"/>
      <c r="I119" s="398"/>
      <c r="J119" s="398"/>
      <c r="K119" s="398"/>
      <c r="L119" s="398"/>
      <c r="M119" s="398"/>
      <c r="N119" s="398"/>
      <c r="O119" s="398"/>
      <c r="P119" s="398"/>
      <c r="Q119" s="398"/>
      <c r="R119" s="398"/>
      <c r="S119" s="398"/>
      <c r="T119" s="398"/>
      <c r="U119" s="398"/>
      <c r="V119" s="396"/>
      <c r="W119" s="401"/>
      <c r="X119" s="401"/>
      <c r="Y119" s="401"/>
      <c r="Z119" s="433"/>
      <c r="AA119" s="398"/>
      <c r="AB119" s="398"/>
      <c r="AC119" s="398"/>
      <c r="AD119" s="400">
        <f t="shared" si="18"/>
        <v>0</v>
      </c>
      <c r="AE119" s="140"/>
    </row>
    <row r="120" spans="1:31" s="79" customFormat="1" ht="15.95" customHeight="1">
      <c r="A120" s="141" t="s">
        <v>128</v>
      </c>
      <c r="B120" s="171" t="s">
        <v>129</v>
      </c>
      <c r="C120" s="401"/>
      <c r="D120" s="398"/>
      <c r="E120" s="398"/>
      <c r="F120" s="398"/>
      <c r="G120" s="398"/>
      <c r="H120" s="398"/>
      <c r="I120" s="398"/>
      <c r="J120" s="398"/>
      <c r="K120" s="398"/>
      <c r="L120" s="398"/>
      <c r="M120" s="398"/>
      <c r="N120" s="398"/>
      <c r="O120" s="398"/>
      <c r="P120" s="398"/>
      <c r="Q120" s="398"/>
      <c r="R120" s="398"/>
      <c r="S120" s="398"/>
      <c r="T120" s="398"/>
      <c r="U120" s="398"/>
      <c r="V120" s="431"/>
      <c r="W120" s="401"/>
      <c r="X120" s="427"/>
      <c r="Y120" s="401"/>
      <c r="Z120" s="409"/>
      <c r="AA120" s="398"/>
      <c r="AB120" s="398"/>
      <c r="AC120" s="398"/>
      <c r="AD120" s="400">
        <f t="shared" si="18"/>
        <v>0</v>
      </c>
      <c r="AE120" s="140"/>
    </row>
    <row r="121" spans="1:31" s="79" customFormat="1" ht="15.95" customHeight="1">
      <c r="A121" s="141" t="s">
        <v>130</v>
      </c>
      <c r="B121" s="171" t="s">
        <v>131</v>
      </c>
      <c r="C121" s="401"/>
      <c r="D121" s="398"/>
      <c r="E121" s="398"/>
      <c r="F121" s="405"/>
      <c r="G121" s="405"/>
      <c r="H121" s="405"/>
      <c r="I121" s="405"/>
      <c r="J121" s="405"/>
      <c r="K121" s="405"/>
      <c r="L121" s="405"/>
      <c r="M121" s="398"/>
      <c r="N121" s="405"/>
      <c r="O121" s="405"/>
      <c r="P121" s="405"/>
      <c r="Q121" s="405"/>
      <c r="R121" s="398"/>
      <c r="S121" s="405"/>
      <c r="T121" s="398"/>
      <c r="U121" s="396"/>
      <c r="V121" s="401"/>
      <c r="W121" s="401"/>
      <c r="X121" s="409"/>
      <c r="Y121" s="408"/>
      <c r="Z121" s="398"/>
      <c r="AA121" s="398"/>
      <c r="AB121" s="405"/>
      <c r="AC121" s="405"/>
      <c r="AD121" s="400">
        <f t="shared" si="18"/>
        <v>0</v>
      </c>
      <c r="AE121" s="140"/>
    </row>
    <row r="122" spans="1:31" s="79" customFormat="1" ht="15.95" customHeight="1">
      <c r="A122" s="141" t="s">
        <v>132</v>
      </c>
      <c r="B122" s="171" t="s">
        <v>133</v>
      </c>
      <c r="C122" s="402"/>
      <c r="D122" s="398"/>
      <c r="E122" s="396"/>
      <c r="F122" s="401"/>
      <c r="G122" s="401"/>
      <c r="H122" s="401"/>
      <c r="I122" s="401"/>
      <c r="J122" s="401"/>
      <c r="K122" s="401"/>
      <c r="L122" s="401"/>
      <c r="M122" s="410"/>
      <c r="N122" s="401"/>
      <c r="O122" s="401"/>
      <c r="P122" s="401"/>
      <c r="Q122" s="401"/>
      <c r="R122" s="410"/>
      <c r="S122" s="401"/>
      <c r="T122" s="409"/>
      <c r="U122" s="398"/>
      <c r="V122" s="405"/>
      <c r="W122" s="405"/>
      <c r="X122" s="405"/>
      <c r="Y122" s="405"/>
      <c r="Z122" s="405"/>
      <c r="AA122" s="396"/>
      <c r="AB122" s="401"/>
      <c r="AC122" s="399"/>
      <c r="AD122" s="400">
        <f t="shared" si="18"/>
        <v>0</v>
      </c>
      <c r="AE122" s="140"/>
    </row>
    <row r="123" spans="1:31" s="63" customFormat="1" ht="15.95" customHeight="1">
      <c r="A123" s="475" t="s">
        <v>134</v>
      </c>
      <c r="B123" s="476"/>
      <c r="C123" s="401">
        <f>SUM(C105:C122)</f>
        <v>0</v>
      </c>
      <c r="D123" s="398">
        <f t="shared" ref="D123:AC123" si="19">SUM(D105:D122)</f>
        <v>0</v>
      </c>
      <c r="E123" s="396">
        <f t="shared" si="19"/>
        <v>0</v>
      </c>
      <c r="F123" s="401">
        <f t="shared" si="19"/>
        <v>23.608270000000001</v>
      </c>
      <c r="G123" s="401">
        <f t="shared" si="19"/>
        <v>17.453949999999999</v>
      </c>
      <c r="H123" s="401">
        <f t="shared" si="19"/>
        <v>15433.789379999998</v>
      </c>
      <c r="I123" s="401">
        <f t="shared" si="19"/>
        <v>1039.60428</v>
      </c>
      <c r="J123" s="401">
        <f t="shared" si="19"/>
        <v>1988.3907799999999</v>
      </c>
      <c r="K123" s="401">
        <f t="shared" si="19"/>
        <v>0.66400000000000003</v>
      </c>
      <c r="L123" s="401">
        <f t="shared" si="19"/>
        <v>2.73306</v>
      </c>
      <c r="M123" s="410">
        <f t="shared" si="19"/>
        <v>0</v>
      </c>
      <c r="N123" s="401">
        <f t="shared" si="19"/>
        <v>0</v>
      </c>
      <c r="O123" s="401">
        <f t="shared" si="19"/>
        <v>0</v>
      </c>
      <c r="P123" s="401">
        <f t="shared" si="19"/>
        <v>0</v>
      </c>
      <c r="Q123" s="401">
        <f t="shared" si="19"/>
        <v>0</v>
      </c>
      <c r="R123" s="410">
        <f t="shared" si="19"/>
        <v>0</v>
      </c>
      <c r="S123" s="401">
        <f t="shared" si="19"/>
        <v>327.42940999999996</v>
      </c>
      <c r="T123" s="409">
        <f t="shared" si="19"/>
        <v>0</v>
      </c>
      <c r="U123" s="396">
        <f t="shared" si="19"/>
        <v>0</v>
      </c>
      <c r="V123" s="401">
        <f t="shared" si="19"/>
        <v>0</v>
      </c>
      <c r="W123" s="401">
        <f t="shared" si="19"/>
        <v>0</v>
      </c>
      <c r="X123" s="401">
        <f t="shared" si="19"/>
        <v>0</v>
      </c>
      <c r="Y123" s="401">
        <f t="shared" si="19"/>
        <v>0</v>
      </c>
      <c r="Z123" s="401">
        <f t="shared" si="19"/>
        <v>0</v>
      </c>
      <c r="AA123" s="410">
        <f t="shared" si="19"/>
        <v>0</v>
      </c>
      <c r="AB123" s="401">
        <f t="shared" si="19"/>
        <v>0</v>
      </c>
      <c r="AC123" s="399">
        <f t="shared" si="19"/>
        <v>0</v>
      </c>
      <c r="AD123" s="400">
        <f t="shared" si="18"/>
        <v>18833.673129999999</v>
      </c>
      <c r="AE123" s="126"/>
    </row>
    <row r="124" spans="1:31" s="63" customFormat="1" ht="8.4499999999999993" customHeight="1">
      <c r="A124" s="128"/>
      <c r="B124" s="65"/>
      <c r="C124" s="406"/>
      <c r="D124" s="405"/>
      <c r="E124" s="405"/>
      <c r="F124" s="406"/>
      <c r="G124" s="406"/>
      <c r="H124" s="406"/>
      <c r="I124" s="406"/>
      <c r="J124" s="406"/>
      <c r="K124" s="406"/>
      <c r="L124" s="406"/>
      <c r="M124" s="405"/>
      <c r="N124" s="406"/>
      <c r="O124" s="406"/>
      <c r="P124" s="406"/>
      <c r="Q124" s="406"/>
      <c r="R124" s="405"/>
      <c r="S124" s="406"/>
      <c r="T124" s="405"/>
      <c r="U124" s="405"/>
      <c r="V124" s="405"/>
      <c r="W124" s="405"/>
      <c r="X124" s="405"/>
      <c r="Y124" s="405"/>
      <c r="Z124" s="406"/>
      <c r="AA124" s="405"/>
      <c r="AB124" s="406"/>
      <c r="AC124" s="406"/>
      <c r="AD124" s="407"/>
      <c r="AE124" s="126"/>
    </row>
    <row r="125" spans="1:31" s="63" customFormat="1" ht="15.95" customHeight="1">
      <c r="A125" s="115" t="s">
        <v>135</v>
      </c>
      <c r="B125" s="167"/>
      <c r="C125" s="408"/>
      <c r="D125" s="408"/>
      <c r="E125" s="408"/>
      <c r="F125" s="408"/>
      <c r="G125" s="408"/>
      <c r="H125" s="408"/>
      <c r="I125" s="408"/>
      <c r="J125" s="408"/>
      <c r="K125" s="408"/>
      <c r="L125" s="408"/>
      <c r="M125" s="408"/>
      <c r="N125" s="408"/>
      <c r="O125" s="408"/>
      <c r="P125" s="408"/>
      <c r="Q125" s="408"/>
      <c r="R125" s="408"/>
      <c r="S125" s="408"/>
      <c r="T125" s="408"/>
      <c r="U125" s="408"/>
      <c r="V125" s="408"/>
      <c r="W125" s="408"/>
      <c r="X125" s="408"/>
      <c r="Y125" s="408"/>
      <c r="Z125" s="408"/>
      <c r="AA125" s="408"/>
      <c r="AB125" s="408"/>
      <c r="AC125" s="408"/>
      <c r="AD125" s="407"/>
      <c r="AE125" s="126"/>
    </row>
    <row r="126" spans="1:31" s="79" customFormat="1" ht="15.95" customHeight="1">
      <c r="A126" s="141" t="s">
        <v>136</v>
      </c>
      <c r="B126" s="171" t="s">
        <v>137</v>
      </c>
      <c r="C126" s="401"/>
      <c r="D126" s="398"/>
      <c r="E126" s="398"/>
      <c r="F126" s="405"/>
      <c r="G126" s="405"/>
      <c r="H126" s="405"/>
      <c r="I126" s="405"/>
      <c r="J126" s="405"/>
      <c r="K126" s="405"/>
      <c r="L126" s="405"/>
      <c r="M126" s="398"/>
      <c r="N126" s="405"/>
      <c r="O126" s="405"/>
      <c r="P126" s="405"/>
      <c r="Q126" s="405"/>
      <c r="R126" s="398"/>
      <c r="S126" s="405"/>
      <c r="T126" s="398"/>
      <c r="U126" s="398"/>
      <c r="V126" s="398"/>
      <c r="W126" s="398"/>
      <c r="X126" s="398"/>
      <c r="Y126" s="398"/>
      <c r="Z126" s="398"/>
      <c r="AA126" s="398"/>
      <c r="AB126" s="405"/>
      <c r="AC126" s="405"/>
      <c r="AD126" s="400">
        <f t="shared" ref="AD126:AD138" si="20">SUM(C126:AC126)</f>
        <v>0</v>
      </c>
      <c r="AE126" s="140"/>
    </row>
    <row r="127" spans="1:31" s="79" customFormat="1" ht="15.95" customHeight="1">
      <c r="A127" s="141" t="s">
        <v>138</v>
      </c>
      <c r="B127" s="171" t="s">
        <v>139</v>
      </c>
      <c r="C127" s="401"/>
      <c r="D127" s="398"/>
      <c r="E127" s="396"/>
      <c r="F127" s="401"/>
      <c r="G127" s="401"/>
      <c r="H127" s="401"/>
      <c r="I127" s="401"/>
      <c r="J127" s="401"/>
      <c r="K127" s="401"/>
      <c r="L127" s="401"/>
      <c r="M127" s="410"/>
      <c r="N127" s="401"/>
      <c r="O127" s="401"/>
      <c r="P127" s="401"/>
      <c r="Q127" s="401"/>
      <c r="R127" s="410"/>
      <c r="S127" s="401"/>
      <c r="T127" s="409"/>
      <c r="U127" s="398"/>
      <c r="V127" s="398"/>
      <c r="W127" s="398"/>
      <c r="X127" s="398"/>
      <c r="Y127" s="398"/>
      <c r="Z127" s="398"/>
      <c r="AA127" s="396"/>
      <c r="AB127" s="401"/>
      <c r="AC127" s="399"/>
      <c r="AD127" s="400">
        <f t="shared" si="20"/>
        <v>0</v>
      </c>
      <c r="AE127" s="140"/>
    </row>
    <row r="128" spans="1:31" s="79" customFormat="1" ht="15.95" customHeight="1">
      <c r="A128" s="141" t="s">
        <v>140</v>
      </c>
      <c r="B128" s="171" t="s">
        <v>141</v>
      </c>
      <c r="C128" s="401"/>
      <c r="D128" s="398"/>
      <c r="E128" s="396"/>
      <c r="F128" s="401"/>
      <c r="G128" s="401"/>
      <c r="H128" s="401">
        <f>28952.56/1000</f>
        <v>28.952560000000002</v>
      </c>
      <c r="I128" s="401"/>
      <c r="J128" s="401">
        <f>74174.91/1000</f>
        <v>74.174909999999997</v>
      </c>
      <c r="K128" s="401"/>
      <c r="L128" s="401">
        <f>34769.95/1000</f>
        <v>34.769949999999994</v>
      </c>
      <c r="M128" s="410"/>
      <c r="N128" s="401"/>
      <c r="O128" s="401"/>
      <c r="P128" s="401"/>
      <c r="Q128" s="401"/>
      <c r="R128" s="410"/>
      <c r="S128" s="401"/>
      <c r="T128" s="409"/>
      <c r="U128" s="398"/>
      <c r="V128" s="398"/>
      <c r="W128" s="398"/>
      <c r="X128" s="398"/>
      <c r="Y128" s="398"/>
      <c r="Z128" s="398"/>
      <c r="AA128" s="396"/>
      <c r="AB128" s="401"/>
      <c r="AC128" s="399"/>
      <c r="AD128" s="400">
        <f t="shared" si="20"/>
        <v>137.89742000000001</v>
      </c>
      <c r="AE128" s="140"/>
    </row>
    <row r="129" spans="1:31" s="79" customFormat="1" ht="15.95" customHeight="1">
      <c r="A129" s="141" t="s">
        <v>142</v>
      </c>
      <c r="B129" s="171" t="s">
        <v>143</v>
      </c>
      <c r="C129" s="401"/>
      <c r="D129" s="398"/>
      <c r="E129" s="396"/>
      <c r="F129" s="401"/>
      <c r="G129" s="401"/>
      <c r="H129" s="401"/>
      <c r="I129" s="401"/>
      <c r="J129" s="401"/>
      <c r="K129" s="401"/>
      <c r="L129" s="401"/>
      <c r="M129" s="410"/>
      <c r="N129" s="401"/>
      <c r="O129" s="401"/>
      <c r="P129" s="401"/>
      <c r="Q129" s="401"/>
      <c r="R129" s="410"/>
      <c r="S129" s="401"/>
      <c r="T129" s="409"/>
      <c r="U129" s="398"/>
      <c r="V129" s="398"/>
      <c r="W129" s="398"/>
      <c r="X129" s="398"/>
      <c r="Y129" s="398"/>
      <c r="Z129" s="398"/>
      <c r="AA129" s="396"/>
      <c r="AB129" s="401"/>
      <c r="AC129" s="399"/>
      <c r="AD129" s="400">
        <f t="shared" si="20"/>
        <v>0</v>
      </c>
      <c r="AE129" s="140"/>
    </row>
    <row r="130" spans="1:31" s="79" customFormat="1" ht="15.95" customHeight="1">
      <c r="A130" s="141" t="s">
        <v>144</v>
      </c>
      <c r="B130" s="171" t="s">
        <v>145</v>
      </c>
      <c r="C130" s="401"/>
      <c r="D130" s="398"/>
      <c r="E130" s="396"/>
      <c r="F130" s="401"/>
      <c r="G130" s="401"/>
      <c r="H130" s="401"/>
      <c r="I130" s="401"/>
      <c r="J130" s="401"/>
      <c r="K130" s="401"/>
      <c r="L130" s="401"/>
      <c r="M130" s="410"/>
      <c r="N130" s="401"/>
      <c r="O130" s="401"/>
      <c r="P130" s="401"/>
      <c r="Q130" s="401"/>
      <c r="R130" s="410"/>
      <c r="S130" s="401"/>
      <c r="T130" s="409"/>
      <c r="U130" s="398"/>
      <c r="V130" s="398"/>
      <c r="W130" s="405"/>
      <c r="X130" s="398"/>
      <c r="Y130" s="398"/>
      <c r="Z130" s="398"/>
      <c r="AA130" s="431"/>
      <c r="AB130" s="401"/>
      <c r="AC130" s="399"/>
      <c r="AD130" s="400">
        <f t="shared" si="20"/>
        <v>0</v>
      </c>
      <c r="AE130" s="140"/>
    </row>
    <row r="131" spans="1:31" s="79" customFormat="1" ht="15.95" customHeight="1">
      <c r="A131" s="141" t="s">
        <v>146</v>
      </c>
      <c r="B131" s="171" t="s">
        <v>147</v>
      </c>
      <c r="C131" s="401"/>
      <c r="D131" s="398"/>
      <c r="E131" s="398"/>
      <c r="F131" s="408"/>
      <c r="G131" s="408"/>
      <c r="H131" s="408"/>
      <c r="I131" s="408"/>
      <c r="J131" s="408"/>
      <c r="K131" s="408"/>
      <c r="L131" s="408"/>
      <c r="M131" s="398"/>
      <c r="N131" s="408"/>
      <c r="O131" s="408"/>
      <c r="P131" s="408"/>
      <c r="Q131" s="408"/>
      <c r="R131" s="398"/>
      <c r="S131" s="408"/>
      <c r="T131" s="405"/>
      <c r="U131" s="398"/>
      <c r="V131" s="396"/>
      <c r="W131" s="401"/>
      <c r="X131" s="434"/>
      <c r="Y131" s="398"/>
      <c r="Z131" s="396"/>
      <c r="AA131" s="401">
        <f>23665745.47/1000</f>
        <v>23665.745469999998</v>
      </c>
      <c r="AB131" s="433"/>
      <c r="AC131" s="408"/>
      <c r="AD131" s="400">
        <f t="shared" si="20"/>
        <v>23665.745469999998</v>
      </c>
      <c r="AE131" s="140"/>
    </row>
    <row r="132" spans="1:31" s="63" customFormat="1" ht="15.95" customHeight="1">
      <c r="A132" s="141" t="s">
        <v>148</v>
      </c>
      <c r="B132" s="171" t="s">
        <v>149</v>
      </c>
      <c r="C132" s="401"/>
      <c r="D132" s="398"/>
      <c r="E132" s="398"/>
      <c r="F132" s="398"/>
      <c r="G132" s="398"/>
      <c r="H132" s="398"/>
      <c r="I132" s="398"/>
      <c r="J132" s="398"/>
      <c r="K132" s="398"/>
      <c r="L132" s="398"/>
      <c r="M132" s="398"/>
      <c r="N132" s="398"/>
      <c r="O132" s="398"/>
      <c r="P132" s="398"/>
      <c r="Q132" s="398"/>
      <c r="R132" s="398"/>
      <c r="S132" s="396"/>
      <c r="T132" s="435">
        <f>199300000/1000</f>
        <v>199300</v>
      </c>
      <c r="U132" s="409"/>
      <c r="V132" s="396"/>
      <c r="W132" s="401"/>
      <c r="X132" s="401"/>
      <c r="Y132" s="409"/>
      <c r="Z132" s="398"/>
      <c r="AA132" s="408"/>
      <c r="AB132" s="398"/>
      <c r="AC132" s="398"/>
      <c r="AD132" s="400">
        <f t="shared" si="20"/>
        <v>199300</v>
      </c>
      <c r="AE132" s="126"/>
    </row>
    <row r="133" spans="1:31" s="63" customFormat="1" ht="15.95" customHeight="1">
      <c r="A133" s="141" t="s">
        <v>150</v>
      </c>
      <c r="B133" s="171" t="s">
        <v>151</v>
      </c>
      <c r="C133" s="401"/>
      <c r="D133" s="398"/>
      <c r="E133" s="398"/>
      <c r="F133" s="398"/>
      <c r="G133" s="398"/>
      <c r="H133" s="398"/>
      <c r="I133" s="398"/>
      <c r="J133" s="398"/>
      <c r="K133" s="398"/>
      <c r="L133" s="398"/>
      <c r="M133" s="398"/>
      <c r="N133" s="398"/>
      <c r="O133" s="398"/>
      <c r="P133" s="398"/>
      <c r="Q133" s="398"/>
      <c r="R133" s="398"/>
      <c r="S133" s="398"/>
      <c r="T133" s="408"/>
      <c r="U133" s="398"/>
      <c r="V133" s="396"/>
      <c r="W133" s="401"/>
      <c r="X133" s="401"/>
      <c r="Y133" s="409"/>
      <c r="Z133" s="398"/>
      <c r="AA133" s="405"/>
      <c r="AB133" s="398"/>
      <c r="AC133" s="398"/>
      <c r="AD133" s="400">
        <f t="shared" si="20"/>
        <v>0</v>
      </c>
      <c r="AE133" s="126"/>
    </row>
    <row r="134" spans="1:31" s="63" customFormat="1" ht="15.95" customHeight="1">
      <c r="A134" s="141" t="s">
        <v>152</v>
      </c>
      <c r="B134" s="171" t="s">
        <v>153</v>
      </c>
      <c r="C134" s="401"/>
      <c r="D134" s="398"/>
      <c r="E134" s="398"/>
      <c r="F134" s="398"/>
      <c r="G134" s="398"/>
      <c r="H134" s="398"/>
      <c r="I134" s="398"/>
      <c r="J134" s="398"/>
      <c r="K134" s="398"/>
      <c r="L134" s="398"/>
      <c r="M134" s="398"/>
      <c r="N134" s="398"/>
      <c r="O134" s="398"/>
      <c r="P134" s="398"/>
      <c r="Q134" s="398"/>
      <c r="R134" s="398"/>
      <c r="S134" s="398"/>
      <c r="T134" s="398"/>
      <c r="U134" s="405"/>
      <c r="V134" s="396"/>
      <c r="W134" s="401"/>
      <c r="X134" s="433"/>
      <c r="Y134" s="398"/>
      <c r="Z134" s="396"/>
      <c r="AA134" s="401">
        <f>818272.8/1000</f>
        <v>818.27280000000007</v>
      </c>
      <c r="AB134" s="409"/>
      <c r="AC134" s="398"/>
      <c r="AD134" s="400">
        <f t="shared" si="20"/>
        <v>818.27280000000007</v>
      </c>
      <c r="AE134" s="126"/>
    </row>
    <row r="135" spans="1:31" s="63" customFormat="1" ht="15.95" customHeight="1">
      <c r="A135" s="141" t="s">
        <v>154</v>
      </c>
      <c r="B135" s="171" t="s">
        <v>155</v>
      </c>
      <c r="C135" s="401"/>
      <c r="D135" s="398"/>
      <c r="E135" s="398"/>
      <c r="F135" s="398"/>
      <c r="G135" s="398"/>
      <c r="H135" s="398"/>
      <c r="I135" s="398"/>
      <c r="J135" s="398"/>
      <c r="K135" s="398"/>
      <c r="L135" s="398"/>
      <c r="M135" s="398"/>
      <c r="N135" s="398"/>
      <c r="O135" s="398"/>
      <c r="P135" s="398"/>
      <c r="Q135" s="398"/>
      <c r="R135" s="398"/>
      <c r="S135" s="398"/>
      <c r="T135" s="431"/>
      <c r="U135" s="397"/>
      <c r="V135" s="410"/>
      <c r="W135" s="401"/>
      <c r="X135" s="409"/>
      <c r="Y135" s="398"/>
      <c r="Z135" s="398"/>
      <c r="AA135" s="408"/>
      <c r="AB135" s="398"/>
      <c r="AC135" s="398"/>
      <c r="AD135" s="400">
        <f t="shared" si="20"/>
        <v>0</v>
      </c>
      <c r="AE135" s="126"/>
    </row>
    <row r="136" spans="1:31" s="63" customFormat="1" ht="15.95" customHeight="1">
      <c r="A136" s="141" t="s">
        <v>156</v>
      </c>
      <c r="B136" s="176" t="s">
        <v>157</v>
      </c>
      <c r="C136" s="401"/>
      <c r="D136" s="398"/>
      <c r="E136" s="398"/>
      <c r="F136" s="398"/>
      <c r="G136" s="398"/>
      <c r="H136" s="398"/>
      <c r="I136" s="398"/>
      <c r="J136" s="398"/>
      <c r="K136" s="398"/>
      <c r="L136" s="398"/>
      <c r="M136" s="398"/>
      <c r="N136" s="398"/>
      <c r="O136" s="398"/>
      <c r="P136" s="398"/>
      <c r="Q136" s="398"/>
      <c r="R136" s="398"/>
      <c r="S136" s="396"/>
      <c r="T136" s="397">
        <f>2501000/1000</f>
        <v>2501</v>
      </c>
      <c r="U136" s="433"/>
      <c r="V136" s="396"/>
      <c r="W136" s="401"/>
      <c r="X136" s="409"/>
      <c r="Y136" s="398"/>
      <c r="Z136" s="398"/>
      <c r="AA136" s="405"/>
      <c r="AB136" s="398"/>
      <c r="AC136" s="398"/>
      <c r="AD136" s="400">
        <f t="shared" si="20"/>
        <v>2501</v>
      </c>
      <c r="AE136" s="126"/>
    </row>
    <row r="137" spans="1:31" s="63" customFormat="1" ht="15.95" customHeight="1">
      <c r="A137" s="141" t="s">
        <v>158</v>
      </c>
      <c r="B137" s="176" t="s">
        <v>159</v>
      </c>
      <c r="C137" s="401"/>
      <c r="D137" s="398"/>
      <c r="E137" s="398"/>
      <c r="F137" s="405"/>
      <c r="G137" s="405"/>
      <c r="H137" s="405"/>
      <c r="I137" s="405"/>
      <c r="J137" s="405"/>
      <c r="K137" s="405"/>
      <c r="L137" s="405"/>
      <c r="M137" s="398"/>
      <c r="N137" s="405"/>
      <c r="O137" s="405"/>
      <c r="P137" s="405"/>
      <c r="Q137" s="405"/>
      <c r="R137" s="398"/>
      <c r="S137" s="405"/>
      <c r="T137" s="406"/>
      <c r="U137" s="405"/>
      <c r="V137" s="396"/>
      <c r="W137" s="401"/>
      <c r="X137" s="434"/>
      <c r="Y137" s="398"/>
      <c r="Z137" s="396"/>
      <c r="AA137" s="402"/>
      <c r="AB137" s="409"/>
      <c r="AC137" s="398"/>
      <c r="AD137" s="400">
        <f t="shared" si="20"/>
        <v>0</v>
      </c>
      <c r="AE137" s="126"/>
    </row>
    <row r="138" spans="1:31" s="63" customFormat="1" ht="15.95" customHeight="1">
      <c r="A138" s="475" t="s">
        <v>160</v>
      </c>
      <c r="B138" s="476"/>
      <c r="C138" s="401">
        <f>SUM(C125:C137)</f>
        <v>0</v>
      </c>
      <c r="D138" s="398">
        <f t="shared" ref="D138:AA138" si="21">SUM(D126:D137)</f>
        <v>0</v>
      </c>
      <c r="E138" s="396">
        <f t="shared" si="21"/>
        <v>0</v>
      </c>
      <c r="F138" s="401">
        <f t="shared" si="21"/>
        <v>0</v>
      </c>
      <c r="G138" s="401">
        <f t="shared" si="21"/>
        <v>0</v>
      </c>
      <c r="H138" s="401">
        <f t="shared" si="21"/>
        <v>28.952560000000002</v>
      </c>
      <c r="I138" s="401">
        <f t="shared" si="21"/>
        <v>0</v>
      </c>
      <c r="J138" s="401">
        <f t="shared" si="21"/>
        <v>74.174909999999997</v>
      </c>
      <c r="K138" s="401">
        <f t="shared" si="21"/>
        <v>0</v>
      </c>
      <c r="L138" s="401">
        <f t="shared" si="21"/>
        <v>34.769949999999994</v>
      </c>
      <c r="M138" s="410">
        <f t="shared" si="21"/>
        <v>0</v>
      </c>
      <c r="N138" s="401">
        <f t="shared" si="21"/>
        <v>0</v>
      </c>
      <c r="O138" s="401">
        <f t="shared" si="21"/>
        <v>0</v>
      </c>
      <c r="P138" s="401">
        <f t="shared" si="21"/>
        <v>0</v>
      </c>
      <c r="Q138" s="401">
        <f t="shared" si="21"/>
        <v>0</v>
      </c>
      <c r="R138" s="410">
        <f t="shared" si="21"/>
        <v>0</v>
      </c>
      <c r="S138" s="401">
        <f t="shared" si="21"/>
        <v>0</v>
      </c>
      <c r="T138" s="401">
        <f t="shared" si="21"/>
        <v>201801</v>
      </c>
      <c r="U138" s="401">
        <f t="shared" si="21"/>
        <v>0</v>
      </c>
      <c r="V138" s="410">
        <f t="shared" si="21"/>
        <v>0</v>
      </c>
      <c r="W138" s="401">
        <f t="shared" si="21"/>
        <v>0</v>
      </c>
      <c r="X138" s="401">
        <f t="shared" si="21"/>
        <v>0</v>
      </c>
      <c r="Y138" s="409">
        <f t="shared" si="21"/>
        <v>0</v>
      </c>
      <c r="Z138" s="396">
        <f t="shared" si="21"/>
        <v>0</v>
      </c>
      <c r="AA138" s="401">
        <f t="shared" si="21"/>
        <v>24484.018269999997</v>
      </c>
      <c r="AB138" s="401">
        <f>SUM(AB126:AB137)</f>
        <v>0</v>
      </c>
      <c r="AC138" s="401">
        <f>SUM(AC126:AC137)</f>
        <v>0</v>
      </c>
      <c r="AD138" s="400">
        <f t="shared" si="20"/>
        <v>226422.91568999999</v>
      </c>
      <c r="AE138" s="126"/>
    </row>
    <row r="139" spans="1:31" s="63" customFormat="1" ht="8.25" customHeight="1">
      <c r="A139" s="477"/>
      <c r="B139" s="478"/>
      <c r="C139" s="406"/>
      <c r="D139" s="405"/>
      <c r="E139" s="405"/>
      <c r="F139" s="406"/>
      <c r="G139" s="406"/>
      <c r="H139" s="406"/>
      <c r="I139" s="406"/>
      <c r="J139" s="406"/>
      <c r="K139" s="406"/>
      <c r="L139" s="406"/>
      <c r="M139" s="405"/>
      <c r="N139" s="406"/>
      <c r="O139" s="406"/>
      <c r="P139" s="406"/>
      <c r="Q139" s="406"/>
      <c r="R139" s="405"/>
      <c r="S139" s="406"/>
      <c r="T139" s="406"/>
      <c r="U139" s="406"/>
      <c r="V139" s="405"/>
      <c r="W139" s="406"/>
      <c r="X139" s="406"/>
      <c r="Y139" s="405"/>
      <c r="Z139" s="405"/>
      <c r="AA139" s="406"/>
      <c r="AB139" s="405"/>
      <c r="AC139" s="405"/>
      <c r="AD139" s="407"/>
      <c r="AE139" s="126"/>
    </row>
    <row r="140" spans="1:31" s="63" customFormat="1" ht="15.95" customHeight="1">
      <c r="A140" s="115" t="s">
        <v>161</v>
      </c>
      <c r="B140" s="167"/>
      <c r="C140" s="406"/>
      <c r="D140" s="406"/>
      <c r="E140" s="406"/>
      <c r="F140" s="406"/>
      <c r="G140" s="406"/>
      <c r="H140" s="406"/>
      <c r="I140" s="406"/>
      <c r="J140" s="406"/>
      <c r="K140" s="406"/>
      <c r="L140" s="406"/>
      <c r="M140" s="406"/>
      <c r="N140" s="406"/>
      <c r="O140" s="406"/>
      <c r="P140" s="406"/>
      <c r="Q140" s="406"/>
      <c r="R140" s="408"/>
      <c r="S140" s="406"/>
      <c r="T140" s="408"/>
      <c r="U140" s="408"/>
      <c r="V140" s="408"/>
      <c r="W140" s="408"/>
      <c r="X140" s="408"/>
      <c r="Y140" s="408"/>
      <c r="Z140" s="408"/>
      <c r="AA140" s="408"/>
      <c r="AB140" s="406"/>
      <c r="AC140" s="406"/>
      <c r="AD140" s="419"/>
      <c r="AE140" s="126"/>
    </row>
    <row r="141" spans="1:31" s="63" customFormat="1" ht="15.95" customHeight="1">
      <c r="A141" s="141" t="s">
        <v>162</v>
      </c>
      <c r="B141" s="171" t="s">
        <v>163</v>
      </c>
      <c r="C141" s="397"/>
      <c r="D141" s="436"/>
      <c r="E141" s="397"/>
      <c r="F141" s="397"/>
      <c r="G141" s="397"/>
      <c r="H141" s="397"/>
      <c r="I141" s="397"/>
      <c r="J141" s="397"/>
      <c r="K141" s="397"/>
      <c r="L141" s="397"/>
      <c r="M141" s="397"/>
      <c r="N141" s="397"/>
      <c r="O141" s="397"/>
      <c r="P141" s="397"/>
      <c r="Q141" s="397"/>
      <c r="R141" s="410"/>
      <c r="S141" s="397"/>
      <c r="T141" s="409"/>
      <c r="U141" s="398"/>
      <c r="V141" s="398"/>
      <c r="W141" s="398"/>
      <c r="X141" s="398"/>
      <c r="Y141" s="398"/>
      <c r="Z141" s="398"/>
      <c r="AA141" s="396"/>
      <c r="AB141" s="397"/>
      <c r="AC141" s="422"/>
      <c r="AD141" s="400">
        <f t="shared" ref="AD141:AD154" si="22">SUM(C141:AC141)</f>
        <v>0</v>
      </c>
      <c r="AE141" s="126"/>
    </row>
    <row r="142" spans="1:31" s="63" customFormat="1" ht="15.95" customHeight="1">
      <c r="A142" s="141" t="s">
        <v>164</v>
      </c>
      <c r="B142" s="171" t="s">
        <v>165</v>
      </c>
      <c r="C142" s="401"/>
      <c r="D142" s="425"/>
      <c r="E142" s="401"/>
      <c r="F142" s="401"/>
      <c r="G142" s="401"/>
      <c r="H142" s="401"/>
      <c r="I142" s="401"/>
      <c r="J142" s="401"/>
      <c r="K142" s="401"/>
      <c r="L142" s="401"/>
      <c r="M142" s="401"/>
      <c r="N142" s="401"/>
      <c r="O142" s="401"/>
      <c r="P142" s="401"/>
      <c r="Q142" s="401"/>
      <c r="R142" s="410"/>
      <c r="S142" s="401">
        <f>(3653638.29)/1000</f>
        <v>3653.6382899999999</v>
      </c>
      <c r="T142" s="409"/>
      <c r="U142" s="398"/>
      <c r="V142" s="398"/>
      <c r="W142" s="398"/>
      <c r="X142" s="398"/>
      <c r="Y142" s="398"/>
      <c r="Z142" s="398"/>
      <c r="AA142" s="396"/>
      <c r="AB142" s="401"/>
      <c r="AC142" s="399"/>
      <c r="AD142" s="400">
        <f t="shared" si="22"/>
        <v>3653.6382899999999</v>
      </c>
      <c r="AE142" s="126"/>
    </row>
    <row r="143" spans="1:31" s="63" customFormat="1" ht="15.95" customHeight="1">
      <c r="A143" s="141" t="s">
        <v>166</v>
      </c>
      <c r="B143" s="171" t="s">
        <v>167</v>
      </c>
      <c r="C143" s="401"/>
      <c r="D143" s="425"/>
      <c r="E143" s="401"/>
      <c r="F143" s="401"/>
      <c r="G143" s="401"/>
      <c r="H143" s="401"/>
      <c r="I143" s="401"/>
      <c r="J143" s="401"/>
      <c r="K143" s="401"/>
      <c r="L143" s="401"/>
      <c r="M143" s="401"/>
      <c r="N143" s="401"/>
      <c r="O143" s="401"/>
      <c r="P143" s="401"/>
      <c r="Q143" s="401"/>
      <c r="R143" s="410"/>
      <c r="S143" s="401"/>
      <c r="T143" s="409"/>
      <c r="U143" s="398"/>
      <c r="V143" s="398"/>
      <c r="W143" s="398"/>
      <c r="X143" s="398"/>
      <c r="Y143" s="398"/>
      <c r="Z143" s="398"/>
      <c r="AA143" s="396"/>
      <c r="AB143" s="401"/>
      <c r="AC143" s="399"/>
      <c r="AD143" s="400">
        <f t="shared" si="22"/>
        <v>0</v>
      </c>
      <c r="AE143" s="126"/>
    </row>
    <row r="144" spans="1:31" s="63" customFormat="1" ht="15.95" customHeight="1">
      <c r="A144" s="141" t="s">
        <v>168</v>
      </c>
      <c r="B144" s="171" t="s">
        <v>169</v>
      </c>
      <c r="C144" s="401"/>
      <c r="D144" s="425"/>
      <c r="E144" s="401"/>
      <c r="F144" s="401"/>
      <c r="G144" s="401"/>
      <c r="H144" s="401"/>
      <c r="I144" s="401"/>
      <c r="J144" s="401"/>
      <c r="K144" s="401"/>
      <c r="L144" s="401"/>
      <c r="M144" s="401"/>
      <c r="N144" s="401"/>
      <c r="O144" s="401"/>
      <c r="P144" s="401"/>
      <c r="Q144" s="401"/>
      <c r="R144" s="410"/>
      <c r="S144" s="401"/>
      <c r="T144" s="409"/>
      <c r="U144" s="398"/>
      <c r="V144" s="398"/>
      <c r="W144" s="398"/>
      <c r="X144" s="398"/>
      <c r="Y144" s="398"/>
      <c r="Z144" s="398"/>
      <c r="AA144" s="396"/>
      <c r="AB144" s="401"/>
      <c r="AC144" s="399"/>
      <c r="AD144" s="400">
        <f t="shared" si="22"/>
        <v>0</v>
      </c>
      <c r="AE144" s="126"/>
    </row>
    <row r="145" spans="1:31" s="63" customFormat="1" ht="15.95" customHeight="1">
      <c r="A145" s="141" t="s">
        <v>170</v>
      </c>
      <c r="B145" s="176" t="s">
        <v>171</v>
      </c>
      <c r="C145" s="401"/>
      <c r="D145" s="425"/>
      <c r="E145" s="401"/>
      <c r="F145" s="401"/>
      <c r="G145" s="401"/>
      <c r="H145" s="401"/>
      <c r="I145" s="401"/>
      <c r="J145" s="401">
        <f>119965.96/1000</f>
        <v>119.96596000000001</v>
      </c>
      <c r="K145" s="401"/>
      <c r="L145" s="401"/>
      <c r="M145" s="401"/>
      <c r="N145" s="401"/>
      <c r="O145" s="401">
        <f>46863/1000</f>
        <v>46.863</v>
      </c>
      <c r="P145" s="401"/>
      <c r="Q145" s="401"/>
      <c r="R145" s="410"/>
      <c r="S145" s="401"/>
      <c r="T145" s="409"/>
      <c r="U145" s="398"/>
      <c r="V145" s="398"/>
      <c r="W145" s="398"/>
      <c r="X145" s="398"/>
      <c r="Y145" s="398"/>
      <c r="Z145" s="398"/>
      <c r="AA145" s="396"/>
      <c r="AB145" s="401"/>
      <c r="AC145" s="399"/>
      <c r="AD145" s="400">
        <f t="shared" si="22"/>
        <v>166.82896</v>
      </c>
      <c r="AE145" s="126"/>
    </row>
    <row r="146" spans="1:31" s="63" customFormat="1" ht="15.95" customHeight="1">
      <c r="A146" s="141" t="s">
        <v>172</v>
      </c>
      <c r="B146" s="171" t="s">
        <v>173</v>
      </c>
      <c r="C146" s="401"/>
      <c r="D146" s="408"/>
      <c r="E146" s="408"/>
      <c r="F146" s="408"/>
      <c r="G146" s="408"/>
      <c r="H146" s="408"/>
      <c r="I146" s="408"/>
      <c r="J146" s="408"/>
      <c r="K146" s="408"/>
      <c r="L146" s="408"/>
      <c r="M146" s="408"/>
      <c r="N146" s="408"/>
      <c r="O146" s="408"/>
      <c r="P146" s="408"/>
      <c r="Q146" s="408"/>
      <c r="R146" s="398"/>
      <c r="S146" s="408"/>
      <c r="T146" s="398"/>
      <c r="U146" s="396"/>
      <c r="V146" s="401"/>
      <c r="W146" s="399"/>
      <c r="X146" s="409"/>
      <c r="Y146" s="405"/>
      <c r="Z146" s="398"/>
      <c r="AA146" s="398"/>
      <c r="AB146" s="408"/>
      <c r="AC146" s="408"/>
      <c r="AD146" s="400">
        <f t="shared" si="22"/>
        <v>0</v>
      </c>
      <c r="AE146" s="126"/>
    </row>
    <row r="147" spans="1:31" s="63" customFormat="1" ht="15.95" customHeight="1">
      <c r="A147" s="141" t="s">
        <v>174</v>
      </c>
      <c r="B147" s="171" t="s">
        <v>175</v>
      </c>
      <c r="C147" s="401"/>
      <c r="D147" s="398"/>
      <c r="E147" s="398"/>
      <c r="F147" s="398"/>
      <c r="G147" s="398"/>
      <c r="H147" s="398"/>
      <c r="I147" s="398"/>
      <c r="J147" s="398"/>
      <c r="K147" s="398"/>
      <c r="L147" s="398"/>
      <c r="M147" s="398"/>
      <c r="N147" s="398"/>
      <c r="O147" s="398"/>
      <c r="P147" s="398"/>
      <c r="Q147" s="398"/>
      <c r="R147" s="398"/>
      <c r="S147" s="398"/>
      <c r="T147" s="398"/>
      <c r="U147" s="398"/>
      <c r="V147" s="426"/>
      <c r="W147" s="401"/>
      <c r="X147" s="410"/>
      <c r="Y147" s="401"/>
      <c r="Z147" s="409"/>
      <c r="AA147" s="398"/>
      <c r="AB147" s="398"/>
      <c r="AC147" s="398"/>
      <c r="AD147" s="400">
        <f t="shared" si="22"/>
        <v>0</v>
      </c>
      <c r="AE147" s="126"/>
    </row>
    <row r="148" spans="1:31" s="63" customFormat="1" ht="15.95" customHeight="1">
      <c r="A148" s="141" t="s">
        <v>176</v>
      </c>
      <c r="B148" s="171" t="s">
        <v>177</v>
      </c>
      <c r="C148" s="401"/>
      <c r="D148" s="398"/>
      <c r="E148" s="398"/>
      <c r="F148" s="398"/>
      <c r="G148" s="398"/>
      <c r="H148" s="398"/>
      <c r="I148" s="398"/>
      <c r="J148" s="398"/>
      <c r="K148" s="398"/>
      <c r="L148" s="398"/>
      <c r="M148" s="398"/>
      <c r="N148" s="398"/>
      <c r="O148" s="398"/>
      <c r="P148" s="398"/>
      <c r="Q148" s="398"/>
      <c r="R148" s="398"/>
      <c r="S148" s="398"/>
      <c r="T148" s="398"/>
      <c r="U148" s="398"/>
      <c r="V148" s="396"/>
      <c r="W148" s="401"/>
      <c r="X148" s="410"/>
      <c r="Y148" s="401"/>
      <c r="Z148" s="409"/>
      <c r="AA148" s="398"/>
      <c r="AB148" s="398"/>
      <c r="AC148" s="398"/>
      <c r="AD148" s="400">
        <f t="shared" si="22"/>
        <v>0</v>
      </c>
      <c r="AE148" s="126"/>
    </row>
    <row r="149" spans="1:31" s="63" customFormat="1" ht="15.95" customHeight="1">
      <c r="A149" s="141" t="s">
        <v>178</v>
      </c>
      <c r="B149" s="171" t="s">
        <v>179</v>
      </c>
      <c r="C149" s="401"/>
      <c r="D149" s="398"/>
      <c r="E149" s="398"/>
      <c r="F149" s="398"/>
      <c r="G149" s="398"/>
      <c r="H149" s="398"/>
      <c r="I149" s="398"/>
      <c r="J149" s="398"/>
      <c r="K149" s="398"/>
      <c r="L149" s="398"/>
      <c r="M149" s="398"/>
      <c r="N149" s="398"/>
      <c r="O149" s="398"/>
      <c r="P149" s="398"/>
      <c r="Q149" s="398"/>
      <c r="R149" s="398"/>
      <c r="S149" s="398"/>
      <c r="T149" s="398"/>
      <c r="U149" s="398"/>
      <c r="V149" s="396"/>
      <c r="W149" s="401"/>
      <c r="X149" s="410"/>
      <c r="Y149" s="401"/>
      <c r="Z149" s="409"/>
      <c r="AA149" s="398"/>
      <c r="AB149" s="398"/>
      <c r="AC149" s="398"/>
      <c r="AD149" s="400">
        <f t="shared" si="22"/>
        <v>0</v>
      </c>
      <c r="AE149" s="126"/>
    </row>
    <row r="150" spans="1:31" s="63" customFormat="1" ht="15.95" customHeight="1">
      <c r="A150" s="141" t="s">
        <v>180</v>
      </c>
      <c r="B150" s="171" t="s">
        <v>181</v>
      </c>
      <c r="C150" s="401"/>
      <c r="D150" s="398"/>
      <c r="E150" s="398"/>
      <c r="F150" s="398"/>
      <c r="G150" s="398"/>
      <c r="H150" s="398"/>
      <c r="I150" s="398"/>
      <c r="J150" s="398"/>
      <c r="K150" s="398"/>
      <c r="L150" s="398"/>
      <c r="M150" s="398"/>
      <c r="N150" s="398"/>
      <c r="O150" s="398"/>
      <c r="P150" s="398"/>
      <c r="Q150" s="398"/>
      <c r="R150" s="398"/>
      <c r="S150" s="398"/>
      <c r="T150" s="398"/>
      <c r="U150" s="398"/>
      <c r="V150" s="396"/>
      <c r="W150" s="401"/>
      <c r="X150" s="410"/>
      <c r="Y150" s="401"/>
      <c r="Z150" s="409"/>
      <c r="AA150" s="398"/>
      <c r="AB150" s="398"/>
      <c r="AC150" s="398"/>
      <c r="AD150" s="400">
        <f t="shared" si="22"/>
        <v>0</v>
      </c>
      <c r="AE150" s="126"/>
    </row>
    <row r="151" spans="1:31" s="63" customFormat="1" ht="15.95" customHeight="1">
      <c r="A151" s="141" t="s">
        <v>182</v>
      </c>
      <c r="B151" s="171" t="s">
        <v>183</v>
      </c>
      <c r="C151" s="401"/>
      <c r="D151" s="398"/>
      <c r="E151" s="398"/>
      <c r="F151" s="398"/>
      <c r="G151" s="398"/>
      <c r="H151" s="398"/>
      <c r="I151" s="398"/>
      <c r="J151" s="398"/>
      <c r="K151" s="398"/>
      <c r="L151" s="398"/>
      <c r="M151" s="398"/>
      <c r="N151" s="398"/>
      <c r="O151" s="398"/>
      <c r="P151" s="398"/>
      <c r="Q151" s="398"/>
      <c r="R151" s="398"/>
      <c r="S151" s="398"/>
      <c r="T151" s="398"/>
      <c r="U151" s="398"/>
      <c r="V151" s="396"/>
      <c r="W151" s="401"/>
      <c r="X151" s="410"/>
      <c r="Y151" s="401"/>
      <c r="Z151" s="409"/>
      <c r="AA151" s="398"/>
      <c r="AB151" s="398"/>
      <c r="AC151" s="398"/>
      <c r="AD151" s="400">
        <f t="shared" si="22"/>
        <v>0</v>
      </c>
      <c r="AE151" s="126"/>
    </row>
    <row r="152" spans="1:31" s="63" customFormat="1" ht="15.95" customHeight="1">
      <c r="A152" s="141" t="s">
        <v>184</v>
      </c>
      <c r="B152" s="171" t="s">
        <v>185</v>
      </c>
      <c r="C152" s="401"/>
      <c r="D152" s="398"/>
      <c r="E152" s="398"/>
      <c r="F152" s="398"/>
      <c r="G152" s="398"/>
      <c r="H152" s="398"/>
      <c r="I152" s="398"/>
      <c r="J152" s="398"/>
      <c r="K152" s="398"/>
      <c r="L152" s="398"/>
      <c r="M152" s="398"/>
      <c r="N152" s="398"/>
      <c r="O152" s="398"/>
      <c r="P152" s="398"/>
      <c r="Q152" s="398"/>
      <c r="R152" s="398"/>
      <c r="S152" s="398"/>
      <c r="T152" s="398"/>
      <c r="U152" s="398"/>
      <c r="V152" s="396"/>
      <c r="W152" s="401"/>
      <c r="X152" s="410"/>
      <c r="Y152" s="401"/>
      <c r="Z152" s="409"/>
      <c r="AA152" s="398"/>
      <c r="AB152" s="398"/>
      <c r="AC152" s="398"/>
      <c r="AD152" s="400">
        <f t="shared" si="22"/>
        <v>0</v>
      </c>
      <c r="AE152" s="126"/>
    </row>
    <row r="153" spans="1:31" s="63" customFormat="1" ht="15.95" customHeight="1">
      <c r="A153" s="141" t="s">
        <v>186</v>
      </c>
      <c r="B153" s="171" t="s">
        <v>187</v>
      </c>
      <c r="C153" s="401"/>
      <c r="D153" s="405"/>
      <c r="E153" s="405"/>
      <c r="F153" s="405"/>
      <c r="G153" s="405"/>
      <c r="H153" s="405"/>
      <c r="I153" s="405"/>
      <c r="J153" s="405"/>
      <c r="K153" s="405"/>
      <c r="L153" s="405"/>
      <c r="M153" s="405"/>
      <c r="N153" s="405"/>
      <c r="O153" s="405"/>
      <c r="P153" s="405"/>
      <c r="Q153" s="405"/>
      <c r="R153" s="398"/>
      <c r="S153" s="405"/>
      <c r="T153" s="398"/>
      <c r="U153" s="398"/>
      <c r="V153" s="431"/>
      <c r="W153" s="401"/>
      <c r="X153" s="410"/>
      <c r="Y153" s="401">
        <f>1000/1000</f>
        <v>1</v>
      </c>
      <c r="Z153" s="409"/>
      <c r="AA153" s="398"/>
      <c r="AB153" s="405"/>
      <c r="AC153" s="405"/>
      <c r="AD153" s="400">
        <f t="shared" si="22"/>
        <v>1</v>
      </c>
      <c r="AE153" s="126"/>
    </row>
    <row r="154" spans="1:31" s="63" customFormat="1" ht="15.95" customHeight="1">
      <c r="A154" s="475" t="s">
        <v>188</v>
      </c>
      <c r="B154" s="476"/>
      <c r="C154" s="401">
        <f>SUM(C141:C153)</f>
        <v>0</v>
      </c>
      <c r="D154" s="425">
        <f t="shared" ref="D154:AC154" si="23">SUM(D141:D153)</f>
        <v>0</v>
      </c>
      <c r="E154" s="401">
        <f t="shared" si="23"/>
        <v>0</v>
      </c>
      <c r="F154" s="401">
        <f t="shared" si="23"/>
        <v>0</v>
      </c>
      <c r="G154" s="401">
        <f t="shared" si="23"/>
        <v>0</v>
      </c>
      <c r="H154" s="401">
        <f t="shared" si="23"/>
        <v>0</v>
      </c>
      <c r="I154" s="401">
        <f t="shared" si="23"/>
        <v>0</v>
      </c>
      <c r="J154" s="401">
        <f t="shared" si="23"/>
        <v>119.96596000000001</v>
      </c>
      <c r="K154" s="401">
        <f t="shared" si="23"/>
        <v>0</v>
      </c>
      <c r="L154" s="401">
        <f t="shared" si="23"/>
        <v>0</v>
      </c>
      <c r="M154" s="401">
        <f t="shared" si="23"/>
        <v>0</v>
      </c>
      <c r="N154" s="401">
        <f t="shared" si="23"/>
        <v>0</v>
      </c>
      <c r="O154" s="401">
        <f t="shared" si="23"/>
        <v>46.863</v>
      </c>
      <c r="P154" s="401">
        <f t="shared" si="23"/>
        <v>0</v>
      </c>
      <c r="Q154" s="401">
        <f t="shared" si="23"/>
        <v>0</v>
      </c>
      <c r="R154" s="410">
        <f t="shared" si="23"/>
        <v>0</v>
      </c>
      <c r="S154" s="401">
        <f t="shared" si="23"/>
        <v>3653.6382899999999</v>
      </c>
      <c r="T154" s="409">
        <f t="shared" si="23"/>
        <v>0</v>
      </c>
      <c r="U154" s="396">
        <f t="shared" si="23"/>
        <v>0</v>
      </c>
      <c r="V154" s="401">
        <f t="shared" si="23"/>
        <v>0</v>
      </c>
      <c r="W154" s="401">
        <f t="shared" si="23"/>
        <v>0</v>
      </c>
      <c r="X154" s="410">
        <f t="shared" si="23"/>
        <v>0</v>
      </c>
      <c r="Y154" s="401">
        <f t="shared" si="23"/>
        <v>1</v>
      </c>
      <c r="Z154" s="409">
        <f t="shared" si="23"/>
        <v>0</v>
      </c>
      <c r="AA154" s="396">
        <f t="shared" si="23"/>
        <v>0</v>
      </c>
      <c r="AB154" s="401">
        <f t="shared" si="23"/>
        <v>0</v>
      </c>
      <c r="AC154" s="399">
        <f t="shared" si="23"/>
        <v>0</v>
      </c>
      <c r="AD154" s="400">
        <f t="shared" si="22"/>
        <v>3821.4672499999997</v>
      </c>
      <c r="AE154" s="126"/>
    </row>
    <row r="155" spans="1:31" s="63" customFormat="1" ht="8.25" customHeight="1">
      <c r="A155" s="477"/>
      <c r="B155" s="478"/>
      <c r="C155" s="406"/>
      <c r="D155" s="405"/>
      <c r="E155" s="405"/>
      <c r="F155" s="406"/>
      <c r="G155" s="406"/>
      <c r="H155" s="406"/>
      <c r="I155" s="406"/>
      <c r="J155" s="406"/>
      <c r="K155" s="406"/>
      <c r="L155" s="406"/>
      <c r="M155" s="405"/>
      <c r="N155" s="406"/>
      <c r="O155" s="406"/>
      <c r="P155" s="406"/>
      <c r="Q155" s="406"/>
      <c r="R155" s="405"/>
      <c r="S155" s="406"/>
      <c r="T155" s="405"/>
      <c r="U155" s="405"/>
      <c r="V155" s="405"/>
      <c r="W155" s="406"/>
      <c r="X155" s="405"/>
      <c r="Y155" s="405"/>
      <c r="Z155" s="405"/>
      <c r="AA155" s="405"/>
      <c r="AB155" s="405"/>
      <c r="AC155" s="405"/>
      <c r="AD155" s="407"/>
      <c r="AE155" s="126"/>
    </row>
    <row r="156" spans="1:31" s="63" customFormat="1" ht="15.95" customHeight="1">
      <c r="A156" s="115" t="s">
        <v>189</v>
      </c>
      <c r="B156" s="167"/>
      <c r="C156" s="408"/>
      <c r="D156" s="408"/>
      <c r="E156" s="408"/>
      <c r="F156" s="408"/>
      <c r="G156" s="408"/>
      <c r="H156" s="408"/>
      <c r="I156" s="408"/>
      <c r="J156" s="408"/>
      <c r="K156" s="408"/>
      <c r="L156" s="408"/>
      <c r="M156" s="408"/>
      <c r="N156" s="408"/>
      <c r="O156" s="408"/>
      <c r="P156" s="408"/>
      <c r="Q156" s="408"/>
      <c r="R156" s="408"/>
      <c r="S156" s="408"/>
      <c r="T156" s="408"/>
      <c r="U156" s="408"/>
      <c r="V156" s="408"/>
      <c r="W156" s="406"/>
      <c r="X156" s="406"/>
      <c r="Y156" s="408"/>
      <c r="Z156" s="408"/>
      <c r="AA156" s="406"/>
      <c r="AB156" s="408"/>
      <c r="AC156" s="408"/>
      <c r="AD156" s="407"/>
      <c r="AE156" s="126"/>
    </row>
    <row r="157" spans="1:31" s="63" customFormat="1" ht="15.95" customHeight="1">
      <c r="A157" s="141" t="s">
        <v>190</v>
      </c>
      <c r="B157" s="171" t="s">
        <v>191</v>
      </c>
      <c r="C157" s="401"/>
      <c r="D157" s="398"/>
      <c r="E157" s="398"/>
      <c r="F157" s="398"/>
      <c r="G157" s="398"/>
      <c r="H157" s="398"/>
      <c r="I157" s="398"/>
      <c r="J157" s="398"/>
      <c r="K157" s="398"/>
      <c r="L157" s="398"/>
      <c r="M157" s="398"/>
      <c r="N157" s="398"/>
      <c r="O157" s="398"/>
      <c r="P157" s="398"/>
      <c r="Q157" s="398"/>
      <c r="R157" s="398"/>
      <c r="S157" s="398"/>
      <c r="T157" s="398"/>
      <c r="U157" s="398"/>
      <c r="V157" s="396"/>
      <c r="W157" s="397"/>
      <c r="X157" s="397"/>
      <c r="Y157" s="409"/>
      <c r="Z157" s="396"/>
      <c r="AA157" s="397"/>
      <c r="AB157" s="409"/>
      <c r="AC157" s="398"/>
      <c r="AD157" s="400">
        <f>SUM(C157:AC157)</f>
        <v>0</v>
      </c>
      <c r="AE157" s="126"/>
    </row>
    <row r="158" spans="1:31" s="63" customFormat="1" ht="15.95" customHeight="1">
      <c r="A158" s="141" t="s">
        <v>192</v>
      </c>
      <c r="B158" s="171" t="s">
        <v>375</v>
      </c>
      <c r="C158" s="401"/>
      <c r="D158" s="398"/>
      <c r="E158" s="398"/>
      <c r="F158" s="398"/>
      <c r="G158" s="398"/>
      <c r="H158" s="398"/>
      <c r="I158" s="398"/>
      <c r="J158" s="398"/>
      <c r="K158" s="398"/>
      <c r="L158" s="398"/>
      <c r="M158" s="398"/>
      <c r="N158" s="398"/>
      <c r="O158" s="398"/>
      <c r="P158" s="398"/>
      <c r="Q158" s="398"/>
      <c r="R158" s="398"/>
      <c r="S158" s="398"/>
      <c r="T158" s="398"/>
      <c r="U158" s="398"/>
      <c r="V158" s="396"/>
      <c r="W158" s="401"/>
      <c r="X158" s="401"/>
      <c r="Y158" s="409"/>
      <c r="Z158" s="396"/>
      <c r="AA158" s="401"/>
      <c r="AB158" s="409"/>
      <c r="AC158" s="398"/>
      <c r="AD158" s="400">
        <f>SUM(C158:AC158)</f>
        <v>0</v>
      </c>
      <c r="AE158" s="126"/>
    </row>
    <row r="159" spans="1:31" s="63" customFormat="1" ht="15.95" customHeight="1">
      <c r="A159" s="141" t="s">
        <v>194</v>
      </c>
      <c r="B159" s="171" t="s">
        <v>195</v>
      </c>
      <c r="C159" s="401"/>
      <c r="D159" s="398"/>
      <c r="E159" s="398"/>
      <c r="F159" s="398"/>
      <c r="G159" s="398"/>
      <c r="H159" s="398"/>
      <c r="I159" s="398"/>
      <c r="J159" s="398"/>
      <c r="K159" s="398"/>
      <c r="L159" s="398"/>
      <c r="M159" s="398"/>
      <c r="N159" s="398"/>
      <c r="O159" s="398"/>
      <c r="P159" s="398"/>
      <c r="Q159" s="398"/>
      <c r="R159" s="398"/>
      <c r="S159" s="398"/>
      <c r="T159" s="398"/>
      <c r="U159" s="398"/>
      <c r="V159" s="396"/>
      <c r="W159" s="401"/>
      <c r="X159" s="401">
        <f>44166729.23/1000</f>
        <v>44166.729229999997</v>
      </c>
      <c r="Y159" s="409"/>
      <c r="Z159" s="396"/>
      <c r="AA159" s="401">
        <f>34465855.54/1000</f>
        <v>34465.855539999997</v>
      </c>
      <c r="AB159" s="409"/>
      <c r="AC159" s="398"/>
      <c r="AD159" s="400">
        <f>SUM(C159:AC159)</f>
        <v>78632.584769999987</v>
      </c>
      <c r="AE159" s="126"/>
    </row>
    <row r="160" spans="1:31" s="63" customFormat="1" ht="15.95" customHeight="1">
      <c r="A160" s="141" t="s">
        <v>196</v>
      </c>
      <c r="B160" s="176" t="s">
        <v>197</v>
      </c>
      <c r="C160" s="401"/>
      <c r="D160" s="398"/>
      <c r="E160" s="398"/>
      <c r="F160" s="398"/>
      <c r="G160" s="398"/>
      <c r="H160" s="398"/>
      <c r="I160" s="398"/>
      <c r="J160" s="398"/>
      <c r="K160" s="398"/>
      <c r="L160" s="398"/>
      <c r="M160" s="398"/>
      <c r="N160" s="398"/>
      <c r="O160" s="398"/>
      <c r="P160" s="398"/>
      <c r="Q160" s="398"/>
      <c r="R160" s="398"/>
      <c r="S160" s="398"/>
      <c r="T160" s="398"/>
      <c r="U160" s="398"/>
      <c r="V160" s="398"/>
      <c r="W160" s="408"/>
      <c r="X160" s="408"/>
      <c r="Y160" s="398"/>
      <c r="Z160" s="396"/>
      <c r="AA160" s="402">
        <f>2193173.66/1000</f>
        <v>2193.1736599999999</v>
      </c>
      <c r="AB160" s="409"/>
      <c r="AC160" s="398"/>
      <c r="AD160" s="400">
        <f>SUM(C160:AC160)</f>
        <v>2193.1736599999999</v>
      </c>
      <c r="AE160" s="126"/>
    </row>
    <row r="161" spans="1:31" s="63" customFormat="1" ht="15.95" customHeight="1">
      <c r="A161" s="475" t="s">
        <v>198</v>
      </c>
      <c r="B161" s="476"/>
      <c r="C161" s="401">
        <f>SUM(C157:C160)</f>
        <v>0</v>
      </c>
      <c r="D161" s="398">
        <f t="shared" ref="D161:AC161" si="24">SUM(D157:D160)</f>
        <v>0</v>
      </c>
      <c r="E161" s="398">
        <f t="shared" si="24"/>
        <v>0</v>
      </c>
      <c r="F161" s="398">
        <f t="shared" si="24"/>
        <v>0</v>
      </c>
      <c r="G161" s="398">
        <f t="shared" si="24"/>
        <v>0</v>
      </c>
      <c r="H161" s="398">
        <f t="shared" si="24"/>
        <v>0</v>
      </c>
      <c r="I161" s="398">
        <f t="shared" si="24"/>
        <v>0</v>
      </c>
      <c r="J161" s="398">
        <f t="shared" si="24"/>
        <v>0</v>
      </c>
      <c r="K161" s="398">
        <f t="shared" si="24"/>
        <v>0</v>
      </c>
      <c r="L161" s="398">
        <f t="shared" si="24"/>
        <v>0</v>
      </c>
      <c r="M161" s="398">
        <f t="shared" si="24"/>
        <v>0</v>
      </c>
      <c r="N161" s="398">
        <f t="shared" si="24"/>
        <v>0</v>
      </c>
      <c r="O161" s="398">
        <f t="shared" si="24"/>
        <v>0</v>
      </c>
      <c r="P161" s="398">
        <f t="shared" si="24"/>
        <v>0</v>
      </c>
      <c r="Q161" s="398">
        <f t="shared" si="24"/>
        <v>0</v>
      </c>
      <c r="R161" s="398">
        <f t="shared" si="24"/>
        <v>0</v>
      </c>
      <c r="S161" s="398">
        <f t="shared" si="24"/>
        <v>0</v>
      </c>
      <c r="T161" s="398">
        <f t="shared" si="24"/>
        <v>0</v>
      </c>
      <c r="U161" s="398">
        <f t="shared" si="24"/>
        <v>0</v>
      </c>
      <c r="V161" s="396">
        <f t="shared" si="24"/>
        <v>0</v>
      </c>
      <c r="W161" s="401">
        <f t="shared" si="24"/>
        <v>0</v>
      </c>
      <c r="X161" s="401">
        <f t="shared" si="24"/>
        <v>44166.729229999997</v>
      </c>
      <c r="Y161" s="409">
        <f t="shared" si="24"/>
        <v>0</v>
      </c>
      <c r="Z161" s="396">
        <f t="shared" si="24"/>
        <v>0</v>
      </c>
      <c r="AA161" s="401">
        <f t="shared" si="24"/>
        <v>36659.029199999997</v>
      </c>
      <c r="AB161" s="409">
        <f t="shared" si="24"/>
        <v>0</v>
      </c>
      <c r="AC161" s="423">
        <f t="shared" si="24"/>
        <v>0</v>
      </c>
      <c r="AD161" s="400">
        <f>SUM(C161:AC161)</f>
        <v>80825.758429999987</v>
      </c>
      <c r="AE161" s="126"/>
    </row>
    <row r="162" spans="1:31" s="63" customFormat="1" ht="8.25" customHeight="1" thickBot="1">
      <c r="A162" s="471"/>
      <c r="B162" s="472"/>
      <c r="C162" s="398"/>
      <c r="D162" s="398"/>
      <c r="E162" s="398"/>
      <c r="F162" s="398"/>
      <c r="G162" s="398"/>
      <c r="H162" s="398"/>
      <c r="I162" s="398"/>
      <c r="J162" s="398"/>
      <c r="K162" s="398"/>
      <c r="L162" s="398"/>
      <c r="M162" s="398"/>
      <c r="N162" s="398"/>
      <c r="O162" s="398"/>
      <c r="P162" s="398"/>
      <c r="Q162" s="398"/>
      <c r="R162" s="398"/>
      <c r="S162" s="398"/>
      <c r="T162" s="398"/>
      <c r="U162" s="398"/>
      <c r="V162" s="398"/>
      <c r="W162" s="408"/>
      <c r="X162" s="398"/>
      <c r="Y162" s="398"/>
      <c r="Z162" s="398"/>
      <c r="AA162" s="398"/>
      <c r="AB162" s="398"/>
      <c r="AC162" s="398"/>
      <c r="AD162" s="411"/>
      <c r="AE162" s="126"/>
    </row>
    <row r="163" spans="1:31" s="63" customFormat="1" ht="15.95" customHeight="1" thickBot="1">
      <c r="A163" s="142" t="s">
        <v>199</v>
      </c>
      <c r="B163" s="177"/>
      <c r="C163" s="412">
        <f>SUM(C123,C138,C154,C161)</f>
        <v>0</v>
      </c>
      <c r="D163" s="430">
        <f t="shared" ref="D163:AC163" si="25">SUM(D123,D138,D154,D161)</f>
        <v>0</v>
      </c>
      <c r="E163" s="412">
        <f t="shared" si="25"/>
        <v>0</v>
      </c>
      <c r="F163" s="412">
        <f t="shared" si="25"/>
        <v>23.608270000000001</v>
      </c>
      <c r="G163" s="412">
        <f t="shared" si="25"/>
        <v>17.453949999999999</v>
      </c>
      <c r="H163" s="412">
        <f t="shared" si="25"/>
        <v>15462.741939999998</v>
      </c>
      <c r="I163" s="412">
        <f t="shared" si="25"/>
        <v>1039.60428</v>
      </c>
      <c r="J163" s="412">
        <f t="shared" si="25"/>
        <v>2182.5316499999999</v>
      </c>
      <c r="K163" s="412">
        <f t="shared" si="25"/>
        <v>0.66400000000000003</v>
      </c>
      <c r="L163" s="412">
        <f t="shared" si="25"/>
        <v>37.503009999999996</v>
      </c>
      <c r="M163" s="412">
        <f t="shared" si="25"/>
        <v>0</v>
      </c>
      <c r="N163" s="412">
        <f t="shared" si="25"/>
        <v>0</v>
      </c>
      <c r="O163" s="412">
        <f t="shared" si="25"/>
        <v>46.863</v>
      </c>
      <c r="P163" s="412">
        <f t="shared" si="25"/>
        <v>0</v>
      </c>
      <c r="Q163" s="412">
        <f t="shared" si="25"/>
        <v>0</v>
      </c>
      <c r="R163" s="416">
        <f t="shared" si="25"/>
        <v>0</v>
      </c>
      <c r="S163" s="412">
        <f t="shared" si="25"/>
        <v>3981.0676999999996</v>
      </c>
      <c r="T163" s="412">
        <f t="shared" si="25"/>
        <v>201801</v>
      </c>
      <c r="U163" s="412">
        <f t="shared" si="25"/>
        <v>0</v>
      </c>
      <c r="V163" s="412">
        <f t="shared" si="25"/>
        <v>0</v>
      </c>
      <c r="W163" s="412">
        <f t="shared" si="25"/>
        <v>0</v>
      </c>
      <c r="X163" s="412">
        <f t="shared" si="25"/>
        <v>44166.729229999997</v>
      </c>
      <c r="Y163" s="412">
        <f t="shared" si="25"/>
        <v>1</v>
      </c>
      <c r="Z163" s="412">
        <f t="shared" si="25"/>
        <v>0</v>
      </c>
      <c r="AA163" s="412">
        <f t="shared" si="25"/>
        <v>61143.04746999999</v>
      </c>
      <c r="AB163" s="412">
        <f t="shared" si="25"/>
        <v>0</v>
      </c>
      <c r="AC163" s="417">
        <f t="shared" si="25"/>
        <v>0</v>
      </c>
      <c r="AD163" s="418">
        <f>SUM(C163:AC163)</f>
        <v>329903.81449999998</v>
      </c>
      <c r="AE163" s="126"/>
    </row>
    <row r="164" spans="1:31" s="63" customFormat="1" ht="8.25" customHeight="1" thickBot="1">
      <c r="A164" s="473"/>
      <c r="B164" s="474"/>
      <c r="C164" s="405"/>
      <c r="D164" s="405"/>
      <c r="E164" s="405"/>
      <c r="F164" s="405"/>
      <c r="G164" s="405"/>
      <c r="H164" s="405"/>
      <c r="I164" s="405"/>
      <c r="J164" s="405"/>
      <c r="K164" s="405"/>
      <c r="L164" s="405"/>
      <c r="M164" s="405"/>
      <c r="N164" s="405"/>
      <c r="O164" s="405"/>
      <c r="P164" s="405"/>
      <c r="Q164" s="405"/>
      <c r="R164" s="405"/>
      <c r="S164" s="405"/>
      <c r="T164" s="405"/>
      <c r="U164" s="405"/>
      <c r="V164" s="405"/>
      <c r="W164" s="405"/>
      <c r="X164" s="405"/>
      <c r="Y164" s="405"/>
      <c r="Z164" s="405"/>
      <c r="AA164" s="405"/>
      <c r="AB164" s="405"/>
      <c r="AC164" s="405"/>
      <c r="AD164" s="419"/>
      <c r="AE164" s="126"/>
    </row>
    <row r="165" spans="1:31" s="79" customFormat="1" ht="15.95" customHeight="1" thickBot="1">
      <c r="A165" s="143" t="s">
        <v>200</v>
      </c>
      <c r="B165" s="178"/>
      <c r="C165" s="412">
        <f>+SUM(C94,C100,C163)</f>
        <v>0</v>
      </c>
      <c r="D165" s="430">
        <f t="shared" ref="D165:AC165" si="26">+SUM(D94,D100,D163)</f>
        <v>28222.57343</v>
      </c>
      <c r="E165" s="412">
        <f t="shared" si="26"/>
        <v>25.097150000000003</v>
      </c>
      <c r="F165" s="412">
        <f t="shared" si="26"/>
        <v>23.608270000000001</v>
      </c>
      <c r="G165" s="412">
        <f t="shared" si="26"/>
        <v>17.453949999999999</v>
      </c>
      <c r="H165" s="412">
        <f t="shared" si="26"/>
        <v>16313.356369999998</v>
      </c>
      <c r="I165" s="412">
        <f t="shared" si="26"/>
        <v>2274.56232</v>
      </c>
      <c r="J165" s="412">
        <f t="shared" si="26"/>
        <v>25566.996869999999</v>
      </c>
      <c r="K165" s="412">
        <f t="shared" si="26"/>
        <v>10.382529999999999</v>
      </c>
      <c r="L165" s="412">
        <f t="shared" si="26"/>
        <v>384.44197999999994</v>
      </c>
      <c r="M165" s="412">
        <f t="shared" si="26"/>
        <v>7214.8009199999997</v>
      </c>
      <c r="N165" s="412">
        <f t="shared" si="26"/>
        <v>59608.176599999999</v>
      </c>
      <c r="O165" s="412">
        <f t="shared" si="26"/>
        <v>20608.782380000001</v>
      </c>
      <c r="P165" s="412">
        <f t="shared" si="26"/>
        <v>4597.7402399999992</v>
      </c>
      <c r="Q165" s="412">
        <f t="shared" si="26"/>
        <v>5508.5009699999991</v>
      </c>
      <c r="R165" s="412">
        <f t="shared" si="26"/>
        <v>447.25070999999997</v>
      </c>
      <c r="S165" s="412">
        <f t="shared" si="26"/>
        <v>4392.0686699999997</v>
      </c>
      <c r="T165" s="412">
        <f t="shared" si="26"/>
        <v>201801</v>
      </c>
      <c r="U165" s="412">
        <f t="shared" si="26"/>
        <v>0</v>
      </c>
      <c r="V165" s="412">
        <f t="shared" si="26"/>
        <v>0</v>
      </c>
      <c r="W165" s="412">
        <f t="shared" si="26"/>
        <v>0</v>
      </c>
      <c r="X165" s="412">
        <f t="shared" si="26"/>
        <v>44166.729229999997</v>
      </c>
      <c r="Y165" s="412">
        <f t="shared" si="26"/>
        <v>1</v>
      </c>
      <c r="Z165" s="412">
        <f t="shared" si="26"/>
        <v>0</v>
      </c>
      <c r="AA165" s="412">
        <f t="shared" si="26"/>
        <v>61143.04746999999</v>
      </c>
      <c r="AB165" s="412">
        <f t="shared" si="26"/>
        <v>0</v>
      </c>
      <c r="AC165" s="417">
        <f t="shared" si="26"/>
        <v>0</v>
      </c>
      <c r="AD165" s="418">
        <f>SUM(C165:AC165)</f>
        <v>482327.57005999994</v>
      </c>
      <c r="AE165" s="140"/>
    </row>
    <row r="166" spans="1:31">
      <c r="C166" s="220"/>
      <c r="D166" s="221"/>
      <c r="E166" s="221"/>
      <c r="F166" s="221"/>
      <c r="G166" s="221"/>
      <c r="H166" s="221"/>
      <c r="I166" s="221"/>
      <c r="J166" s="221"/>
      <c r="K166" s="221"/>
      <c r="L166" s="221"/>
      <c r="M166" s="221"/>
      <c r="N166" s="221"/>
      <c r="O166" s="221"/>
      <c r="P166" s="221"/>
      <c r="Q166" s="221"/>
      <c r="R166" s="221"/>
      <c r="S166" s="221"/>
      <c r="T166" s="221"/>
      <c r="U166" s="221"/>
      <c r="V166" s="221"/>
      <c r="W166" s="221"/>
      <c r="X166" s="221"/>
      <c r="Y166" s="221"/>
      <c r="Z166" s="221"/>
      <c r="AA166" s="221"/>
      <c r="AB166" s="221"/>
      <c r="AC166" s="221"/>
      <c r="AD166" s="221"/>
    </row>
    <row r="167" spans="1:31">
      <c r="A167" s="63" t="s">
        <v>239</v>
      </c>
      <c r="B167" s="61"/>
      <c r="C167" s="220"/>
      <c r="D167" s="221"/>
      <c r="E167" s="220"/>
      <c r="F167" s="220"/>
      <c r="G167" s="220"/>
      <c r="H167" s="220"/>
      <c r="I167" s="222"/>
      <c r="J167" s="222"/>
      <c r="K167" s="222"/>
      <c r="L167" s="222"/>
      <c r="M167" s="222"/>
      <c r="N167" s="221"/>
      <c r="O167" s="222"/>
      <c r="P167" s="221"/>
      <c r="Q167" s="221"/>
      <c r="R167" s="221"/>
      <c r="S167" s="221"/>
      <c r="T167" s="221"/>
      <c r="U167" s="221"/>
      <c r="V167" s="221"/>
      <c r="W167" s="221"/>
      <c r="X167" s="221"/>
      <c r="Y167" s="221"/>
      <c r="Z167" s="221"/>
      <c r="AA167" s="221"/>
      <c r="AB167" s="221"/>
      <c r="AC167" s="221"/>
      <c r="AD167" s="221"/>
    </row>
    <row r="168" spans="1:31">
      <c r="A168" s="63" t="s">
        <v>240</v>
      </c>
      <c r="B168" s="61"/>
      <c r="C168" s="220"/>
      <c r="D168" s="221"/>
      <c r="E168" s="220"/>
      <c r="F168" s="220"/>
      <c r="G168" s="220"/>
      <c r="H168" s="220"/>
      <c r="I168" s="222"/>
      <c r="J168" s="222"/>
      <c r="K168" s="222"/>
      <c r="L168" s="222"/>
      <c r="M168" s="222"/>
      <c r="N168" s="221"/>
      <c r="O168" s="221"/>
      <c r="P168" s="221"/>
      <c r="Q168" s="221"/>
      <c r="R168" s="221"/>
      <c r="S168" s="221"/>
      <c r="T168" s="221"/>
      <c r="U168" s="221"/>
      <c r="V168" s="221"/>
      <c r="W168" s="221"/>
      <c r="X168" s="221"/>
      <c r="Y168" s="221"/>
      <c r="Z168" s="221"/>
      <c r="AA168" s="221"/>
      <c r="AB168" s="221"/>
      <c r="AC168" s="221"/>
      <c r="AD168" s="221"/>
    </row>
    <row r="169" spans="1:31">
      <c r="A169" s="63"/>
      <c r="C169" s="220"/>
      <c r="D169" s="221"/>
      <c r="E169" s="220"/>
      <c r="F169" s="221"/>
      <c r="G169" s="221"/>
      <c r="H169" s="221"/>
      <c r="I169" s="221"/>
      <c r="J169" s="221"/>
      <c r="K169" s="221"/>
      <c r="L169" s="221"/>
      <c r="M169" s="221"/>
      <c r="N169" s="221"/>
      <c r="O169" s="221"/>
      <c r="P169" s="221"/>
      <c r="Q169" s="221"/>
      <c r="R169" s="221"/>
      <c r="S169" s="221"/>
      <c r="T169" s="221"/>
      <c r="U169" s="221"/>
      <c r="V169" s="221"/>
      <c r="W169" s="221"/>
      <c r="X169" s="221"/>
      <c r="Y169" s="221"/>
      <c r="Z169" s="221"/>
      <c r="AA169" s="221"/>
      <c r="AB169" s="221"/>
      <c r="AC169" s="221"/>
      <c r="AD169" s="221"/>
    </row>
    <row r="170" spans="1:31">
      <c r="A170" s="63" t="s">
        <v>201</v>
      </c>
      <c r="C170" s="220"/>
      <c r="D170" s="221"/>
      <c r="E170" s="221"/>
      <c r="F170" s="221"/>
      <c r="G170" s="221"/>
      <c r="H170" s="221"/>
      <c r="I170" s="221"/>
      <c r="J170" s="221"/>
      <c r="K170" s="221"/>
      <c r="L170" s="221"/>
      <c r="M170" s="221"/>
      <c r="N170" s="221"/>
      <c r="O170" s="221"/>
      <c r="P170" s="221"/>
      <c r="Q170" s="221"/>
      <c r="R170" s="221"/>
      <c r="S170" s="221"/>
      <c r="T170" s="221"/>
      <c r="U170" s="221"/>
      <c r="V170" s="221"/>
      <c r="W170" s="221"/>
      <c r="X170" s="221"/>
      <c r="Y170" s="221"/>
      <c r="Z170" s="221"/>
      <c r="AA170" s="221"/>
      <c r="AB170" s="221"/>
      <c r="AC170" s="221"/>
      <c r="AD170" s="221"/>
    </row>
    <row r="171" spans="1:31">
      <c r="C171" s="220"/>
      <c r="D171" s="221"/>
      <c r="E171" s="221"/>
      <c r="F171" s="221"/>
      <c r="G171" s="221"/>
      <c r="H171" s="221"/>
      <c r="I171" s="221"/>
      <c r="J171" s="221"/>
      <c r="K171" s="221"/>
      <c r="L171" s="221"/>
      <c r="M171" s="221"/>
      <c r="N171" s="221"/>
      <c r="O171" s="221"/>
      <c r="P171" s="221"/>
      <c r="Q171" s="221"/>
      <c r="R171" s="221"/>
      <c r="S171" s="221"/>
      <c r="T171" s="221"/>
      <c r="U171" s="221"/>
      <c r="V171" s="221"/>
      <c r="W171" s="221"/>
      <c r="X171" s="221"/>
      <c r="Y171" s="221"/>
      <c r="Z171" s="221"/>
      <c r="AA171" s="221"/>
      <c r="AB171" s="221"/>
      <c r="AC171" s="221"/>
      <c r="AD171" s="221"/>
    </row>
    <row r="172" spans="1:31" ht="20.25">
      <c r="A172" s="233" t="s">
        <v>1</v>
      </c>
    </row>
  </sheetData>
  <sheetProtection formatCells="0" formatColumns="0" formatRows="0"/>
  <mergeCells count="21">
    <mergeCell ref="A162:B162"/>
    <mergeCell ref="A164:B164"/>
    <mergeCell ref="A161:B161"/>
    <mergeCell ref="A123:B123"/>
    <mergeCell ref="A138:B138"/>
    <mergeCell ref="A154:B154"/>
    <mergeCell ref="A139:B139"/>
    <mergeCell ref="A155:B155"/>
    <mergeCell ref="A72:B72"/>
    <mergeCell ref="A14:B14"/>
    <mergeCell ref="A20:B20"/>
    <mergeCell ref="A28:B28"/>
    <mergeCell ref="A37:B37"/>
    <mergeCell ref="A47:B47"/>
    <mergeCell ref="A53:B53"/>
    <mergeCell ref="A60:B60"/>
    <mergeCell ref="A102:B102"/>
    <mergeCell ref="A79:B79"/>
    <mergeCell ref="A92:B92"/>
    <mergeCell ref="A94:B94"/>
    <mergeCell ref="A96:B96"/>
  </mergeCells>
  <phoneticPr fontId="0" type="noConversion"/>
  <printOptions horizontalCentered="1"/>
  <pageMargins left="0.17" right="0.17" top="0.67" bottom="0.39" header="0.51181102362204722" footer="0.4"/>
  <pageSetup paperSize="8" scale="42" orientation="portrait" r:id="rId1"/>
  <headerFooter alignWithMargins="0">
    <oddFooter>&amp;C&amp;F&amp;R&amp;D</oddFooter>
  </headerFooter>
  <rowBreaks count="1" manualBreakCount="1">
    <brk id="60" max="16383" man="1"/>
  </rowBreak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6">
    <pageSetUpPr fitToPage="1"/>
  </sheetPr>
  <dimension ref="A1:AD190"/>
  <sheetViews>
    <sheetView showGridLines="0" showZeros="0" zoomScale="75" zoomScaleNormal="100" workbookViewId="0">
      <pane xSplit="2" ySplit="4" topLeftCell="J106" activePane="bottomRight" state="frozen"/>
      <selection activeCell="I10" sqref="I10"/>
      <selection pane="topRight" activeCell="I10" sqref="I10"/>
      <selection pane="bottomLeft" activeCell="I10" sqref="I10"/>
      <selection pane="bottomRight" activeCell="A114" sqref="A114:XFD114"/>
    </sheetView>
  </sheetViews>
  <sheetFormatPr defaultRowHeight="14.25"/>
  <cols>
    <col min="1" max="1" width="13.140625" style="66" customWidth="1"/>
    <col min="2" max="2" width="89.7109375" style="66" customWidth="1"/>
    <col min="3" max="3" width="8.7109375" style="66" hidden="1" customWidth="1"/>
    <col min="4" max="4" width="8.7109375" style="147" hidden="1" customWidth="1"/>
    <col min="5" max="5" width="8.7109375" style="147" customWidth="1"/>
    <col min="6" max="7" width="8.7109375" style="66" customWidth="1"/>
    <col min="8" max="8" width="8.7109375" style="66" hidden="1" customWidth="1"/>
    <col min="9" max="30" width="8.7109375" style="66" customWidth="1"/>
    <col min="31" max="16384" width="9.140625" style="144"/>
  </cols>
  <sheetData>
    <row r="1" spans="1:30" s="118" customFormat="1" ht="18">
      <c r="A1" s="54" t="str">
        <f>"Verdelingsmatrix provincie "&amp;+'4.Informatie'!C5&amp;" ("&amp;'4.Informatie'!C6&amp;"): "&amp;'4.Informatie'!C7&amp;" periode "&amp;'4.Informatie'!C8&amp;", baten"</f>
        <v>Verdelingsmatrix provincie Provincie Groningen (0001): 2013 periode 2, baten</v>
      </c>
      <c r="B1" s="55"/>
      <c r="C1" s="163" t="s">
        <v>29</v>
      </c>
      <c r="D1" s="163" t="s">
        <v>376</v>
      </c>
      <c r="E1" s="56" t="s">
        <v>377</v>
      </c>
      <c r="F1" s="56" t="s">
        <v>30</v>
      </c>
      <c r="G1" s="56" t="s">
        <v>251</v>
      </c>
      <c r="H1" s="56" t="s">
        <v>252</v>
      </c>
      <c r="I1" s="56" t="s">
        <v>32</v>
      </c>
      <c r="J1" s="56" t="s">
        <v>378</v>
      </c>
      <c r="K1" s="56" t="s">
        <v>379</v>
      </c>
      <c r="L1" s="56" t="s">
        <v>34</v>
      </c>
      <c r="M1" s="56" t="s">
        <v>35</v>
      </c>
      <c r="N1" s="56" t="s">
        <v>203</v>
      </c>
      <c r="O1" s="56" t="s">
        <v>204</v>
      </c>
      <c r="P1" s="56" t="s">
        <v>37</v>
      </c>
      <c r="Q1" s="56" t="s">
        <v>38</v>
      </c>
      <c r="R1" s="56" t="s">
        <v>255</v>
      </c>
      <c r="S1" s="56" t="s">
        <v>45</v>
      </c>
      <c r="T1" s="56" t="s">
        <v>256</v>
      </c>
      <c r="U1" s="56" t="s">
        <v>257</v>
      </c>
      <c r="V1" s="56" t="s">
        <v>258</v>
      </c>
      <c r="W1" s="56" t="s">
        <v>259</v>
      </c>
      <c r="X1" s="56" t="s">
        <v>260</v>
      </c>
      <c r="Y1" s="56" t="s">
        <v>261</v>
      </c>
      <c r="Z1" s="56" t="s">
        <v>262</v>
      </c>
      <c r="AA1" s="56" t="s">
        <v>263</v>
      </c>
      <c r="AB1" s="56" t="s">
        <v>264</v>
      </c>
      <c r="AC1" s="57" t="s">
        <v>265</v>
      </c>
      <c r="AD1" s="58"/>
    </row>
    <row r="2" spans="1:30" ht="125.25" customHeight="1" thickBot="1">
      <c r="A2" s="59" t="s">
        <v>47</v>
      </c>
      <c r="B2" s="60" t="s">
        <v>48</v>
      </c>
      <c r="C2" s="206" t="s">
        <v>426</v>
      </c>
      <c r="D2" s="208" t="s">
        <v>208</v>
      </c>
      <c r="E2" s="209" t="s">
        <v>209</v>
      </c>
      <c r="F2" s="209" t="s">
        <v>380</v>
      </c>
      <c r="G2" s="209" t="s">
        <v>381</v>
      </c>
      <c r="H2" s="209" t="s">
        <v>382</v>
      </c>
      <c r="I2" s="209" t="s">
        <v>383</v>
      </c>
      <c r="J2" s="209" t="s">
        <v>206</v>
      </c>
      <c r="K2" s="209" t="s">
        <v>384</v>
      </c>
      <c r="L2" s="209" t="s">
        <v>207</v>
      </c>
      <c r="M2" s="209" t="s">
        <v>385</v>
      </c>
      <c r="N2" s="209" t="s">
        <v>386</v>
      </c>
      <c r="O2" s="209" t="s">
        <v>387</v>
      </c>
      <c r="P2" s="212" t="s">
        <v>388</v>
      </c>
      <c r="Q2" s="209" t="s">
        <v>389</v>
      </c>
      <c r="R2" s="209" t="s">
        <v>275</v>
      </c>
      <c r="S2" s="209" t="s">
        <v>276</v>
      </c>
      <c r="T2" s="209" t="s">
        <v>277</v>
      </c>
      <c r="U2" s="209" t="s">
        <v>53</v>
      </c>
      <c r="V2" s="209" t="s">
        <v>278</v>
      </c>
      <c r="W2" s="209" t="s">
        <v>54</v>
      </c>
      <c r="X2" s="209" t="s">
        <v>55</v>
      </c>
      <c r="Y2" s="209" t="s">
        <v>56</v>
      </c>
      <c r="Z2" s="209" t="s">
        <v>57</v>
      </c>
      <c r="AA2" s="209" t="s">
        <v>58</v>
      </c>
      <c r="AB2" s="209" t="s">
        <v>279</v>
      </c>
      <c r="AC2" s="210" t="s">
        <v>59</v>
      </c>
      <c r="AD2" s="211" t="s">
        <v>397</v>
      </c>
    </row>
    <row r="3" spans="1:30" s="119" customFormat="1" ht="2.25" customHeight="1">
      <c r="A3" s="120"/>
      <c r="B3" s="164"/>
      <c r="C3" s="152"/>
      <c r="D3" s="152"/>
      <c r="E3" s="152"/>
      <c r="F3" s="152"/>
      <c r="G3" s="152"/>
      <c r="H3" s="152"/>
      <c r="I3" s="152"/>
      <c r="J3" s="152"/>
      <c r="K3" s="152"/>
      <c r="L3" s="152"/>
      <c r="M3" s="152"/>
      <c r="N3" s="152"/>
      <c r="O3" s="152"/>
      <c r="P3" s="152"/>
      <c r="Q3" s="152"/>
      <c r="R3" s="152"/>
      <c r="S3" s="152"/>
      <c r="T3" s="152"/>
      <c r="U3" s="152"/>
      <c r="V3" s="152"/>
      <c r="W3" s="152"/>
      <c r="X3" s="152"/>
      <c r="Y3" s="152"/>
      <c r="Z3" s="152"/>
      <c r="AA3" s="152"/>
      <c r="AB3" s="152"/>
      <c r="AC3" s="123"/>
      <c r="AD3" s="207"/>
    </row>
    <row r="4" spans="1:30" s="119" customFormat="1" ht="2.25" customHeight="1">
      <c r="A4" s="121"/>
      <c r="B4" s="165"/>
      <c r="C4" s="151"/>
      <c r="D4" s="151"/>
      <c r="E4" s="151"/>
      <c r="F4" s="151"/>
      <c r="G4" s="151"/>
      <c r="H4" s="151"/>
      <c r="I4" s="151"/>
      <c r="J4" s="151"/>
      <c r="K4" s="151"/>
      <c r="L4" s="151"/>
      <c r="M4" s="152"/>
      <c r="N4" s="151"/>
      <c r="O4" s="151"/>
      <c r="P4" s="151"/>
      <c r="Q4" s="151"/>
      <c r="R4" s="152"/>
      <c r="S4" s="151"/>
      <c r="T4" s="152"/>
      <c r="U4" s="152"/>
      <c r="V4" s="152"/>
      <c r="W4" s="152"/>
      <c r="X4" s="152"/>
      <c r="Y4" s="152"/>
      <c r="Z4" s="151"/>
      <c r="AA4" s="152"/>
      <c r="AB4" s="151"/>
      <c r="AC4" s="122"/>
      <c r="AD4" s="124"/>
    </row>
    <row r="5" spans="1:30" s="63" customFormat="1" ht="15">
      <c r="A5" s="115" t="s">
        <v>63</v>
      </c>
      <c r="B5" s="166" t="s">
        <v>61</v>
      </c>
      <c r="C5" s="218"/>
      <c r="D5" s="219"/>
      <c r="E5" s="219"/>
      <c r="F5" s="218"/>
      <c r="G5" s="218"/>
      <c r="H5" s="218"/>
      <c r="I5" s="218"/>
      <c r="J5" s="218"/>
      <c r="K5" s="218"/>
      <c r="L5" s="218"/>
      <c r="M5" s="218"/>
      <c r="N5" s="218"/>
      <c r="O5" s="218"/>
      <c r="P5" s="218"/>
      <c r="Q5" s="218"/>
      <c r="R5" s="218"/>
      <c r="S5" s="218"/>
      <c r="T5" s="219"/>
      <c r="U5" s="219"/>
      <c r="V5" s="219"/>
      <c r="W5" s="219"/>
      <c r="X5" s="219"/>
      <c r="Y5" s="219"/>
      <c r="Z5" s="218"/>
      <c r="AA5" s="219"/>
      <c r="AB5" s="218"/>
      <c r="AC5" s="148"/>
      <c r="AD5" s="150"/>
    </row>
    <row r="6" spans="1:30" s="63" customFormat="1">
      <c r="A6" s="125" t="s">
        <v>280</v>
      </c>
      <c r="B6" s="167" t="s">
        <v>281</v>
      </c>
      <c r="C6" s="78"/>
      <c r="D6" s="75"/>
      <c r="E6" s="396"/>
      <c r="F6" s="397"/>
      <c r="G6" s="397"/>
      <c r="H6" s="397"/>
      <c r="I6" s="397"/>
      <c r="J6" s="397"/>
      <c r="K6" s="397"/>
      <c r="L6" s="397"/>
      <c r="M6" s="397"/>
      <c r="N6" s="397"/>
      <c r="O6" s="397"/>
      <c r="P6" s="397"/>
      <c r="Q6" s="397"/>
      <c r="R6" s="397"/>
      <c r="S6" s="397"/>
      <c r="T6" s="398"/>
      <c r="U6" s="398"/>
      <c r="V6" s="398"/>
      <c r="W6" s="398"/>
      <c r="X6" s="398"/>
      <c r="Y6" s="396"/>
      <c r="Z6" s="397"/>
      <c r="AA6" s="396"/>
      <c r="AB6" s="397"/>
      <c r="AC6" s="399"/>
      <c r="AD6" s="400">
        <f t="shared" ref="AD6:AD14" si="0">SUM(C6:AC6)</f>
        <v>0</v>
      </c>
    </row>
    <row r="7" spans="1:30" s="63" customFormat="1">
      <c r="A7" s="125" t="s">
        <v>30</v>
      </c>
      <c r="B7" s="167" t="s">
        <v>282</v>
      </c>
      <c r="C7" s="74"/>
      <c r="D7" s="75"/>
      <c r="E7" s="396"/>
      <c r="F7" s="401"/>
      <c r="G7" s="401"/>
      <c r="H7" s="401"/>
      <c r="I7" s="401"/>
      <c r="J7" s="401"/>
      <c r="K7" s="401"/>
      <c r="L7" s="401">
        <f>5695.7/1000</f>
        <v>5.6956999999999995</v>
      </c>
      <c r="M7" s="401"/>
      <c r="N7" s="401"/>
      <c r="O7" s="401"/>
      <c r="P7" s="401"/>
      <c r="Q7" s="401"/>
      <c r="R7" s="401"/>
      <c r="S7" s="401"/>
      <c r="T7" s="398"/>
      <c r="U7" s="398"/>
      <c r="V7" s="398"/>
      <c r="W7" s="398"/>
      <c r="X7" s="398"/>
      <c r="Y7" s="396"/>
      <c r="Z7" s="401"/>
      <c r="AA7" s="396"/>
      <c r="AB7" s="401"/>
      <c r="AC7" s="399"/>
      <c r="AD7" s="400">
        <f t="shared" si="0"/>
        <v>5.6956999999999995</v>
      </c>
    </row>
    <row r="8" spans="1:30" s="63" customFormat="1">
      <c r="A8" s="125" t="s">
        <v>31</v>
      </c>
      <c r="B8" s="167" t="s">
        <v>283</v>
      </c>
      <c r="C8" s="74"/>
      <c r="D8" s="75"/>
      <c r="E8" s="396"/>
      <c r="F8" s="401"/>
      <c r="G8" s="401"/>
      <c r="H8" s="401"/>
      <c r="I8" s="401"/>
      <c r="J8" s="401"/>
      <c r="K8" s="401"/>
      <c r="L8" s="401"/>
      <c r="M8" s="401"/>
      <c r="N8" s="401"/>
      <c r="O8" s="401"/>
      <c r="P8" s="401"/>
      <c r="Q8" s="401"/>
      <c r="R8" s="401"/>
      <c r="S8" s="401"/>
      <c r="T8" s="398"/>
      <c r="U8" s="398"/>
      <c r="V8" s="398"/>
      <c r="W8" s="398"/>
      <c r="X8" s="398"/>
      <c r="Y8" s="396"/>
      <c r="Z8" s="401"/>
      <c r="AA8" s="396"/>
      <c r="AB8" s="401"/>
      <c r="AC8" s="399"/>
      <c r="AD8" s="400">
        <f t="shared" si="0"/>
        <v>0</v>
      </c>
    </row>
    <row r="9" spans="1:30" s="63" customFormat="1">
      <c r="A9" s="125" t="s">
        <v>284</v>
      </c>
      <c r="B9" s="167" t="s">
        <v>285</v>
      </c>
      <c r="C9" s="74"/>
      <c r="D9" s="75"/>
      <c r="E9" s="396"/>
      <c r="F9" s="401"/>
      <c r="G9" s="401"/>
      <c r="H9" s="401"/>
      <c r="I9" s="401"/>
      <c r="J9" s="401"/>
      <c r="K9" s="401"/>
      <c r="L9" s="401"/>
      <c r="M9" s="401"/>
      <c r="N9" s="401">
        <f>1920.31/1000</f>
        <v>1.92031</v>
      </c>
      <c r="O9" s="401"/>
      <c r="P9" s="401"/>
      <c r="Q9" s="401"/>
      <c r="R9" s="401"/>
      <c r="S9" s="401"/>
      <c r="T9" s="398"/>
      <c r="U9" s="398"/>
      <c r="V9" s="398"/>
      <c r="W9" s="398"/>
      <c r="X9" s="398"/>
      <c r="Y9" s="396"/>
      <c r="Z9" s="401"/>
      <c r="AA9" s="396"/>
      <c r="AB9" s="401"/>
      <c r="AC9" s="399"/>
      <c r="AD9" s="400">
        <f t="shared" si="0"/>
        <v>1.92031</v>
      </c>
    </row>
    <row r="10" spans="1:30" s="63" customFormat="1">
      <c r="A10" s="125" t="s">
        <v>286</v>
      </c>
      <c r="B10" s="167" t="s">
        <v>287</v>
      </c>
      <c r="C10" s="74"/>
      <c r="D10" s="75"/>
      <c r="E10" s="396"/>
      <c r="F10" s="401"/>
      <c r="G10" s="401"/>
      <c r="H10" s="401"/>
      <c r="I10" s="401"/>
      <c r="J10" s="401"/>
      <c r="K10" s="401"/>
      <c r="L10" s="401"/>
      <c r="M10" s="401"/>
      <c r="N10" s="401"/>
      <c r="O10" s="401"/>
      <c r="P10" s="401"/>
      <c r="Q10" s="401"/>
      <c r="R10" s="401"/>
      <c r="S10" s="401"/>
      <c r="T10" s="398"/>
      <c r="U10" s="398"/>
      <c r="V10" s="398"/>
      <c r="W10" s="398"/>
      <c r="X10" s="398"/>
      <c r="Y10" s="396"/>
      <c r="Z10" s="401"/>
      <c r="AA10" s="396"/>
      <c r="AB10" s="401"/>
      <c r="AC10" s="399"/>
      <c r="AD10" s="400">
        <f t="shared" si="0"/>
        <v>0</v>
      </c>
    </row>
    <row r="11" spans="1:30" s="63" customFormat="1">
      <c r="A11" s="125" t="s">
        <v>288</v>
      </c>
      <c r="B11" s="167" t="s">
        <v>289</v>
      </c>
      <c r="C11" s="74"/>
      <c r="D11" s="75"/>
      <c r="E11" s="396"/>
      <c r="F11" s="401"/>
      <c r="G11" s="401"/>
      <c r="H11" s="401"/>
      <c r="I11" s="401"/>
      <c r="J11" s="401"/>
      <c r="K11" s="401"/>
      <c r="L11" s="401"/>
      <c r="M11" s="401"/>
      <c r="N11" s="401"/>
      <c r="O11" s="401"/>
      <c r="P11" s="401"/>
      <c r="Q11" s="401"/>
      <c r="R11" s="401"/>
      <c r="S11" s="401"/>
      <c r="T11" s="398"/>
      <c r="U11" s="398"/>
      <c r="V11" s="398"/>
      <c r="W11" s="398"/>
      <c r="X11" s="398"/>
      <c r="Y11" s="396"/>
      <c r="Z11" s="401"/>
      <c r="AA11" s="396"/>
      <c r="AB11" s="401"/>
      <c r="AC11" s="399"/>
      <c r="AD11" s="400">
        <f t="shared" si="0"/>
        <v>0</v>
      </c>
    </row>
    <row r="12" spans="1:30" s="63" customFormat="1">
      <c r="A12" s="125" t="s">
        <v>290</v>
      </c>
      <c r="B12" s="167" t="s">
        <v>291</v>
      </c>
      <c r="C12" s="74"/>
      <c r="D12" s="75"/>
      <c r="E12" s="396"/>
      <c r="F12" s="401"/>
      <c r="G12" s="401"/>
      <c r="H12" s="401"/>
      <c r="I12" s="401"/>
      <c r="J12" s="401"/>
      <c r="K12" s="401"/>
      <c r="L12" s="401">
        <f>6411.29/1000</f>
        <v>6.4112900000000002</v>
      </c>
      <c r="M12" s="401"/>
      <c r="N12" s="401"/>
      <c r="O12" s="401"/>
      <c r="P12" s="401"/>
      <c r="Q12" s="401"/>
      <c r="R12" s="401"/>
      <c r="S12" s="401"/>
      <c r="T12" s="398"/>
      <c r="U12" s="398"/>
      <c r="V12" s="398"/>
      <c r="W12" s="398"/>
      <c r="X12" s="398"/>
      <c r="Y12" s="396"/>
      <c r="Z12" s="401"/>
      <c r="AA12" s="396"/>
      <c r="AB12" s="401"/>
      <c r="AC12" s="399"/>
      <c r="AD12" s="400">
        <f t="shared" si="0"/>
        <v>6.4112900000000002</v>
      </c>
    </row>
    <row r="13" spans="1:30" s="63" customFormat="1">
      <c r="A13" s="125" t="s">
        <v>292</v>
      </c>
      <c r="B13" s="167" t="s">
        <v>293</v>
      </c>
      <c r="C13" s="76"/>
      <c r="D13" s="75"/>
      <c r="E13" s="396"/>
      <c r="F13" s="402"/>
      <c r="G13" s="402"/>
      <c r="H13" s="402"/>
      <c r="I13" s="402"/>
      <c r="J13" s="402">
        <f>30973.02/1000</f>
        <v>30.973020000000002</v>
      </c>
      <c r="K13" s="402"/>
      <c r="L13" s="402">
        <f>872258.73/1000</f>
        <v>872.25873000000001</v>
      </c>
      <c r="M13" s="402"/>
      <c r="N13" s="402"/>
      <c r="O13" s="402"/>
      <c r="P13" s="402"/>
      <c r="Q13" s="402"/>
      <c r="R13" s="402"/>
      <c r="S13" s="402"/>
      <c r="T13" s="398"/>
      <c r="U13" s="398"/>
      <c r="V13" s="398"/>
      <c r="W13" s="398"/>
      <c r="X13" s="398"/>
      <c r="Y13" s="396"/>
      <c r="Z13" s="402"/>
      <c r="AA13" s="396"/>
      <c r="AB13" s="402"/>
      <c r="AC13" s="403"/>
      <c r="AD13" s="404">
        <f t="shared" si="0"/>
        <v>903.23175000000003</v>
      </c>
    </row>
    <row r="14" spans="1:30" s="63" customFormat="1" ht="15">
      <c r="A14" s="463" t="s">
        <v>66</v>
      </c>
      <c r="B14" s="464"/>
      <c r="C14" s="74">
        <f>SUM(C6:C13)</f>
        <v>0</v>
      </c>
      <c r="D14" s="75">
        <f t="shared" ref="D14:AC14" si="1">SUM(D6:D13)</f>
        <v>0</v>
      </c>
      <c r="E14" s="396">
        <f t="shared" si="1"/>
        <v>0</v>
      </c>
      <c r="F14" s="401">
        <f t="shared" si="1"/>
        <v>0</v>
      </c>
      <c r="G14" s="401">
        <f t="shared" si="1"/>
        <v>0</v>
      </c>
      <c r="H14" s="401">
        <f t="shared" si="1"/>
        <v>0</v>
      </c>
      <c r="I14" s="401">
        <f t="shared" si="1"/>
        <v>0</v>
      </c>
      <c r="J14" s="401">
        <f t="shared" si="1"/>
        <v>30.973020000000002</v>
      </c>
      <c r="K14" s="401">
        <f t="shared" si="1"/>
        <v>0</v>
      </c>
      <c r="L14" s="401">
        <f t="shared" si="1"/>
        <v>884.36572000000001</v>
      </c>
      <c r="M14" s="401">
        <f t="shared" si="1"/>
        <v>0</v>
      </c>
      <c r="N14" s="401">
        <f t="shared" si="1"/>
        <v>1.92031</v>
      </c>
      <c r="O14" s="401">
        <f t="shared" si="1"/>
        <v>0</v>
      </c>
      <c r="P14" s="401">
        <f t="shared" si="1"/>
        <v>0</v>
      </c>
      <c r="Q14" s="401">
        <f t="shared" si="1"/>
        <v>0</v>
      </c>
      <c r="R14" s="401">
        <f t="shared" si="1"/>
        <v>0</v>
      </c>
      <c r="S14" s="401">
        <f t="shared" si="1"/>
        <v>0</v>
      </c>
      <c r="T14" s="398">
        <f t="shared" si="1"/>
        <v>0</v>
      </c>
      <c r="U14" s="398">
        <f t="shared" si="1"/>
        <v>0</v>
      </c>
      <c r="V14" s="398">
        <f t="shared" si="1"/>
        <v>0</v>
      </c>
      <c r="W14" s="398">
        <f t="shared" si="1"/>
        <v>0</v>
      </c>
      <c r="X14" s="398">
        <f t="shared" si="1"/>
        <v>0</v>
      </c>
      <c r="Y14" s="396">
        <f t="shared" si="1"/>
        <v>0</v>
      </c>
      <c r="Z14" s="401">
        <f t="shared" si="1"/>
        <v>0</v>
      </c>
      <c r="AA14" s="396">
        <f t="shared" si="1"/>
        <v>0</v>
      </c>
      <c r="AB14" s="401">
        <f t="shared" si="1"/>
        <v>0</v>
      </c>
      <c r="AC14" s="399">
        <f t="shared" si="1"/>
        <v>0</v>
      </c>
      <c r="AD14" s="400">
        <f t="shared" si="0"/>
        <v>917.25905</v>
      </c>
    </row>
    <row r="15" spans="1:30" s="63" customFormat="1">
      <c r="A15" s="128"/>
      <c r="B15" s="65"/>
      <c r="C15" s="129"/>
      <c r="D15" s="77"/>
      <c r="E15" s="405"/>
      <c r="F15" s="406"/>
      <c r="G15" s="406"/>
      <c r="H15" s="406"/>
      <c r="I15" s="406"/>
      <c r="J15" s="406"/>
      <c r="K15" s="406"/>
      <c r="L15" s="406"/>
      <c r="M15" s="406"/>
      <c r="N15" s="406"/>
      <c r="O15" s="406"/>
      <c r="P15" s="406"/>
      <c r="Q15" s="406"/>
      <c r="R15" s="406"/>
      <c r="S15" s="406"/>
      <c r="T15" s="405"/>
      <c r="U15" s="405"/>
      <c r="V15" s="405"/>
      <c r="W15" s="405"/>
      <c r="X15" s="405"/>
      <c r="Y15" s="405"/>
      <c r="Z15" s="406"/>
      <c r="AA15" s="405"/>
      <c r="AB15" s="406"/>
      <c r="AC15" s="406"/>
      <c r="AD15" s="407"/>
    </row>
    <row r="16" spans="1:30" s="63" customFormat="1" ht="15">
      <c r="A16" s="130" t="s">
        <v>67</v>
      </c>
      <c r="B16" s="169" t="s">
        <v>64</v>
      </c>
      <c r="C16" s="129"/>
      <c r="D16" s="131"/>
      <c r="E16" s="408"/>
      <c r="F16" s="406"/>
      <c r="G16" s="406"/>
      <c r="H16" s="406"/>
      <c r="I16" s="406"/>
      <c r="J16" s="406"/>
      <c r="K16" s="406"/>
      <c r="L16" s="406"/>
      <c r="M16" s="406"/>
      <c r="N16" s="406"/>
      <c r="O16" s="406"/>
      <c r="P16" s="406"/>
      <c r="Q16" s="406"/>
      <c r="R16" s="406"/>
      <c r="S16" s="406"/>
      <c r="T16" s="408"/>
      <c r="U16" s="408"/>
      <c r="V16" s="408"/>
      <c r="W16" s="408"/>
      <c r="X16" s="408"/>
      <c r="Y16" s="408"/>
      <c r="Z16" s="406"/>
      <c r="AA16" s="408"/>
      <c r="AB16" s="406"/>
      <c r="AC16" s="406"/>
      <c r="AD16" s="407"/>
    </row>
    <row r="17" spans="1:30" s="63" customFormat="1">
      <c r="A17" s="125" t="s">
        <v>294</v>
      </c>
      <c r="B17" s="167" t="s">
        <v>295</v>
      </c>
      <c r="C17" s="78"/>
      <c r="D17" s="75"/>
      <c r="E17" s="396"/>
      <c r="F17" s="397"/>
      <c r="G17" s="397"/>
      <c r="H17" s="397"/>
      <c r="I17" s="397"/>
      <c r="J17" s="397"/>
      <c r="K17" s="397"/>
      <c r="L17" s="397"/>
      <c r="M17" s="397"/>
      <c r="N17" s="397"/>
      <c r="O17" s="397"/>
      <c r="P17" s="397"/>
      <c r="Q17" s="397"/>
      <c r="R17" s="397"/>
      <c r="S17" s="397"/>
      <c r="T17" s="398"/>
      <c r="U17" s="398"/>
      <c r="V17" s="398"/>
      <c r="W17" s="398"/>
      <c r="X17" s="398"/>
      <c r="Y17" s="396"/>
      <c r="Z17" s="397"/>
      <c r="AA17" s="396"/>
      <c r="AB17" s="397"/>
      <c r="AC17" s="399"/>
      <c r="AD17" s="400">
        <f>SUM(C17:AC17)</f>
        <v>0</v>
      </c>
    </row>
    <row r="18" spans="1:30" s="63" customFormat="1">
      <c r="A18" s="125" t="s">
        <v>32</v>
      </c>
      <c r="B18" s="167" t="s">
        <v>65</v>
      </c>
      <c r="C18" s="74"/>
      <c r="D18" s="75"/>
      <c r="E18" s="396"/>
      <c r="F18" s="401"/>
      <c r="G18" s="401"/>
      <c r="H18" s="401"/>
      <c r="I18" s="401"/>
      <c r="J18" s="401"/>
      <c r="K18" s="401"/>
      <c r="L18" s="401"/>
      <c r="M18" s="401"/>
      <c r="N18" s="401"/>
      <c r="O18" s="401"/>
      <c r="P18" s="401"/>
      <c r="Q18" s="401"/>
      <c r="R18" s="401"/>
      <c r="S18" s="401"/>
      <c r="T18" s="398"/>
      <c r="U18" s="398"/>
      <c r="V18" s="398"/>
      <c r="W18" s="398"/>
      <c r="X18" s="398"/>
      <c r="Y18" s="396"/>
      <c r="Z18" s="401"/>
      <c r="AA18" s="396"/>
      <c r="AB18" s="401"/>
      <c r="AC18" s="399"/>
      <c r="AD18" s="400">
        <f>SUM(C18:AC18)</f>
        <v>0</v>
      </c>
    </row>
    <row r="19" spans="1:30" s="63" customFormat="1">
      <c r="A19" s="125" t="s">
        <v>33</v>
      </c>
      <c r="B19" s="167" t="s">
        <v>296</v>
      </c>
      <c r="C19" s="76"/>
      <c r="D19" s="75"/>
      <c r="E19" s="396"/>
      <c r="F19" s="402"/>
      <c r="G19" s="402"/>
      <c r="H19" s="402"/>
      <c r="I19" s="402"/>
      <c r="J19" s="402"/>
      <c r="K19" s="402"/>
      <c r="L19" s="402"/>
      <c r="M19" s="402"/>
      <c r="N19" s="402"/>
      <c r="O19" s="402"/>
      <c r="P19" s="402"/>
      <c r="Q19" s="402"/>
      <c r="R19" s="402"/>
      <c r="S19" s="402"/>
      <c r="T19" s="398"/>
      <c r="U19" s="398"/>
      <c r="V19" s="398"/>
      <c r="W19" s="398"/>
      <c r="X19" s="398"/>
      <c r="Y19" s="396"/>
      <c r="Z19" s="402"/>
      <c r="AA19" s="396"/>
      <c r="AB19" s="402"/>
      <c r="AC19" s="403"/>
      <c r="AD19" s="404">
        <f>SUM(C19:AC19)</f>
        <v>0</v>
      </c>
    </row>
    <row r="20" spans="1:30" s="63" customFormat="1" ht="15">
      <c r="A20" s="463" t="s">
        <v>68</v>
      </c>
      <c r="B20" s="464"/>
      <c r="C20" s="74">
        <f>SUM(C17:C19)</f>
        <v>0</v>
      </c>
      <c r="D20" s="75">
        <f t="shared" ref="D20:AC20" si="2">SUM(D17:D19)</f>
        <v>0</v>
      </c>
      <c r="E20" s="396">
        <f t="shared" si="2"/>
        <v>0</v>
      </c>
      <c r="F20" s="401">
        <f t="shared" si="2"/>
        <v>0</v>
      </c>
      <c r="G20" s="401">
        <f t="shared" si="2"/>
        <v>0</v>
      </c>
      <c r="H20" s="401">
        <f t="shared" si="2"/>
        <v>0</v>
      </c>
      <c r="I20" s="401">
        <f t="shared" si="2"/>
        <v>0</v>
      </c>
      <c r="J20" s="401">
        <f t="shared" si="2"/>
        <v>0</v>
      </c>
      <c r="K20" s="401">
        <f t="shared" si="2"/>
        <v>0</v>
      </c>
      <c r="L20" s="401">
        <f t="shared" si="2"/>
        <v>0</v>
      </c>
      <c r="M20" s="401">
        <f t="shared" si="2"/>
        <v>0</v>
      </c>
      <c r="N20" s="401">
        <f t="shared" si="2"/>
        <v>0</v>
      </c>
      <c r="O20" s="401">
        <f t="shared" si="2"/>
        <v>0</v>
      </c>
      <c r="P20" s="401">
        <f t="shared" si="2"/>
        <v>0</v>
      </c>
      <c r="Q20" s="401">
        <f t="shared" si="2"/>
        <v>0</v>
      </c>
      <c r="R20" s="401">
        <f t="shared" si="2"/>
        <v>0</v>
      </c>
      <c r="S20" s="401">
        <f t="shared" si="2"/>
        <v>0</v>
      </c>
      <c r="T20" s="398">
        <f t="shared" si="2"/>
        <v>0</v>
      </c>
      <c r="U20" s="398">
        <f t="shared" si="2"/>
        <v>0</v>
      </c>
      <c r="V20" s="398">
        <f t="shared" si="2"/>
        <v>0</v>
      </c>
      <c r="W20" s="398">
        <f t="shared" si="2"/>
        <v>0</v>
      </c>
      <c r="X20" s="398">
        <f t="shared" si="2"/>
        <v>0</v>
      </c>
      <c r="Y20" s="396">
        <f t="shared" si="2"/>
        <v>0</v>
      </c>
      <c r="Z20" s="401">
        <f t="shared" si="2"/>
        <v>0</v>
      </c>
      <c r="AA20" s="396">
        <f t="shared" si="2"/>
        <v>0</v>
      </c>
      <c r="AB20" s="401">
        <f t="shared" si="2"/>
        <v>0</v>
      </c>
      <c r="AC20" s="399">
        <f t="shared" si="2"/>
        <v>0</v>
      </c>
      <c r="AD20" s="400">
        <f>SUM(C20:AC20)</f>
        <v>0</v>
      </c>
    </row>
    <row r="21" spans="1:30" s="63" customFormat="1">
      <c r="A21" s="128"/>
      <c r="B21" s="65"/>
      <c r="C21" s="129"/>
      <c r="D21" s="77"/>
      <c r="E21" s="405"/>
      <c r="F21" s="406"/>
      <c r="G21" s="406"/>
      <c r="H21" s="406"/>
      <c r="I21" s="406"/>
      <c r="J21" s="406"/>
      <c r="K21" s="406"/>
      <c r="L21" s="406"/>
      <c r="M21" s="406"/>
      <c r="N21" s="406"/>
      <c r="O21" s="406"/>
      <c r="P21" s="406"/>
      <c r="Q21" s="406"/>
      <c r="R21" s="406"/>
      <c r="S21" s="406"/>
      <c r="T21" s="405"/>
      <c r="U21" s="405"/>
      <c r="V21" s="405"/>
      <c r="W21" s="405"/>
      <c r="X21" s="405"/>
      <c r="Y21" s="405"/>
      <c r="Z21" s="406"/>
      <c r="AA21" s="405"/>
      <c r="AB21" s="406"/>
      <c r="AC21" s="406"/>
      <c r="AD21" s="407"/>
    </row>
    <row r="22" spans="1:30" s="63" customFormat="1" ht="15">
      <c r="A22" s="130" t="s">
        <v>69</v>
      </c>
      <c r="B22" s="169" t="s">
        <v>297</v>
      </c>
      <c r="C22" s="129"/>
      <c r="D22" s="131"/>
      <c r="E22" s="408"/>
      <c r="F22" s="406"/>
      <c r="G22" s="406"/>
      <c r="H22" s="406"/>
      <c r="I22" s="406"/>
      <c r="J22" s="406"/>
      <c r="K22" s="406"/>
      <c r="L22" s="406"/>
      <c r="M22" s="406"/>
      <c r="N22" s="406"/>
      <c r="O22" s="406"/>
      <c r="P22" s="406"/>
      <c r="Q22" s="406"/>
      <c r="R22" s="406"/>
      <c r="S22" s="406"/>
      <c r="T22" s="408"/>
      <c r="U22" s="408"/>
      <c r="V22" s="408"/>
      <c r="W22" s="408"/>
      <c r="X22" s="408"/>
      <c r="Y22" s="408"/>
      <c r="Z22" s="406"/>
      <c r="AA22" s="408"/>
      <c r="AB22" s="406"/>
      <c r="AC22" s="406"/>
      <c r="AD22" s="407"/>
    </row>
    <row r="23" spans="1:30" s="63" customFormat="1">
      <c r="A23" s="125" t="s">
        <v>35</v>
      </c>
      <c r="B23" s="167" t="s">
        <v>298</v>
      </c>
      <c r="C23" s="78"/>
      <c r="D23" s="75"/>
      <c r="E23" s="396"/>
      <c r="F23" s="397"/>
      <c r="G23" s="397"/>
      <c r="H23" s="397"/>
      <c r="I23" s="397"/>
      <c r="J23" s="397"/>
      <c r="K23" s="397"/>
      <c r="L23" s="397"/>
      <c r="M23" s="397"/>
      <c r="N23" s="397">
        <f>1847734.19/1000</f>
        <v>1847.7341899999999</v>
      </c>
      <c r="O23" s="397"/>
      <c r="P23" s="397"/>
      <c r="Q23" s="397"/>
      <c r="R23" s="397"/>
      <c r="S23" s="397"/>
      <c r="T23" s="398"/>
      <c r="U23" s="398"/>
      <c r="V23" s="398"/>
      <c r="W23" s="398"/>
      <c r="X23" s="398"/>
      <c r="Y23" s="396"/>
      <c r="Z23" s="397"/>
      <c r="AA23" s="396"/>
      <c r="AB23" s="397"/>
      <c r="AC23" s="399"/>
      <c r="AD23" s="400">
        <f t="shared" ref="AD23:AD28" si="3">SUM(C23:AC23)</f>
        <v>1847.7341899999999</v>
      </c>
    </row>
    <row r="24" spans="1:30" s="63" customFormat="1">
      <c r="A24" s="125" t="s">
        <v>36</v>
      </c>
      <c r="B24" s="167" t="s">
        <v>299</v>
      </c>
      <c r="C24" s="74"/>
      <c r="D24" s="75"/>
      <c r="E24" s="396"/>
      <c r="F24" s="401">
        <f>18348.87/1000</f>
        <v>18.348869999999998</v>
      </c>
      <c r="G24" s="401"/>
      <c r="H24" s="401"/>
      <c r="I24" s="401"/>
      <c r="J24" s="401"/>
      <c r="K24" s="401">
        <f>65366.5/1000</f>
        <v>65.366500000000002</v>
      </c>
      <c r="L24" s="401">
        <f>542066/1000</f>
        <v>542.06600000000003</v>
      </c>
      <c r="M24" s="401"/>
      <c r="N24" s="401"/>
      <c r="O24" s="401">
        <f>56166.85/1000</f>
        <v>56.166849999999997</v>
      </c>
      <c r="P24" s="401"/>
      <c r="Q24" s="401"/>
      <c r="R24" s="401"/>
      <c r="S24" s="401">
        <f>366558.58/1000</f>
        <v>366.55858000000001</v>
      </c>
      <c r="T24" s="398"/>
      <c r="U24" s="398"/>
      <c r="V24" s="398"/>
      <c r="W24" s="398"/>
      <c r="X24" s="398"/>
      <c r="Y24" s="396"/>
      <c r="Z24" s="401"/>
      <c r="AA24" s="396"/>
      <c r="AB24" s="401"/>
      <c r="AC24" s="399"/>
      <c r="AD24" s="400">
        <f t="shared" si="3"/>
        <v>1048.5068000000001</v>
      </c>
    </row>
    <row r="25" spans="1:30" s="63" customFormat="1">
      <c r="A25" s="125" t="s">
        <v>300</v>
      </c>
      <c r="B25" s="167" t="s">
        <v>301</v>
      </c>
      <c r="C25" s="74"/>
      <c r="D25" s="75"/>
      <c r="E25" s="396"/>
      <c r="F25" s="401"/>
      <c r="G25" s="401"/>
      <c r="H25" s="401"/>
      <c r="I25" s="401"/>
      <c r="J25" s="401"/>
      <c r="K25" s="401"/>
      <c r="L25" s="401"/>
      <c r="M25" s="401"/>
      <c r="N25" s="401"/>
      <c r="O25" s="401"/>
      <c r="P25" s="401"/>
      <c r="Q25" s="401"/>
      <c r="R25" s="401"/>
      <c r="S25" s="401"/>
      <c r="T25" s="398"/>
      <c r="U25" s="398"/>
      <c r="V25" s="398"/>
      <c r="W25" s="398"/>
      <c r="X25" s="398"/>
      <c r="Y25" s="396"/>
      <c r="Z25" s="401"/>
      <c r="AA25" s="396"/>
      <c r="AB25" s="401"/>
      <c r="AC25" s="399"/>
      <c r="AD25" s="400">
        <f t="shared" si="3"/>
        <v>0</v>
      </c>
    </row>
    <row r="26" spans="1:30" s="63" customFormat="1">
      <c r="A26" s="125" t="s">
        <v>302</v>
      </c>
      <c r="B26" s="167" t="s">
        <v>303</v>
      </c>
      <c r="C26" s="74"/>
      <c r="D26" s="75"/>
      <c r="E26" s="396"/>
      <c r="F26" s="401">
        <f>29031.19/1000</f>
        <v>29.031189999999999</v>
      </c>
      <c r="G26" s="401"/>
      <c r="H26" s="401"/>
      <c r="I26" s="401"/>
      <c r="J26" s="401">
        <f>1522.74/1000</f>
        <v>1.52274</v>
      </c>
      <c r="K26" s="401">
        <f>0.45/1000</f>
        <v>4.4999999999999999E-4</v>
      </c>
      <c r="L26" s="401">
        <f>24788.57/1000</f>
        <v>24.78857</v>
      </c>
      <c r="M26" s="401"/>
      <c r="N26" s="401">
        <f>4071463.96/1000</f>
        <v>4071.46396</v>
      </c>
      <c r="O26" s="401">
        <f>42934.95/1000</f>
        <v>42.934950000000001</v>
      </c>
      <c r="P26" s="401"/>
      <c r="Q26" s="401"/>
      <c r="R26" s="401"/>
      <c r="S26" s="401"/>
      <c r="T26" s="398"/>
      <c r="U26" s="398"/>
      <c r="V26" s="398"/>
      <c r="W26" s="398"/>
      <c r="X26" s="398"/>
      <c r="Y26" s="396"/>
      <c r="Z26" s="401"/>
      <c r="AA26" s="396"/>
      <c r="AB26" s="401"/>
      <c r="AC26" s="399"/>
      <c r="AD26" s="400">
        <f t="shared" si="3"/>
        <v>4169.7418600000001</v>
      </c>
    </row>
    <row r="27" spans="1:30" s="63" customFormat="1">
      <c r="A27" s="125" t="s">
        <v>202</v>
      </c>
      <c r="B27" s="167" t="s">
        <v>304</v>
      </c>
      <c r="C27" s="76"/>
      <c r="D27" s="75"/>
      <c r="E27" s="396"/>
      <c r="F27" s="402"/>
      <c r="G27" s="402"/>
      <c r="H27" s="402"/>
      <c r="I27" s="402"/>
      <c r="J27" s="402"/>
      <c r="K27" s="402"/>
      <c r="L27" s="402"/>
      <c r="M27" s="402"/>
      <c r="N27" s="402">
        <f>26467851.24/1000</f>
        <v>26467.85124</v>
      </c>
      <c r="O27" s="402"/>
      <c r="P27" s="402"/>
      <c r="Q27" s="402"/>
      <c r="R27" s="402"/>
      <c r="S27" s="402"/>
      <c r="T27" s="398"/>
      <c r="U27" s="398"/>
      <c r="V27" s="398"/>
      <c r="W27" s="398"/>
      <c r="X27" s="398"/>
      <c r="Y27" s="396"/>
      <c r="Z27" s="402"/>
      <c r="AA27" s="396"/>
      <c r="AB27" s="402"/>
      <c r="AC27" s="403"/>
      <c r="AD27" s="404">
        <f t="shared" si="3"/>
        <v>26467.85124</v>
      </c>
    </row>
    <row r="28" spans="1:30" s="63" customFormat="1" ht="15">
      <c r="A28" s="463" t="s">
        <v>70</v>
      </c>
      <c r="B28" s="464"/>
      <c r="C28" s="74">
        <f>SUM(C23:C27)</f>
        <v>0</v>
      </c>
      <c r="D28" s="75">
        <f t="shared" ref="D28:AC28" si="4">SUM(D23:D27)</f>
        <v>0</v>
      </c>
      <c r="E28" s="396">
        <f t="shared" si="4"/>
        <v>0</v>
      </c>
      <c r="F28" s="401">
        <f t="shared" si="4"/>
        <v>47.38006</v>
      </c>
      <c r="G28" s="401">
        <f t="shared" si="4"/>
        <v>0</v>
      </c>
      <c r="H28" s="401">
        <f t="shared" si="4"/>
        <v>0</v>
      </c>
      <c r="I28" s="401">
        <f t="shared" si="4"/>
        <v>0</v>
      </c>
      <c r="J28" s="401">
        <f t="shared" si="4"/>
        <v>1.52274</v>
      </c>
      <c r="K28" s="401">
        <f t="shared" si="4"/>
        <v>65.366950000000003</v>
      </c>
      <c r="L28" s="401">
        <f t="shared" si="4"/>
        <v>566.85457000000008</v>
      </c>
      <c r="M28" s="401">
        <f t="shared" si="4"/>
        <v>0</v>
      </c>
      <c r="N28" s="401">
        <f t="shared" si="4"/>
        <v>32387.04939</v>
      </c>
      <c r="O28" s="401">
        <f t="shared" si="4"/>
        <v>99.101799999999997</v>
      </c>
      <c r="P28" s="401">
        <f t="shared" si="4"/>
        <v>0</v>
      </c>
      <c r="Q28" s="401">
        <f t="shared" si="4"/>
        <v>0</v>
      </c>
      <c r="R28" s="401">
        <f t="shared" si="4"/>
        <v>0</v>
      </c>
      <c r="S28" s="401">
        <f t="shared" si="4"/>
        <v>366.55858000000001</v>
      </c>
      <c r="T28" s="398">
        <f t="shared" si="4"/>
        <v>0</v>
      </c>
      <c r="U28" s="398">
        <f t="shared" si="4"/>
        <v>0</v>
      </c>
      <c r="V28" s="398">
        <f t="shared" si="4"/>
        <v>0</v>
      </c>
      <c r="W28" s="398">
        <f t="shared" si="4"/>
        <v>0</v>
      </c>
      <c r="X28" s="398">
        <f t="shared" si="4"/>
        <v>0</v>
      </c>
      <c r="Y28" s="396">
        <f t="shared" si="4"/>
        <v>0</v>
      </c>
      <c r="Z28" s="401">
        <f t="shared" si="4"/>
        <v>0</v>
      </c>
      <c r="AA28" s="396">
        <f t="shared" si="4"/>
        <v>0</v>
      </c>
      <c r="AB28" s="401">
        <f t="shared" si="4"/>
        <v>0</v>
      </c>
      <c r="AC28" s="399">
        <f t="shared" si="4"/>
        <v>0</v>
      </c>
      <c r="AD28" s="400">
        <f t="shared" si="3"/>
        <v>33533.834089999997</v>
      </c>
    </row>
    <row r="29" spans="1:30" s="63" customFormat="1">
      <c r="A29" s="128"/>
      <c r="B29" s="65"/>
      <c r="C29" s="129"/>
      <c r="D29" s="77"/>
      <c r="E29" s="405"/>
      <c r="F29" s="406"/>
      <c r="G29" s="406"/>
      <c r="H29" s="406"/>
      <c r="I29" s="406"/>
      <c r="J29" s="406"/>
      <c r="K29" s="406"/>
      <c r="L29" s="406"/>
      <c r="M29" s="406"/>
      <c r="N29" s="406"/>
      <c r="O29" s="406"/>
      <c r="P29" s="406"/>
      <c r="Q29" s="406"/>
      <c r="R29" s="406"/>
      <c r="S29" s="406"/>
      <c r="T29" s="405"/>
      <c r="U29" s="405"/>
      <c r="V29" s="405"/>
      <c r="W29" s="405"/>
      <c r="X29" s="405"/>
      <c r="Y29" s="405"/>
      <c r="Z29" s="406"/>
      <c r="AA29" s="405"/>
      <c r="AB29" s="406"/>
      <c r="AC29" s="406"/>
      <c r="AD29" s="407"/>
    </row>
    <row r="30" spans="1:30" s="63" customFormat="1" ht="15">
      <c r="A30" s="130" t="s">
        <v>71</v>
      </c>
      <c r="B30" s="169" t="s">
        <v>305</v>
      </c>
      <c r="C30" s="129"/>
      <c r="D30" s="131"/>
      <c r="E30" s="408"/>
      <c r="F30" s="406"/>
      <c r="G30" s="406"/>
      <c r="H30" s="406"/>
      <c r="I30" s="406"/>
      <c r="J30" s="406"/>
      <c r="K30" s="406"/>
      <c r="L30" s="406"/>
      <c r="M30" s="406"/>
      <c r="N30" s="406"/>
      <c r="O30" s="406"/>
      <c r="P30" s="406"/>
      <c r="Q30" s="406"/>
      <c r="R30" s="406"/>
      <c r="S30" s="406"/>
      <c r="T30" s="408"/>
      <c r="U30" s="408"/>
      <c r="V30" s="408"/>
      <c r="W30" s="408"/>
      <c r="X30" s="408"/>
      <c r="Y30" s="408"/>
      <c r="Z30" s="406"/>
      <c r="AA30" s="408"/>
      <c r="AB30" s="406"/>
      <c r="AC30" s="406"/>
      <c r="AD30" s="407"/>
    </row>
    <row r="31" spans="1:30" s="63" customFormat="1">
      <c r="A31" s="125" t="s">
        <v>306</v>
      </c>
      <c r="B31" s="167" t="s">
        <v>307</v>
      </c>
      <c r="C31" s="78"/>
      <c r="D31" s="75"/>
      <c r="E31" s="396"/>
      <c r="F31" s="397">
        <f>390379.63/1000</f>
        <v>390.37963000000002</v>
      </c>
      <c r="G31" s="397"/>
      <c r="H31" s="397"/>
      <c r="I31" s="397"/>
      <c r="J31" s="397"/>
      <c r="K31" s="397"/>
      <c r="L31" s="397">
        <f>682.07/1000</f>
        <v>0.68207000000000007</v>
      </c>
      <c r="M31" s="397"/>
      <c r="N31" s="397">
        <f>23994/1000</f>
        <v>23.994</v>
      </c>
      <c r="O31" s="397"/>
      <c r="P31" s="397"/>
      <c r="Q31" s="397"/>
      <c r="R31" s="397">
        <f>95497.68/1000</f>
        <v>95.497679999999988</v>
      </c>
      <c r="S31" s="397"/>
      <c r="T31" s="409"/>
      <c r="U31" s="398"/>
      <c r="V31" s="398"/>
      <c r="W31" s="398"/>
      <c r="X31" s="398"/>
      <c r="Y31" s="396"/>
      <c r="Z31" s="397"/>
      <c r="AA31" s="410"/>
      <c r="AB31" s="397"/>
      <c r="AC31" s="399"/>
      <c r="AD31" s="400">
        <f t="shared" ref="AD31:AD37" si="5">SUM(C31:AC31)</f>
        <v>510.55338</v>
      </c>
    </row>
    <row r="32" spans="1:30" s="63" customFormat="1">
      <c r="A32" s="125" t="s">
        <v>308</v>
      </c>
      <c r="B32" s="167" t="s">
        <v>309</v>
      </c>
      <c r="C32" s="74"/>
      <c r="D32" s="75"/>
      <c r="E32" s="396"/>
      <c r="F32" s="401"/>
      <c r="G32" s="401"/>
      <c r="H32" s="401"/>
      <c r="I32" s="401"/>
      <c r="J32" s="401"/>
      <c r="K32" s="401"/>
      <c r="L32" s="401"/>
      <c r="M32" s="401"/>
      <c r="N32" s="401"/>
      <c r="O32" s="401"/>
      <c r="P32" s="401"/>
      <c r="Q32" s="401"/>
      <c r="R32" s="401"/>
      <c r="S32" s="401"/>
      <c r="T32" s="409"/>
      <c r="U32" s="398"/>
      <c r="V32" s="398"/>
      <c r="W32" s="398"/>
      <c r="X32" s="398"/>
      <c r="Y32" s="396"/>
      <c r="Z32" s="401"/>
      <c r="AA32" s="410"/>
      <c r="AB32" s="401"/>
      <c r="AC32" s="399"/>
      <c r="AD32" s="400">
        <f t="shared" si="5"/>
        <v>0</v>
      </c>
    </row>
    <row r="33" spans="1:30" s="63" customFormat="1">
      <c r="A33" s="125" t="s">
        <v>310</v>
      </c>
      <c r="B33" s="167" t="s">
        <v>311</v>
      </c>
      <c r="C33" s="74"/>
      <c r="D33" s="75"/>
      <c r="E33" s="398"/>
      <c r="F33" s="401"/>
      <c r="G33" s="401"/>
      <c r="H33" s="401"/>
      <c r="I33" s="401"/>
      <c r="J33" s="401"/>
      <c r="K33" s="401"/>
      <c r="L33" s="401"/>
      <c r="M33" s="401"/>
      <c r="N33" s="401"/>
      <c r="O33" s="401"/>
      <c r="P33" s="401"/>
      <c r="Q33" s="401"/>
      <c r="R33" s="401"/>
      <c r="S33" s="401"/>
      <c r="T33" s="409"/>
      <c r="U33" s="398"/>
      <c r="V33" s="398"/>
      <c r="W33" s="398"/>
      <c r="X33" s="398"/>
      <c r="Y33" s="396"/>
      <c r="Z33" s="401"/>
      <c r="AA33" s="410"/>
      <c r="AB33" s="401"/>
      <c r="AC33" s="399"/>
      <c r="AD33" s="400">
        <f t="shared" si="5"/>
        <v>0</v>
      </c>
    </row>
    <row r="34" spans="1:30" s="63" customFormat="1">
      <c r="A34" s="125" t="s">
        <v>312</v>
      </c>
      <c r="B34" s="167" t="s">
        <v>313</v>
      </c>
      <c r="C34" s="74"/>
      <c r="D34" s="75"/>
      <c r="E34" s="398"/>
      <c r="F34" s="401"/>
      <c r="G34" s="401"/>
      <c r="H34" s="401"/>
      <c r="I34" s="401"/>
      <c r="J34" s="401"/>
      <c r="K34" s="401"/>
      <c r="L34" s="401"/>
      <c r="M34" s="401"/>
      <c r="N34" s="401"/>
      <c r="O34" s="401"/>
      <c r="P34" s="401"/>
      <c r="Q34" s="401"/>
      <c r="R34" s="401"/>
      <c r="S34" s="401"/>
      <c r="T34" s="409"/>
      <c r="U34" s="398"/>
      <c r="V34" s="398"/>
      <c r="W34" s="398"/>
      <c r="X34" s="398"/>
      <c r="Y34" s="396"/>
      <c r="Z34" s="401"/>
      <c r="AA34" s="410"/>
      <c r="AB34" s="401"/>
      <c r="AC34" s="399"/>
      <c r="AD34" s="400">
        <f t="shared" si="5"/>
        <v>0</v>
      </c>
    </row>
    <row r="35" spans="1:30" s="63" customFormat="1">
      <c r="A35" s="125" t="s">
        <v>314</v>
      </c>
      <c r="B35" s="167" t="s">
        <v>315</v>
      </c>
      <c r="C35" s="74"/>
      <c r="D35" s="157"/>
      <c r="E35" s="398"/>
      <c r="F35" s="401"/>
      <c r="G35" s="401"/>
      <c r="H35" s="401"/>
      <c r="I35" s="401"/>
      <c r="J35" s="401"/>
      <c r="K35" s="401"/>
      <c r="L35" s="401"/>
      <c r="M35" s="401"/>
      <c r="N35" s="401"/>
      <c r="O35" s="401"/>
      <c r="P35" s="401"/>
      <c r="Q35" s="401"/>
      <c r="R35" s="401"/>
      <c r="S35" s="401"/>
      <c r="T35" s="409"/>
      <c r="U35" s="398"/>
      <c r="V35" s="398"/>
      <c r="W35" s="398"/>
      <c r="X35" s="398"/>
      <c r="Y35" s="396"/>
      <c r="Z35" s="401"/>
      <c r="AA35" s="410"/>
      <c r="AB35" s="401"/>
      <c r="AC35" s="399"/>
      <c r="AD35" s="400">
        <f t="shared" si="5"/>
        <v>0</v>
      </c>
    </row>
    <row r="36" spans="1:30" s="63" customFormat="1">
      <c r="A36" s="125" t="s">
        <v>316</v>
      </c>
      <c r="B36" s="167" t="s">
        <v>317</v>
      </c>
      <c r="C36" s="76"/>
      <c r="D36" s="75"/>
      <c r="E36" s="398"/>
      <c r="F36" s="402"/>
      <c r="G36" s="402"/>
      <c r="H36" s="402"/>
      <c r="I36" s="402"/>
      <c r="J36" s="402"/>
      <c r="K36" s="402"/>
      <c r="L36" s="402"/>
      <c r="M36" s="402"/>
      <c r="N36" s="402"/>
      <c r="O36" s="402"/>
      <c r="P36" s="402"/>
      <c r="Q36" s="402"/>
      <c r="R36" s="402"/>
      <c r="S36" s="402"/>
      <c r="T36" s="409"/>
      <c r="U36" s="398"/>
      <c r="V36" s="398"/>
      <c r="W36" s="398"/>
      <c r="X36" s="398"/>
      <c r="Y36" s="396"/>
      <c r="Z36" s="402"/>
      <c r="AA36" s="410"/>
      <c r="AB36" s="402"/>
      <c r="AC36" s="403"/>
      <c r="AD36" s="404">
        <f t="shared" si="5"/>
        <v>0</v>
      </c>
    </row>
    <row r="37" spans="1:30" s="63" customFormat="1" ht="15">
      <c r="A37" s="463" t="s">
        <v>72</v>
      </c>
      <c r="B37" s="464"/>
      <c r="C37" s="74">
        <f>SUM(C31:C36)</f>
        <v>0</v>
      </c>
      <c r="D37" s="157">
        <f t="shared" ref="D37:AC37" si="6">SUM(D31:D36)</f>
        <v>0</v>
      </c>
      <c r="E37" s="410">
        <f t="shared" si="6"/>
        <v>0</v>
      </c>
      <c r="F37" s="401">
        <f t="shared" si="6"/>
        <v>390.37963000000002</v>
      </c>
      <c r="G37" s="401">
        <f t="shared" si="6"/>
        <v>0</v>
      </c>
      <c r="H37" s="401">
        <f t="shared" si="6"/>
        <v>0</v>
      </c>
      <c r="I37" s="401">
        <f t="shared" si="6"/>
        <v>0</v>
      </c>
      <c r="J37" s="401">
        <f t="shared" si="6"/>
        <v>0</v>
      </c>
      <c r="K37" s="401">
        <f t="shared" si="6"/>
        <v>0</v>
      </c>
      <c r="L37" s="401">
        <f t="shared" si="6"/>
        <v>0.68207000000000007</v>
      </c>
      <c r="M37" s="401">
        <f t="shared" si="6"/>
        <v>0</v>
      </c>
      <c r="N37" s="401">
        <f t="shared" si="6"/>
        <v>23.994</v>
      </c>
      <c r="O37" s="401">
        <f t="shared" si="6"/>
        <v>0</v>
      </c>
      <c r="P37" s="401">
        <f t="shared" si="6"/>
        <v>0</v>
      </c>
      <c r="Q37" s="401">
        <f t="shared" si="6"/>
        <v>0</v>
      </c>
      <c r="R37" s="401">
        <f t="shared" si="6"/>
        <v>95.497679999999988</v>
      </c>
      <c r="S37" s="401">
        <f t="shared" si="6"/>
        <v>0</v>
      </c>
      <c r="T37" s="409">
        <f t="shared" si="6"/>
        <v>0</v>
      </c>
      <c r="U37" s="398">
        <f t="shared" si="6"/>
        <v>0</v>
      </c>
      <c r="V37" s="398">
        <f t="shared" si="6"/>
        <v>0</v>
      </c>
      <c r="W37" s="398">
        <f t="shared" si="6"/>
        <v>0</v>
      </c>
      <c r="X37" s="398">
        <f t="shared" si="6"/>
        <v>0</v>
      </c>
      <c r="Y37" s="396">
        <f t="shared" si="6"/>
        <v>0</v>
      </c>
      <c r="Z37" s="401">
        <f t="shared" si="6"/>
        <v>0</v>
      </c>
      <c r="AA37" s="410">
        <f t="shared" si="6"/>
        <v>0</v>
      </c>
      <c r="AB37" s="401">
        <f t="shared" si="6"/>
        <v>0</v>
      </c>
      <c r="AC37" s="399">
        <f t="shared" si="6"/>
        <v>0</v>
      </c>
      <c r="AD37" s="400">
        <f t="shared" si="5"/>
        <v>510.55338</v>
      </c>
    </row>
    <row r="38" spans="1:30" s="63" customFormat="1">
      <c r="A38" s="128"/>
      <c r="B38" s="65"/>
      <c r="C38" s="129"/>
      <c r="D38" s="129"/>
      <c r="E38" s="405"/>
      <c r="F38" s="406"/>
      <c r="G38" s="406"/>
      <c r="H38" s="406"/>
      <c r="I38" s="406"/>
      <c r="J38" s="406"/>
      <c r="K38" s="406"/>
      <c r="L38" s="406"/>
      <c r="M38" s="406"/>
      <c r="N38" s="406"/>
      <c r="O38" s="406"/>
      <c r="P38" s="406"/>
      <c r="Q38" s="406"/>
      <c r="R38" s="406"/>
      <c r="S38" s="406"/>
      <c r="T38" s="405"/>
      <c r="U38" s="405"/>
      <c r="V38" s="405"/>
      <c r="W38" s="405"/>
      <c r="X38" s="405"/>
      <c r="Y38" s="405"/>
      <c r="Z38" s="406"/>
      <c r="AA38" s="405"/>
      <c r="AB38" s="406"/>
      <c r="AC38" s="406"/>
      <c r="AD38" s="407"/>
    </row>
    <row r="39" spans="1:30" s="63" customFormat="1" ht="15">
      <c r="A39" s="130" t="s">
        <v>73</v>
      </c>
      <c r="B39" s="169" t="s">
        <v>318</v>
      </c>
      <c r="C39" s="129"/>
      <c r="D39" s="131"/>
      <c r="E39" s="408"/>
      <c r="F39" s="406"/>
      <c r="G39" s="406"/>
      <c r="H39" s="406"/>
      <c r="I39" s="406"/>
      <c r="J39" s="406"/>
      <c r="K39" s="406"/>
      <c r="L39" s="406"/>
      <c r="M39" s="406"/>
      <c r="N39" s="406"/>
      <c r="O39" s="406"/>
      <c r="P39" s="406"/>
      <c r="Q39" s="406"/>
      <c r="R39" s="406"/>
      <c r="S39" s="406"/>
      <c r="T39" s="408"/>
      <c r="U39" s="408"/>
      <c r="V39" s="408"/>
      <c r="W39" s="408"/>
      <c r="X39" s="408"/>
      <c r="Y39" s="408"/>
      <c r="Z39" s="406"/>
      <c r="AA39" s="408"/>
      <c r="AB39" s="406"/>
      <c r="AC39" s="406"/>
      <c r="AD39" s="407"/>
    </row>
    <row r="40" spans="1:30" s="63" customFormat="1">
      <c r="A40" s="125" t="s">
        <v>255</v>
      </c>
      <c r="B40" s="167" t="s">
        <v>319</v>
      </c>
      <c r="C40" s="78"/>
      <c r="D40" s="75"/>
      <c r="E40" s="396"/>
      <c r="F40" s="397"/>
      <c r="G40" s="397"/>
      <c r="H40" s="397"/>
      <c r="I40" s="397"/>
      <c r="J40" s="397"/>
      <c r="K40" s="397"/>
      <c r="L40" s="397">
        <f>8623.2/1000</f>
        <v>8.6232000000000006</v>
      </c>
      <c r="M40" s="397"/>
      <c r="N40" s="397">
        <f>-22000/1000</f>
        <v>-22</v>
      </c>
      <c r="O40" s="397"/>
      <c r="P40" s="397"/>
      <c r="Q40" s="397"/>
      <c r="R40" s="397"/>
      <c r="S40" s="397"/>
      <c r="T40" s="409"/>
      <c r="U40" s="398"/>
      <c r="V40" s="398"/>
      <c r="W40" s="398"/>
      <c r="X40" s="398"/>
      <c r="Y40" s="396"/>
      <c r="Z40" s="397"/>
      <c r="AA40" s="410"/>
      <c r="AB40" s="397"/>
      <c r="AC40" s="399"/>
      <c r="AD40" s="400">
        <f t="shared" ref="AD40:AD47" si="7">SUM(C40:AC40)</f>
        <v>-13.376799999999999</v>
      </c>
    </row>
    <row r="41" spans="1:30" s="63" customFormat="1">
      <c r="A41" s="125" t="s">
        <v>39</v>
      </c>
      <c r="B41" s="167" t="s">
        <v>320</v>
      </c>
      <c r="C41" s="74"/>
      <c r="D41" s="75"/>
      <c r="E41" s="398"/>
      <c r="F41" s="401"/>
      <c r="G41" s="401"/>
      <c r="H41" s="401"/>
      <c r="I41" s="401"/>
      <c r="J41" s="401"/>
      <c r="K41" s="401"/>
      <c r="L41" s="401"/>
      <c r="M41" s="401"/>
      <c r="N41" s="401"/>
      <c r="O41" s="401"/>
      <c r="P41" s="401"/>
      <c r="Q41" s="401"/>
      <c r="R41" s="401"/>
      <c r="S41" s="401"/>
      <c r="T41" s="409"/>
      <c r="U41" s="398"/>
      <c r="V41" s="398"/>
      <c r="W41" s="398"/>
      <c r="X41" s="398"/>
      <c r="Y41" s="396"/>
      <c r="Z41" s="401"/>
      <c r="AA41" s="410"/>
      <c r="AB41" s="401"/>
      <c r="AC41" s="399"/>
      <c r="AD41" s="400">
        <f t="shared" si="7"/>
        <v>0</v>
      </c>
    </row>
    <row r="42" spans="1:30" s="63" customFormat="1">
      <c r="A42" s="125" t="s">
        <v>40</v>
      </c>
      <c r="B42" s="167" t="s">
        <v>321</v>
      </c>
      <c r="C42" s="74"/>
      <c r="D42" s="157"/>
      <c r="E42" s="398"/>
      <c r="F42" s="401"/>
      <c r="G42" s="401"/>
      <c r="H42" s="401"/>
      <c r="I42" s="401"/>
      <c r="J42" s="401"/>
      <c r="K42" s="401"/>
      <c r="L42" s="401"/>
      <c r="M42" s="401"/>
      <c r="N42" s="401">
        <f>11118.3/1000</f>
        <v>11.1183</v>
      </c>
      <c r="O42" s="401">
        <f>8897/1000</f>
        <v>8.8970000000000002</v>
      </c>
      <c r="P42" s="401"/>
      <c r="Q42" s="401"/>
      <c r="R42" s="401"/>
      <c r="S42" s="401"/>
      <c r="T42" s="409"/>
      <c r="U42" s="398"/>
      <c r="V42" s="398"/>
      <c r="W42" s="398"/>
      <c r="X42" s="398"/>
      <c r="Y42" s="396"/>
      <c r="Z42" s="401"/>
      <c r="AA42" s="410"/>
      <c r="AB42" s="401"/>
      <c r="AC42" s="399"/>
      <c r="AD42" s="400">
        <f t="shared" si="7"/>
        <v>20.0153</v>
      </c>
    </row>
    <row r="43" spans="1:30" s="63" customFormat="1">
      <c r="A43" s="125" t="s">
        <v>41</v>
      </c>
      <c r="B43" s="167" t="s">
        <v>322</v>
      </c>
      <c r="C43" s="74"/>
      <c r="D43" s="75"/>
      <c r="E43" s="398"/>
      <c r="F43" s="401"/>
      <c r="G43" s="401"/>
      <c r="H43" s="401"/>
      <c r="I43" s="401"/>
      <c r="J43" s="401"/>
      <c r="K43" s="401"/>
      <c r="L43" s="401"/>
      <c r="M43" s="401"/>
      <c r="N43" s="401"/>
      <c r="O43" s="401"/>
      <c r="P43" s="401"/>
      <c r="Q43" s="401"/>
      <c r="R43" s="401"/>
      <c r="S43" s="401"/>
      <c r="T43" s="409"/>
      <c r="U43" s="398"/>
      <c r="V43" s="398"/>
      <c r="W43" s="398"/>
      <c r="X43" s="398"/>
      <c r="Y43" s="396"/>
      <c r="Z43" s="401"/>
      <c r="AA43" s="410"/>
      <c r="AB43" s="401"/>
      <c r="AC43" s="399"/>
      <c r="AD43" s="400">
        <f t="shared" si="7"/>
        <v>0</v>
      </c>
    </row>
    <row r="44" spans="1:30" s="63" customFormat="1">
      <c r="A44" s="125" t="s">
        <v>42</v>
      </c>
      <c r="B44" s="167" t="s">
        <v>323</v>
      </c>
      <c r="C44" s="74"/>
      <c r="D44" s="75"/>
      <c r="E44" s="398"/>
      <c r="F44" s="401"/>
      <c r="G44" s="401"/>
      <c r="H44" s="401"/>
      <c r="I44" s="401"/>
      <c r="J44" s="401"/>
      <c r="K44" s="401"/>
      <c r="L44" s="401"/>
      <c r="M44" s="401"/>
      <c r="N44" s="401"/>
      <c r="O44" s="401"/>
      <c r="P44" s="401"/>
      <c r="Q44" s="401"/>
      <c r="R44" s="401"/>
      <c r="S44" s="401"/>
      <c r="T44" s="409"/>
      <c r="U44" s="398"/>
      <c r="V44" s="398"/>
      <c r="W44" s="398"/>
      <c r="X44" s="398"/>
      <c r="Y44" s="396"/>
      <c r="Z44" s="401"/>
      <c r="AA44" s="410"/>
      <c r="AB44" s="401"/>
      <c r="AC44" s="399"/>
      <c r="AD44" s="400">
        <f t="shared" si="7"/>
        <v>0</v>
      </c>
    </row>
    <row r="45" spans="1:30" s="63" customFormat="1">
      <c r="A45" s="125" t="s">
        <v>43</v>
      </c>
      <c r="B45" s="167" t="s">
        <v>324</v>
      </c>
      <c r="C45" s="74"/>
      <c r="D45" s="75"/>
      <c r="E45" s="398"/>
      <c r="F45" s="401">
        <f>150956.1/1000</f>
        <v>150.95609999999999</v>
      </c>
      <c r="G45" s="401"/>
      <c r="H45" s="401"/>
      <c r="I45" s="401"/>
      <c r="J45" s="401"/>
      <c r="K45" s="401"/>
      <c r="L45" s="401"/>
      <c r="M45" s="401"/>
      <c r="N45" s="401">
        <f>46870.4/1000</f>
        <v>46.870400000000004</v>
      </c>
      <c r="O45" s="401">
        <f>-24895.78/1000</f>
        <v>-24.895779999999998</v>
      </c>
      <c r="P45" s="401"/>
      <c r="Q45" s="401"/>
      <c r="R45" s="401"/>
      <c r="S45" s="401"/>
      <c r="T45" s="409"/>
      <c r="U45" s="398"/>
      <c r="V45" s="398"/>
      <c r="W45" s="398"/>
      <c r="X45" s="398"/>
      <c r="Y45" s="396"/>
      <c r="Z45" s="401"/>
      <c r="AA45" s="410"/>
      <c r="AB45" s="401"/>
      <c r="AC45" s="399"/>
      <c r="AD45" s="400">
        <f t="shared" si="7"/>
        <v>172.93072000000001</v>
      </c>
    </row>
    <row r="46" spans="1:30" s="63" customFormat="1">
      <c r="A46" s="125" t="s">
        <v>44</v>
      </c>
      <c r="B46" s="167" t="s">
        <v>325</v>
      </c>
      <c r="C46" s="76"/>
      <c r="D46" s="75"/>
      <c r="E46" s="398"/>
      <c r="F46" s="402">
        <f>500/1000</f>
        <v>0.5</v>
      </c>
      <c r="G46" s="402"/>
      <c r="H46" s="402"/>
      <c r="I46" s="402"/>
      <c r="J46" s="402"/>
      <c r="K46" s="402"/>
      <c r="L46" s="402"/>
      <c r="M46" s="402"/>
      <c r="N46" s="402"/>
      <c r="O46" s="402"/>
      <c r="P46" s="402"/>
      <c r="Q46" s="402"/>
      <c r="R46" s="402"/>
      <c r="S46" s="402"/>
      <c r="T46" s="409"/>
      <c r="U46" s="398"/>
      <c r="V46" s="398"/>
      <c r="W46" s="398"/>
      <c r="X46" s="398"/>
      <c r="Y46" s="396"/>
      <c r="Z46" s="402"/>
      <c r="AA46" s="410"/>
      <c r="AB46" s="402"/>
      <c r="AC46" s="403"/>
      <c r="AD46" s="404">
        <f t="shared" si="7"/>
        <v>0.5</v>
      </c>
    </row>
    <row r="47" spans="1:30" s="63" customFormat="1" ht="15">
      <c r="A47" s="463" t="s">
        <v>74</v>
      </c>
      <c r="B47" s="464"/>
      <c r="C47" s="74">
        <f>SUM(C40:C46)</f>
        <v>0</v>
      </c>
      <c r="D47" s="157">
        <f t="shared" ref="D47:AC47" si="8">SUM(D40:D46)</f>
        <v>0</v>
      </c>
      <c r="E47" s="396">
        <f t="shared" si="8"/>
        <v>0</v>
      </c>
      <c r="F47" s="401">
        <f t="shared" si="8"/>
        <v>151.45609999999999</v>
      </c>
      <c r="G47" s="401">
        <f t="shared" si="8"/>
        <v>0</v>
      </c>
      <c r="H47" s="401">
        <f t="shared" si="8"/>
        <v>0</v>
      </c>
      <c r="I47" s="401">
        <f t="shared" si="8"/>
        <v>0</v>
      </c>
      <c r="J47" s="401">
        <f t="shared" si="8"/>
        <v>0</v>
      </c>
      <c r="K47" s="401">
        <f t="shared" si="8"/>
        <v>0</v>
      </c>
      <c r="L47" s="401">
        <f t="shared" si="8"/>
        <v>8.6232000000000006</v>
      </c>
      <c r="M47" s="401">
        <f t="shared" si="8"/>
        <v>0</v>
      </c>
      <c r="N47" s="401">
        <f t="shared" si="8"/>
        <v>35.988700000000001</v>
      </c>
      <c r="O47" s="401">
        <f t="shared" si="8"/>
        <v>-15.998779999999998</v>
      </c>
      <c r="P47" s="401">
        <f t="shared" si="8"/>
        <v>0</v>
      </c>
      <c r="Q47" s="401">
        <f t="shared" si="8"/>
        <v>0</v>
      </c>
      <c r="R47" s="401">
        <f t="shared" si="8"/>
        <v>0</v>
      </c>
      <c r="S47" s="401">
        <f t="shared" si="8"/>
        <v>0</v>
      </c>
      <c r="T47" s="409">
        <f t="shared" si="8"/>
        <v>0</v>
      </c>
      <c r="U47" s="398">
        <f t="shared" si="8"/>
        <v>0</v>
      </c>
      <c r="V47" s="398">
        <f t="shared" si="8"/>
        <v>0</v>
      </c>
      <c r="W47" s="398">
        <f t="shared" si="8"/>
        <v>0</v>
      </c>
      <c r="X47" s="398">
        <f t="shared" si="8"/>
        <v>0</v>
      </c>
      <c r="Y47" s="396">
        <f t="shared" si="8"/>
        <v>0</v>
      </c>
      <c r="Z47" s="401">
        <f t="shared" si="8"/>
        <v>0</v>
      </c>
      <c r="AA47" s="410">
        <f t="shared" si="8"/>
        <v>0</v>
      </c>
      <c r="AB47" s="401">
        <f t="shared" si="8"/>
        <v>0</v>
      </c>
      <c r="AC47" s="399">
        <f t="shared" si="8"/>
        <v>0</v>
      </c>
      <c r="AD47" s="400">
        <f t="shared" si="7"/>
        <v>180.06921999999997</v>
      </c>
    </row>
    <row r="48" spans="1:30" s="63" customFormat="1">
      <c r="A48" s="128"/>
      <c r="B48" s="65"/>
      <c r="C48" s="129"/>
      <c r="D48" s="129"/>
      <c r="E48" s="405"/>
      <c r="F48" s="406"/>
      <c r="G48" s="406"/>
      <c r="H48" s="406"/>
      <c r="I48" s="406"/>
      <c r="J48" s="406"/>
      <c r="K48" s="406"/>
      <c r="L48" s="406"/>
      <c r="M48" s="406"/>
      <c r="N48" s="406"/>
      <c r="O48" s="406"/>
      <c r="P48" s="406"/>
      <c r="Q48" s="406"/>
      <c r="R48" s="406"/>
      <c r="S48" s="406"/>
      <c r="T48" s="405"/>
      <c r="U48" s="405"/>
      <c r="V48" s="405"/>
      <c r="W48" s="405"/>
      <c r="X48" s="405"/>
      <c r="Y48" s="405"/>
      <c r="Z48" s="406"/>
      <c r="AA48" s="405"/>
      <c r="AB48" s="406"/>
      <c r="AC48" s="406"/>
      <c r="AD48" s="407"/>
    </row>
    <row r="49" spans="1:30" s="63" customFormat="1" ht="15">
      <c r="A49" s="130" t="s">
        <v>75</v>
      </c>
      <c r="B49" s="169" t="s">
        <v>326</v>
      </c>
      <c r="C49" s="129"/>
      <c r="D49" s="131"/>
      <c r="E49" s="408"/>
      <c r="F49" s="406"/>
      <c r="G49" s="406"/>
      <c r="H49" s="406"/>
      <c r="I49" s="406"/>
      <c r="J49" s="406"/>
      <c r="K49" s="406"/>
      <c r="L49" s="406"/>
      <c r="M49" s="406"/>
      <c r="N49" s="406"/>
      <c r="O49" s="406"/>
      <c r="P49" s="406"/>
      <c r="Q49" s="406"/>
      <c r="R49" s="406"/>
      <c r="S49" s="406"/>
      <c r="T49" s="408"/>
      <c r="U49" s="408"/>
      <c r="V49" s="408"/>
      <c r="W49" s="408"/>
      <c r="X49" s="408"/>
      <c r="Y49" s="408"/>
      <c r="Z49" s="406"/>
      <c r="AA49" s="408"/>
      <c r="AB49" s="406"/>
      <c r="AC49" s="406"/>
      <c r="AD49" s="407"/>
    </row>
    <row r="50" spans="1:30" s="63" customFormat="1">
      <c r="A50" s="125" t="s">
        <v>45</v>
      </c>
      <c r="B50" s="167" t="s">
        <v>327</v>
      </c>
      <c r="C50" s="78"/>
      <c r="D50" s="75"/>
      <c r="E50" s="396"/>
      <c r="F50" s="397"/>
      <c r="G50" s="397"/>
      <c r="H50" s="397"/>
      <c r="I50" s="397"/>
      <c r="J50" s="397"/>
      <c r="K50" s="397"/>
      <c r="L50" s="397"/>
      <c r="M50" s="397"/>
      <c r="N50" s="397"/>
      <c r="O50" s="397"/>
      <c r="P50" s="397"/>
      <c r="Q50" s="397"/>
      <c r="R50" s="397"/>
      <c r="S50" s="397"/>
      <c r="T50" s="398"/>
      <c r="U50" s="398"/>
      <c r="V50" s="398"/>
      <c r="W50" s="398"/>
      <c r="X50" s="398"/>
      <c r="Y50" s="396"/>
      <c r="Z50" s="397"/>
      <c r="AA50" s="396"/>
      <c r="AB50" s="397"/>
      <c r="AC50" s="399"/>
      <c r="AD50" s="400">
        <f>SUM(C50:AC50)</f>
        <v>0</v>
      </c>
    </row>
    <row r="51" spans="1:30" s="63" customFormat="1">
      <c r="A51" s="125" t="s">
        <v>46</v>
      </c>
      <c r="B51" s="167" t="s">
        <v>328</v>
      </c>
      <c r="C51" s="74"/>
      <c r="D51" s="75"/>
      <c r="E51" s="396"/>
      <c r="F51" s="401"/>
      <c r="G51" s="401"/>
      <c r="H51" s="401"/>
      <c r="I51" s="401"/>
      <c r="J51" s="401"/>
      <c r="K51" s="401"/>
      <c r="L51" s="401">
        <f>-200/1000</f>
        <v>-0.2</v>
      </c>
      <c r="M51" s="401"/>
      <c r="N51" s="401">
        <f>291556.65/1000</f>
        <v>291.55665000000005</v>
      </c>
      <c r="O51" s="401">
        <f>500/1000</f>
        <v>0.5</v>
      </c>
      <c r="P51" s="401"/>
      <c r="Q51" s="401"/>
      <c r="R51" s="401"/>
      <c r="S51" s="401"/>
      <c r="T51" s="398"/>
      <c r="U51" s="398"/>
      <c r="V51" s="398"/>
      <c r="W51" s="398"/>
      <c r="X51" s="398"/>
      <c r="Y51" s="396"/>
      <c r="Z51" s="401"/>
      <c r="AA51" s="396"/>
      <c r="AB51" s="401"/>
      <c r="AC51" s="399"/>
      <c r="AD51" s="400">
        <f>SUM(C51:AC51)</f>
        <v>291.85665000000006</v>
      </c>
    </row>
    <row r="52" spans="1:30" s="63" customFormat="1">
      <c r="A52" s="125" t="s">
        <v>329</v>
      </c>
      <c r="B52" s="167" t="s">
        <v>330</v>
      </c>
      <c r="C52" s="76"/>
      <c r="D52" s="75"/>
      <c r="E52" s="396"/>
      <c r="F52" s="402"/>
      <c r="G52" s="402"/>
      <c r="H52" s="402"/>
      <c r="I52" s="402"/>
      <c r="J52" s="402"/>
      <c r="K52" s="402">
        <f>497/1000</f>
        <v>0.497</v>
      </c>
      <c r="L52" s="402"/>
      <c r="M52" s="402"/>
      <c r="N52" s="402">
        <f>46266.8/1000</f>
        <v>46.266800000000003</v>
      </c>
      <c r="O52" s="402">
        <f>3164.85/1000</f>
        <v>3.1648499999999999</v>
      </c>
      <c r="P52" s="402"/>
      <c r="Q52" s="402">
        <f>122026.09/1000</f>
        <v>122.02609</v>
      </c>
      <c r="R52" s="402"/>
      <c r="S52" s="402">
        <f>45000/1000</f>
        <v>45</v>
      </c>
      <c r="T52" s="398"/>
      <c r="U52" s="398"/>
      <c r="V52" s="398"/>
      <c r="W52" s="398"/>
      <c r="X52" s="398"/>
      <c r="Y52" s="396"/>
      <c r="Z52" s="402"/>
      <c r="AA52" s="396"/>
      <c r="AB52" s="402"/>
      <c r="AC52" s="403"/>
      <c r="AD52" s="404">
        <f>SUM(C52:AC52)</f>
        <v>216.95474000000002</v>
      </c>
    </row>
    <row r="53" spans="1:30" s="63" customFormat="1" ht="15">
      <c r="A53" s="463" t="s">
        <v>76</v>
      </c>
      <c r="B53" s="464"/>
      <c r="C53" s="74">
        <f>+SUM(C50:C52)</f>
        <v>0</v>
      </c>
      <c r="D53" s="75">
        <f t="shared" ref="D53:AC53" si="9">+SUM(D50:D52)</f>
        <v>0</v>
      </c>
      <c r="E53" s="396">
        <f t="shared" si="9"/>
        <v>0</v>
      </c>
      <c r="F53" s="401">
        <f t="shared" si="9"/>
        <v>0</v>
      </c>
      <c r="G53" s="401">
        <f t="shared" si="9"/>
        <v>0</v>
      </c>
      <c r="H53" s="401">
        <f t="shared" si="9"/>
        <v>0</v>
      </c>
      <c r="I53" s="401">
        <f t="shared" si="9"/>
        <v>0</v>
      </c>
      <c r="J53" s="401">
        <f t="shared" si="9"/>
        <v>0</v>
      </c>
      <c r="K53" s="401">
        <f t="shared" si="9"/>
        <v>0.497</v>
      </c>
      <c r="L53" s="401">
        <f t="shared" si="9"/>
        <v>-0.2</v>
      </c>
      <c r="M53" s="401">
        <f t="shared" si="9"/>
        <v>0</v>
      </c>
      <c r="N53" s="401">
        <f t="shared" si="9"/>
        <v>337.82345000000004</v>
      </c>
      <c r="O53" s="401">
        <f t="shared" si="9"/>
        <v>3.6648499999999999</v>
      </c>
      <c r="P53" s="401">
        <f t="shared" si="9"/>
        <v>0</v>
      </c>
      <c r="Q53" s="401">
        <f t="shared" si="9"/>
        <v>122.02609</v>
      </c>
      <c r="R53" s="401">
        <f t="shared" si="9"/>
        <v>0</v>
      </c>
      <c r="S53" s="401">
        <f t="shared" si="9"/>
        <v>45</v>
      </c>
      <c r="T53" s="398">
        <f t="shared" si="9"/>
        <v>0</v>
      </c>
      <c r="U53" s="398">
        <f t="shared" si="9"/>
        <v>0</v>
      </c>
      <c r="V53" s="398">
        <f t="shared" si="9"/>
        <v>0</v>
      </c>
      <c r="W53" s="398">
        <f t="shared" si="9"/>
        <v>0</v>
      </c>
      <c r="X53" s="398">
        <f t="shared" si="9"/>
        <v>0</v>
      </c>
      <c r="Y53" s="396">
        <f t="shared" si="9"/>
        <v>0</v>
      </c>
      <c r="Z53" s="401">
        <f t="shared" si="9"/>
        <v>0</v>
      </c>
      <c r="AA53" s="396">
        <f t="shared" si="9"/>
        <v>0</v>
      </c>
      <c r="AB53" s="401">
        <f t="shared" si="9"/>
        <v>0</v>
      </c>
      <c r="AC53" s="399">
        <f t="shared" si="9"/>
        <v>0</v>
      </c>
      <c r="AD53" s="400">
        <f>SUM(C53:AC53)</f>
        <v>508.81139000000007</v>
      </c>
    </row>
    <row r="54" spans="1:30" s="63" customFormat="1">
      <c r="A54" s="128"/>
      <c r="B54" s="65"/>
      <c r="C54" s="129"/>
      <c r="D54" s="77"/>
      <c r="E54" s="405"/>
      <c r="F54" s="406"/>
      <c r="G54" s="406"/>
      <c r="H54" s="406"/>
      <c r="I54" s="406"/>
      <c r="J54" s="406"/>
      <c r="K54" s="406"/>
      <c r="L54" s="406"/>
      <c r="M54" s="406"/>
      <c r="N54" s="406"/>
      <c r="O54" s="406"/>
      <c r="P54" s="406"/>
      <c r="Q54" s="406"/>
      <c r="R54" s="406"/>
      <c r="S54" s="406"/>
      <c r="T54" s="405"/>
      <c r="U54" s="405"/>
      <c r="V54" s="405"/>
      <c r="W54" s="405"/>
      <c r="X54" s="405"/>
      <c r="Y54" s="405"/>
      <c r="Z54" s="406"/>
      <c r="AA54" s="405"/>
      <c r="AB54" s="406"/>
      <c r="AC54" s="406"/>
      <c r="AD54" s="407"/>
    </row>
    <row r="55" spans="1:30" s="63" customFormat="1" ht="15">
      <c r="A55" s="130" t="s">
        <v>77</v>
      </c>
      <c r="B55" s="169" t="s">
        <v>331</v>
      </c>
      <c r="C55" s="129"/>
      <c r="D55" s="131"/>
      <c r="E55" s="408"/>
      <c r="F55" s="406"/>
      <c r="G55" s="406"/>
      <c r="H55" s="406"/>
      <c r="I55" s="406"/>
      <c r="J55" s="406"/>
      <c r="K55" s="406"/>
      <c r="L55" s="406"/>
      <c r="M55" s="406"/>
      <c r="N55" s="406"/>
      <c r="O55" s="406"/>
      <c r="P55" s="406"/>
      <c r="Q55" s="406"/>
      <c r="R55" s="406"/>
      <c r="S55" s="406"/>
      <c r="T55" s="408"/>
      <c r="U55" s="408"/>
      <c r="V55" s="408"/>
      <c r="W55" s="408"/>
      <c r="X55" s="408"/>
      <c r="Y55" s="408"/>
      <c r="Z55" s="406"/>
      <c r="AA55" s="408"/>
      <c r="AB55" s="406"/>
      <c r="AC55" s="406"/>
      <c r="AD55" s="407"/>
    </row>
    <row r="56" spans="1:30" s="63" customFormat="1">
      <c r="A56" s="125" t="s">
        <v>332</v>
      </c>
      <c r="B56" s="167" t="s">
        <v>333</v>
      </c>
      <c r="C56" s="78"/>
      <c r="D56" s="75"/>
      <c r="E56" s="396"/>
      <c r="F56" s="397"/>
      <c r="G56" s="397"/>
      <c r="H56" s="397"/>
      <c r="I56" s="397"/>
      <c r="J56" s="397"/>
      <c r="K56" s="397"/>
      <c r="L56" s="397">
        <f>6315.52/1000</f>
        <v>6.3155200000000002</v>
      </c>
      <c r="M56" s="397"/>
      <c r="N56" s="397"/>
      <c r="O56" s="397"/>
      <c r="P56" s="397"/>
      <c r="Q56" s="397"/>
      <c r="R56" s="397"/>
      <c r="S56" s="397"/>
      <c r="T56" s="398"/>
      <c r="U56" s="398"/>
      <c r="V56" s="398"/>
      <c r="W56" s="398"/>
      <c r="X56" s="398"/>
      <c r="Y56" s="396"/>
      <c r="Z56" s="397"/>
      <c r="AA56" s="396"/>
      <c r="AB56" s="397"/>
      <c r="AC56" s="399"/>
      <c r="AD56" s="400">
        <f>SUM(C56:AC56)</f>
        <v>6.3155200000000002</v>
      </c>
    </row>
    <row r="57" spans="1:30" s="63" customFormat="1">
      <c r="A57" s="125" t="s">
        <v>256</v>
      </c>
      <c r="B57" s="167" t="s">
        <v>334</v>
      </c>
      <c r="C57" s="74"/>
      <c r="D57" s="75"/>
      <c r="E57" s="396"/>
      <c r="F57" s="401"/>
      <c r="G57" s="401"/>
      <c r="H57" s="401"/>
      <c r="I57" s="401"/>
      <c r="J57" s="401"/>
      <c r="K57" s="401"/>
      <c r="L57" s="401"/>
      <c r="M57" s="401"/>
      <c r="N57" s="401"/>
      <c r="O57" s="401"/>
      <c r="P57" s="401"/>
      <c r="Q57" s="401"/>
      <c r="R57" s="401"/>
      <c r="S57" s="401"/>
      <c r="T57" s="398"/>
      <c r="U57" s="398"/>
      <c r="V57" s="398"/>
      <c r="W57" s="398"/>
      <c r="X57" s="398"/>
      <c r="Y57" s="396"/>
      <c r="Z57" s="401"/>
      <c r="AA57" s="396"/>
      <c r="AB57" s="401"/>
      <c r="AC57" s="399"/>
      <c r="AD57" s="400">
        <f>SUM(C57:AC57)</f>
        <v>0</v>
      </c>
    </row>
    <row r="58" spans="1:30" s="63" customFormat="1">
      <c r="A58" s="125" t="s">
        <v>257</v>
      </c>
      <c r="B58" s="167" t="s">
        <v>335</v>
      </c>
      <c r="C58" s="74"/>
      <c r="D58" s="75"/>
      <c r="E58" s="396"/>
      <c r="F58" s="401"/>
      <c r="G58" s="401"/>
      <c r="H58" s="401"/>
      <c r="I58" s="401"/>
      <c r="J58" s="401"/>
      <c r="K58" s="401"/>
      <c r="L58" s="401"/>
      <c r="M58" s="401">
        <f>7691242.03/1000</f>
        <v>7691.2420300000003</v>
      </c>
      <c r="N58" s="401"/>
      <c r="O58" s="401"/>
      <c r="P58" s="401"/>
      <c r="Q58" s="401"/>
      <c r="R58" s="401"/>
      <c r="S58" s="401"/>
      <c r="T58" s="398"/>
      <c r="U58" s="398"/>
      <c r="V58" s="398"/>
      <c r="W58" s="398"/>
      <c r="X58" s="398"/>
      <c r="Y58" s="396"/>
      <c r="Z58" s="401"/>
      <c r="AA58" s="396"/>
      <c r="AB58" s="401"/>
      <c r="AC58" s="399"/>
      <c r="AD58" s="400">
        <f>SUM(C58:AC58)</f>
        <v>7691.2420300000003</v>
      </c>
    </row>
    <row r="59" spans="1:30" s="63" customFormat="1">
      <c r="A59" s="125" t="s">
        <v>258</v>
      </c>
      <c r="B59" s="167" t="s">
        <v>336</v>
      </c>
      <c r="C59" s="76"/>
      <c r="D59" s="75"/>
      <c r="E59" s="396"/>
      <c r="F59" s="402"/>
      <c r="G59" s="402"/>
      <c r="H59" s="402"/>
      <c r="I59" s="402"/>
      <c r="J59" s="402"/>
      <c r="K59" s="402"/>
      <c r="L59" s="402"/>
      <c r="M59" s="402"/>
      <c r="N59" s="402"/>
      <c r="O59" s="402"/>
      <c r="P59" s="402"/>
      <c r="Q59" s="402">
        <f>767761/1000</f>
        <v>767.76099999999997</v>
      </c>
      <c r="R59" s="402"/>
      <c r="S59" s="402"/>
      <c r="T59" s="398"/>
      <c r="U59" s="398"/>
      <c r="V59" s="398"/>
      <c r="W59" s="398"/>
      <c r="X59" s="398"/>
      <c r="Y59" s="396"/>
      <c r="Z59" s="402"/>
      <c r="AA59" s="396"/>
      <c r="AB59" s="402"/>
      <c r="AC59" s="403"/>
      <c r="AD59" s="404">
        <f>SUM(C59:AC59)</f>
        <v>767.76099999999997</v>
      </c>
    </row>
    <row r="60" spans="1:30" s="145" customFormat="1" ht="15">
      <c r="A60" s="463" t="s">
        <v>78</v>
      </c>
      <c r="B60" s="464"/>
      <c r="C60" s="74">
        <f>+SUM(C56:C59)</f>
        <v>0</v>
      </c>
      <c r="D60" s="75">
        <f t="shared" ref="D60:AC60" si="10">+SUM(D56:D59)</f>
        <v>0</v>
      </c>
      <c r="E60" s="396">
        <f t="shared" si="10"/>
        <v>0</v>
      </c>
      <c r="F60" s="401">
        <f t="shared" si="10"/>
        <v>0</v>
      </c>
      <c r="G60" s="401">
        <f t="shared" si="10"/>
        <v>0</v>
      </c>
      <c r="H60" s="401">
        <f t="shared" si="10"/>
        <v>0</v>
      </c>
      <c r="I60" s="401">
        <f t="shared" si="10"/>
        <v>0</v>
      </c>
      <c r="J60" s="401">
        <f t="shared" si="10"/>
        <v>0</v>
      </c>
      <c r="K60" s="401">
        <f t="shared" si="10"/>
        <v>0</v>
      </c>
      <c r="L60" s="401">
        <f t="shared" si="10"/>
        <v>6.3155200000000002</v>
      </c>
      <c r="M60" s="401">
        <f t="shared" si="10"/>
        <v>7691.2420300000003</v>
      </c>
      <c r="N60" s="401">
        <f t="shared" si="10"/>
        <v>0</v>
      </c>
      <c r="O60" s="401">
        <f t="shared" si="10"/>
        <v>0</v>
      </c>
      <c r="P60" s="401">
        <f t="shared" si="10"/>
        <v>0</v>
      </c>
      <c r="Q60" s="401">
        <f t="shared" si="10"/>
        <v>767.76099999999997</v>
      </c>
      <c r="R60" s="401">
        <f t="shared" si="10"/>
        <v>0</v>
      </c>
      <c r="S60" s="401">
        <f t="shared" si="10"/>
        <v>0</v>
      </c>
      <c r="T60" s="398">
        <f t="shared" si="10"/>
        <v>0</v>
      </c>
      <c r="U60" s="398">
        <f t="shared" si="10"/>
        <v>0</v>
      </c>
      <c r="V60" s="398">
        <f t="shared" si="10"/>
        <v>0</v>
      </c>
      <c r="W60" s="398">
        <f t="shared" si="10"/>
        <v>0</v>
      </c>
      <c r="X60" s="398">
        <f t="shared" si="10"/>
        <v>0</v>
      </c>
      <c r="Y60" s="396">
        <f t="shared" si="10"/>
        <v>0</v>
      </c>
      <c r="Z60" s="401">
        <f t="shared" si="10"/>
        <v>0</v>
      </c>
      <c r="AA60" s="396">
        <f t="shared" si="10"/>
        <v>0</v>
      </c>
      <c r="AB60" s="401">
        <f t="shared" si="10"/>
        <v>0</v>
      </c>
      <c r="AC60" s="399">
        <f t="shared" si="10"/>
        <v>0</v>
      </c>
      <c r="AD60" s="400">
        <f>SUM(C60:AC60)</f>
        <v>8465.31855</v>
      </c>
    </row>
    <row r="61" spans="1:30" s="63" customFormat="1">
      <c r="A61" s="128"/>
      <c r="B61" s="65"/>
      <c r="C61" s="129"/>
      <c r="D61" s="77"/>
      <c r="E61" s="405"/>
      <c r="F61" s="406"/>
      <c r="G61" s="406"/>
      <c r="H61" s="406"/>
      <c r="I61" s="406"/>
      <c r="J61" s="406"/>
      <c r="K61" s="406"/>
      <c r="L61" s="406"/>
      <c r="M61" s="406"/>
      <c r="N61" s="406"/>
      <c r="O61" s="406"/>
      <c r="P61" s="406"/>
      <c r="Q61" s="406"/>
      <c r="R61" s="406"/>
      <c r="S61" s="406"/>
      <c r="T61" s="405"/>
      <c r="U61" s="405"/>
      <c r="V61" s="405"/>
      <c r="W61" s="405"/>
      <c r="X61" s="405"/>
      <c r="Y61" s="405"/>
      <c r="Z61" s="406"/>
      <c r="AA61" s="405"/>
      <c r="AB61" s="406"/>
      <c r="AC61" s="406"/>
      <c r="AD61" s="407"/>
    </row>
    <row r="62" spans="1:30" s="63" customFormat="1" ht="15">
      <c r="A62" s="130" t="s">
        <v>79</v>
      </c>
      <c r="B62" s="169" t="s">
        <v>337</v>
      </c>
      <c r="C62" s="129"/>
      <c r="D62" s="131"/>
      <c r="E62" s="408"/>
      <c r="F62" s="406"/>
      <c r="G62" s="406"/>
      <c r="H62" s="406"/>
      <c r="I62" s="406"/>
      <c r="J62" s="406"/>
      <c r="K62" s="406"/>
      <c r="L62" s="406"/>
      <c r="M62" s="406"/>
      <c r="N62" s="406"/>
      <c r="O62" s="406"/>
      <c r="P62" s="406"/>
      <c r="Q62" s="406"/>
      <c r="R62" s="406"/>
      <c r="S62" s="406"/>
      <c r="T62" s="408"/>
      <c r="U62" s="408"/>
      <c r="V62" s="408"/>
      <c r="W62" s="408"/>
      <c r="X62" s="408"/>
      <c r="Y62" s="408"/>
      <c r="Z62" s="406"/>
      <c r="AA62" s="408"/>
      <c r="AB62" s="406"/>
      <c r="AC62" s="406"/>
      <c r="AD62" s="407"/>
    </row>
    <row r="63" spans="1:30" s="63" customFormat="1">
      <c r="A63" s="125" t="s">
        <v>338</v>
      </c>
      <c r="B63" s="167" t="s">
        <v>339</v>
      </c>
      <c r="C63" s="78"/>
      <c r="D63" s="75"/>
      <c r="E63" s="396"/>
      <c r="F63" s="397"/>
      <c r="G63" s="397"/>
      <c r="H63" s="397"/>
      <c r="I63" s="397"/>
      <c r="J63" s="397"/>
      <c r="K63" s="397"/>
      <c r="L63" s="397"/>
      <c r="M63" s="397"/>
      <c r="N63" s="397">
        <f>48945.5/1000</f>
        <v>48.945500000000003</v>
      </c>
      <c r="O63" s="397"/>
      <c r="P63" s="397"/>
      <c r="Q63" s="397"/>
      <c r="R63" s="397"/>
      <c r="S63" s="397"/>
      <c r="T63" s="398"/>
      <c r="U63" s="398"/>
      <c r="V63" s="398"/>
      <c r="W63" s="398"/>
      <c r="X63" s="398"/>
      <c r="Y63" s="396"/>
      <c r="Z63" s="397"/>
      <c r="AA63" s="396"/>
      <c r="AB63" s="397"/>
      <c r="AC63" s="399"/>
      <c r="AD63" s="400">
        <f t="shared" ref="AD63:AD72" si="11">SUM(C63:AC63)</f>
        <v>48.945500000000003</v>
      </c>
    </row>
    <row r="64" spans="1:30" s="63" customFormat="1">
      <c r="A64" s="125" t="s">
        <v>264</v>
      </c>
      <c r="B64" s="167" t="s">
        <v>340</v>
      </c>
      <c r="C64" s="74"/>
      <c r="D64" s="75"/>
      <c r="E64" s="396"/>
      <c r="F64" s="401"/>
      <c r="G64" s="401"/>
      <c r="H64" s="401"/>
      <c r="I64" s="401"/>
      <c r="J64" s="401"/>
      <c r="K64" s="401"/>
      <c r="L64" s="401"/>
      <c r="M64" s="401"/>
      <c r="N64" s="401"/>
      <c r="O64" s="401"/>
      <c r="P64" s="401"/>
      <c r="Q64" s="401"/>
      <c r="R64" s="401"/>
      <c r="S64" s="401"/>
      <c r="T64" s="398"/>
      <c r="U64" s="398"/>
      <c r="V64" s="398"/>
      <c r="W64" s="398"/>
      <c r="X64" s="398"/>
      <c r="Y64" s="396"/>
      <c r="Z64" s="401"/>
      <c r="AA64" s="396"/>
      <c r="AB64" s="401"/>
      <c r="AC64" s="399"/>
      <c r="AD64" s="400">
        <f t="shared" si="11"/>
        <v>0</v>
      </c>
    </row>
    <row r="65" spans="1:30" s="63" customFormat="1">
      <c r="A65" s="125" t="s">
        <v>265</v>
      </c>
      <c r="B65" s="167" t="s">
        <v>341</v>
      </c>
      <c r="C65" s="74"/>
      <c r="D65" s="75"/>
      <c r="E65" s="396"/>
      <c r="F65" s="401"/>
      <c r="G65" s="401"/>
      <c r="H65" s="401"/>
      <c r="I65" s="401"/>
      <c r="J65" s="401"/>
      <c r="K65" s="401"/>
      <c r="L65" s="401"/>
      <c r="M65" s="401"/>
      <c r="N65" s="401"/>
      <c r="O65" s="401"/>
      <c r="P65" s="401"/>
      <c r="Q65" s="401"/>
      <c r="R65" s="401"/>
      <c r="S65" s="401"/>
      <c r="T65" s="398"/>
      <c r="U65" s="398"/>
      <c r="V65" s="398"/>
      <c r="W65" s="398"/>
      <c r="X65" s="398"/>
      <c r="Y65" s="396"/>
      <c r="Z65" s="401"/>
      <c r="AA65" s="396"/>
      <c r="AB65" s="401"/>
      <c r="AC65" s="399"/>
      <c r="AD65" s="400">
        <f t="shared" si="11"/>
        <v>0</v>
      </c>
    </row>
    <row r="66" spans="1:30" s="63" customFormat="1">
      <c r="A66" s="125" t="s">
        <v>342</v>
      </c>
      <c r="B66" s="167" t="s">
        <v>343</v>
      </c>
      <c r="C66" s="74"/>
      <c r="D66" s="75"/>
      <c r="E66" s="396"/>
      <c r="F66" s="401"/>
      <c r="G66" s="401"/>
      <c r="H66" s="401"/>
      <c r="I66" s="401"/>
      <c r="J66" s="401"/>
      <c r="K66" s="401"/>
      <c r="L66" s="401"/>
      <c r="M66" s="401"/>
      <c r="N66" s="401"/>
      <c r="O66" s="401"/>
      <c r="P66" s="401"/>
      <c r="Q66" s="401"/>
      <c r="R66" s="401"/>
      <c r="S66" s="401"/>
      <c r="T66" s="398"/>
      <c r="U66" s="398"/>
      <c r="V66" s="398"/>
      <c r="W66" s="398"/>
      <c r="X66" s="398"/>
      <c r="Y66" s="396"/>
      <c r="Z66" s="401"/>
      <c r="AA66" s="396"/>
      <c r="AB66" s="401"/>
      <c r="AC66" s="399"/>
      <c r="AD66" s="400">
        <f t="shared" si="11"/>
        <v>0</v>
      </c>
    </row>
    <row r="67" spans="1:30" s="63" customFormat="1">
      <c r="A67" s="125" t="s">
        <v>344</v>
      </c>
      <c r="B67" s="167" t="s">
        <v>345</v>
      </c>
      <c r="C67" s="74"/>
      <c r="D67" s="75"/>
      <c r="E67" s="396"/>
      <c r="F67" s="401"/>
      <c r="G67" s="401"/>
      <c r="H67" s="401"/>
      <c r="I67" s="401"/>
      <c r="J67" s="401"/>
      <c r="K67" s="401"/>
      <c r="L67" s="401"/>
      <c r="M67" s="401"/>
      <c r="N67" s="401"/>
      <c r="O67" s="401"/>
      <c r="P67" s="401"/>
      <c r="Q67" s="401"/>
      <c r="R67" s="401"/>
      <c r="S67" s="401"/>
      <c r="T67" s="398"/>
      <c r="U67" s="398"/>
      <c r="V67" s="398"/>
      <c r="W67" s="398"/>
      <c r="X67" s="398"/>
      <c r="Y67" s="396"/>
      <c r="Z67" s="401"/>
      <c r="AA67" s="396"/>
      <c r="AB67" s="401"/>
      <c r="AC67" s="399"/>
      <c r="AD67" s="400">
        <f t="shared" si="11"/>
        <v>0</v>
      </c>
    </row>
    <row r="68" spans="1:30" s="63" customFormat="1">
      <c r="A68" s="125" t="s">
        <v>346</v>
      </c>
      <c r="B68" s="167" t="s">
        <v>347</v>
      </c>
      <c r="C68" s="74"/>
      <c r="D68" s="75"/>
      <c r="E68" s="396"/>
      <c r="F68" s="401"/>
      <c r="G68" s="401"/>
      <c r="H68" s="401"/>
      <c r="I68" s="401"/>
      <c r="J68" s="401"/>
      <c r="K68" s="401"/>
      <c r="L68" s="401"/>
      <c r="M68" s="401"/>
      <c r="N68" s="401"/>
      <c r="O68" s="401"/>
      <c r="P68" s="401"/>
      <c r="Q68" s="401"/>
      <c r="R68" s="401"/>
      <c r="S68" s="401"/>
      <c r="T68" s="398"/>
      <c r="U68" s="398"/>
      <c r="V68" s="398"/>
      <c r="W68" s="398"/>
      <c r="X68" s="398"/>
      <c r="Y68" s="396"/>
      <c r="Z68" s="401"/>
      <c r="AA68" s="396"/>
      <c r="AB68" s="401"/>
      <c r="AC68" s="399"/>
      <c r="AD68" s="400">
        <f t="shared" si="11"/>
        <v>0</v>
      </c>
    </row>
    <row r="69" spans="1:30" s="63" customFormat="1">
      <c r="A69" s="125" t="s">
        <v>348</v>
      </c>
      <c r="B69" s="167" t="s">
        <v>349</v>
      </c>
      <c r="C69" s="74"/>
      <c r="D69" s="75"/>
      <c r="E69" s="396"/>
      <c r="F69" s="401"/>
      <c r="G69" s="401"/>
      <c r="H69" s="401"/>
      <c r="I69" s="401"/>
      <c r="J69" s="401"/>
      <c r="K69" s="401"/>
      <c r="L69" s="401"/>
      <c r="M69" s="401"/>
      <c r="N69" s="401"/>
      <c r="O69" s="401"/>
      <c r="P69" s="401"/>
      <c r="Q69" s="401"/>
      <c r="R69" s="401"/>
      <c r="S69" s="401"/>
      <c r="T69" s="398"/>
      <c r="U69" s="398"/>
      <c r="V69" s="398"/>
      <c r="W69" s="398"/>
      <c r="X69" s="398"/>
      <c r="Y69" s="396"/>
      <c r="Z69" s="401"/>
      <c r="AA69" s="396"/>
      <c r="AB69" s="401"/>
      <c r="AC69" s="399"/>
      <c r="AD69" s="400">
        <f t="shared" si="11"/>
        <v>0</v>
      </c>
    </row>
    <row r="70" spans="1:30" s="63" customFormat="1">
      <c r="A70" s="125" t="s">
        <v>350</v>
      </c>
      <c r="B70" s="167" t="s">
        <v>351</v>
      </c>
      <c r="C70" s="74"/>
      <c r="D70" s="75"/>
      <c r="E70" s="396"/>
      <c r="F70" s="401"/>
      <c r="G70" s="401"/>
      <c r="H70" s="401"/>
      <c r="I70" s="401"/>
      <c r="J70" s="401"/>
      <c r="K70" s="401"/>
      <c r="L70" s="401"/>
      <c r="M70" s="401"/>
      <c r="N70" s="401"/>
      <c r="O70" s="401"/>
      <c r="P70" s="401"/>
      <c r="Q70" s="401"/>
      <c r="R70" s="401"/>
      <c r="S70" s="401"/>
      <c r="T70" s="398"/>
      <c r="U70" s="398"/>
      <c r="V70" s="398"/>
      <c r="W70" s="398"/>
      <c r="X70" s="398"/>
      <c r="Y70" s="396"/>
      <c r="Z70" s="401"/>
      <c r="AA70" s="396"/>
      <c r="AB70" s="401"/>
      <c r="AC70" s="399"/>
      <c r="AD70" s="400">
        <f t="shared" si="11"/>
        <v>0</v>
      </c>
    </row>
    <row r="71" spans="1:30" s="63" customFormat="1">
      <c r="A71" s="125" t="s">
        <v>352</v>
      </c>
      <c r="B71" s="167" t="s">
        <v>353</v>
      </c>
      <c r="C71" s="76"/>
      <c r="D71" s="75"/>
      <c r="E71" s="396"/>
      <c r="F71" s="402"/>
      <c r="G71" s="402"/>
      <c r="H71" s="402"/>
      <c r="I71" s="402"/>
      <c r="J71" s="402"/>
      <c r="K71" s="402"/>
      <c r="L71" s="402"/>
      <c r="M71" s="402"/>
      <c r="N71" s="402">
        <f>27626588.52/1000</f>
        <v>27626.588520000001</v>
      </c>
      <c r="O71" s="402"/>
      <c r="P71" s="402"/>
      <c r="Q71" s="402"/>
      <c r="R71" s="402"/>
      <c r="S71" s="402"/>
      <c r="T71" s="398"/>
      <c r="U71" s="398"/>
      <c r="V71" s="398"/>
      <c r="W71" s="398"/>
      <c r="X71" s="398"/>
      <c r="Y71" s="396"/>
      <c r="Z71" s="402"/>
      <c r="AA71" s="396"/>
      <c r="AB71" s="402"/>
      <c r="AC71" s="403"/>
      <c r="AD71" s="404">
        <f t="shared" si="11"/>
        <v>27626.588520000001</v>
      </c>
    </row>
    <row r="72" spans="1:30" s="63" customFormat="1" ht="15">
      <c r="A72" s="463" t="s">
        <v>82</v>
      </c>
      <c r="B72" s="464"/>
      <c r="C72" s="74">
        <f>SUM(C63:C71)</f>
        <v>0</v>
      </c>
      <c r="D72" s="75">
        <f t="shared" ref="D72:AC72" si="12">SUM(D63:D71)</f>
        <v>0</v>
      </c>
      <c r="E72" s="396">
        <f t="shared" si="12"/>
        <v>0</v>
      </c>
      <c r="F72" s="401">
        <f t="shared" si="12"/>
        <v>0</v>
      </c>
      <c r="G72" s="401">
        <f t="shared" si="12"/>
        <v>0</v>
      </c>
      <c r="H72" s="401">
        <f t="shared" si="12"/>
        <v>0</v>
      </c>
      <c r="I72" s="401">
        <f t="shared" si="12"/>
        <v>0</v>
      </c>
      <c r="J72" s="401">
        <f t="shared" si="12"/>
        <v>0</v>
      </c>
      <c r="K72" s="401">
        <f t="shared" si="12"/>
        <v>0</v>
      </c>
      <c r="L72" s="401">
        <f t="shared" si="12"/>
        <v>0</v>
      </c>
      <c r="M72" s="401">
        <f t="shared" si="12"/>
        <v>0</v>
      </c>
      <c r="N72" s="401">
        <f t="shared" si="12"/>
        <v>27675.534020000003</v>
      </c>
      <c r="O72" s="401">
        <f t="shared" si="12"/>
        <v>0</v>
      </c>
      <c r="P72" s="401">
        <f t="shared" si="12"/>
        <v>0</v>
      </c>
      <c r="Q72" s="401">
        <f t="shared" si="12"/>
        <v>0</v>
      </c>
      <c r="R72" s="401">
        <f t="shared" si="12"/>
        <v>0</v>
      </c>
      <c r="S72" s="401">
        <f t="shared" si="12"/>
        <v>0</v>
      </c>
      <c r="T72" s="398">
        <f t="shared" si="12"/>
        <v>0</v>
      </c>
      <c r="U72" s="398">
        <f t="shared" si="12"/>
        <v>0</v>
      </c>
      <c r="V72" s="398">
        <f t="shared" si="12"/>
        <v>0</v>
      </c>
      <c r="W72" s="398">
        <f t="shared" si="12"/>
        <v>0</v>
      </c>
      <c r="X72" s="398">
        <f t="shared" si="12"/>
        <v>0</v>
      </c>
      <c r="Y72" s="396">
        <f t="shared" si="12"/>
        <v>0</v>
      </c>
      <c r="Z72" s="401">
        <f t="shared" si="12"/>
        <v>0</v>
      </c>
      <c r="AA72" s="396">
        <f t="shared" si="12"/>
        <v>0</v>
      </c>
      <c r="AB72" s="401">
        <f t="shared" si="12"/>
        <v>0</v>
      </c>
      <c r="AC72" s="399">
        <f t="shared" si="12"/>
        <v>0</v>
      </c>
      <c r="AD72" s="400">
        <f t="shared" si="11"/>
        <v>27675.534020000003</v>
      </c>
    </row>
    <row r="73" spans="1:30" s="63" customFormat="1">
      <c r="A73" s="128"/>
      <c r="B73" s="65"/>
      <c r="C73" s="129"/>
      <c r="D73" s="77"/>
      <c r="E73" s="405"/>
      <c r="F73" s="406"/>
      <c r="G73" s="406"/>
      <c r="H73" s="406"/>
      <c r="I73" s="406"/>
      <c r="J73" s="406"/>
      <c r="K73" s="406"/>
      <c r="L73" s="406"/>
      <c r="M73" s="406"/>
      <c r="N73" s="406"/>
      <c r="O73" s="406"/>
      <c r="P73" s="406"/>
      <c r="Q73" s="406"/>
      <c r="R73" s="406"/>
      <c r="S73" s="406"/>
      <c r="T73" s="405"/>
      <c r="U73" s="405"/>
      <c r="V73" s="405"/>
      <c r="W73" s="405"/>
      <c r="X73" s="405"/>
      <c r="Y73" s="405"/>
      <c r="Z73" s="406"/>
      <c r="AA73" s="405"/>
      <c r="AB73" s="406"/>
      <c r="AC73" s="406"/>
      <c r="AD73" s="407"/>
    </row>
    <row r="74" spans="1:30" s="63" customFormat="1" ht="15">
      <c r="A74" s="130" t="s">
        <v>83</v>
      </c>
      <c r="B74" s="169" t="s">
        <v>80</v>
      </c>
      <c r="C74" s="129"/>
      <c r="D74" s="131"/>
      <c r="E74" s="408"/>
      <c r="F74" s="406"/>
      <c r="G74" s="406"/>
      <c r="H74" s="406"/>
      <c r="I74" s="406"/>
      <c r="J74" s="406"/>
      <c r="K74" s="406"/>
      <c r="L74" s="406"/>
      <c r="M74" s="406"/>
      <c r="N74" s="406"/>
      <c r="O74" s="406"/>
      <c r="P74" s="406"/>
      <c r="Q74" s="406"/>
      <c r="R74" s="406"/>
      <c r="S74" s="406"/>
      <c r="T74" s="408"/>
      <c r="U74" s="408"/>
      <c r="V74" s="408"/>
      <c r="W74" s="408"/>
      <c r="X74" s="408"/>
      <c r="Y74" s="408"/>
      <c r="Z74" s="406"/>
      <c r="AA74" s="408"/>
      <c r="AB74" s="406"/>
      <c r="AC74" s="406"/>
      <c r="AD74" s="407"/>
    </row>
    <row r="75" spans="1:30" s="63" customFormat="1">
      <c r="A75" s="125" t="s">
        <v>354</v>
      </c>
      <c r="B75" s="167" t="s">
        <v>355</v>
      </c>
      <c r="C75" s="78"/>
      <c r="D75" s="75"/>
      <c r="E75" s="396"/>
      <c r="F75" s="397"/>
      <c r="G75" s="397"/>
      <c r="H75" s="397"/>
      <c r="I75" s="397"/>
      <c r="J75" s="397"/>
      <c r="K75" s="397"/>
      <c r="L75" s="397"/>
      <c r="M75" s="397"/>
      <c r="N75" s="397"/>
      <c r="O75" s="397"/>
      <c r="P75" s="397"/>
      <c r="Q75" s="397"/>
      <c r="R75" s="397"/>
      <c r="S75" s="397"/>
      <c r="T75" s="398"/>
      <c r="U75" s="398"/>
      <c r="V75" s="398"/>
      <c r="W75" s="398"/>
      <c r="X75" s="398"/>
      <c r="Y75" s="396"/>
      <c r="Z75" s="397"/>
      <c r="AA75" s="396"/>
      <c r="AB75" s="397"/>
      <c r="AC75" s="399"/>
      <c r="AD75" s="400">
        <f>SUM(C75:AC75)</f>
        <v>0</v>
      </c>
    </row>
    <row r="76" spans="1:30" s="63" customFormat="1">
      <c r="A76" s="125" t="s">
        <v>356</v>
      </c>
      <c r="B76" s="167" t="s">
        <v>81</v>
      </c>
      <c r="C76" s="74"/>
      <c r="D76" s="75"/>
      <c r="E76" s="396"/>
      <c r="F76" s="401">
        <f>310/1000</f>
        <v>0.31</v>
      </c>
      <c r="G76" s="401">
        <f>96559.25/1000</f>
        <v>96.559250000000006</v>
      </c>
      <c r="H76" s="401"/>
      <c r="I76" s="401"/>
      <c r="J76" s="401">
        <f>16281.27/1000</f>
        <v>16.281269999999999</v>
      </c>
      <c r="K76" s="401">
        <f>22644/1000</f>
        <v>22.643999999999998</v>
      </c>
      <c r="L76" s="401">
        <f>43356.63/1000</f>
        <v>43.356629999999996</v>
      </c>
      <c r="M76" s="401"/>
      <c r="N76" s="401">
        <f>-37829.5/1000</f>
        <v>-37.829500000000003</v>
      </c>
      <c r="O76" s="401">
        <f>2553.8/1000</f>
        <v>2.5538000000000003</v>
      </c>
      <c r="P76" s="401"/>
      <c r="Q76" s="401"/>
      <c r="R76" s="401"/>
      <c r="S76" s="401"/>
      <c r="T76" s="398"/>
      <c r="U76" s="398"/>
      <c r="V76" s="398"/>
      <c r="W76" s="398"/>
      <c r="X76" s="398"/>
      <c r="Y76" s="396"/>
      <c r="Z76" s="401"/>
      <c r="AA76" s="396"/>
      <c r="AB76" s="401"/>
      <c r="AC76" s="399"/>
      <c r="AD76" s="400">
        <f>SUM(C76:AC76)</f>
        <v>143.87545</v>
      </c>
    </row>
    <row r="77" spans="1:30" s="63" customFormat="1">
      <c r="A77" s="125" t="s">
        <v>357</v>
      </c>
      <c r="B77" s="167" t="s">
        <v>358</v>
      </c>
      <c r="C77" s="74"/>
      <c r="D77" s="75"/>
      <c r="E77" s="396"/>
      <c r="F77" s="401"/>
      <c r="G77" s="401"/>
      <c r="H77" s="401"/>
      <c r="I77" s="401"/>
      <c r="J77" s="401"/>
      <c r="K77" s="401"/>
      <c r="L77" s="401"/>
      <c r="M77" s="401"/>
      <c r="N77" s="401"/>
      <c r="O77" s="401"/>
      <c r="P77" s="401">
        <f>46388/1000</f>
        <v>46.387999999999998</v>
      </c>
      <c r="Q77" s="401"/>
      <c r="R77" s="401"/>
      <c r="S77" s="401"/>
      <c r="T77" s="398"/>
      <c r="U77" s="398"/>
      <c r="V77" s="398"/>
      <c r="W77" s="398"/>
      <c r="X77" s="398"/>
      <c r="Y77" s="396"/>
      <c r="Z77" s="401"/>
      <c r="AA77" s="396"/>
      <c r="AB77" s="401"/>
      <c r="AC77" s="399"/>
      <c r="AD77" s="400">
        <f>SUM(C77:AC77)</f>
        <v>46.387999999999998</v>
      </c>
    </row>
    <row r="78" spans="1:30" s="63" customFormat="1">
      <c r="A78" s="125" t="s">
        <v>359</v>
      </c>
      <c r="B78" s="167" t="s">
        <v>360</v>
      </c>
      <c r="C78" s="76"/>
      <c r="D78" s="75"/>
      <c r="E78" s="396"/>
      <c r="F78" s="402"/>
      <c r="G78" s="402"/>
      <c r="H78" s="402"/>
      <c r="I78" s="402"/>
      <c r="J78" s="402"/>
      <c r="K78" s="402"/>
      <c r="L78" s="402"/>
      <c r="M78" s="402"/>
      <c r="N78" s="402"/>
      <c r="O78" s="402"/>
      <c r="P78" s="402"/>
      <c r="Q78" s="402"/>
      <c r="R78" s="402"/>
      <c r="S78" s="402"/>
      <c r="T78" s="398"/>
      <c r="U78" s="398"/>
      <c r="V78" s="398"/>
      <c r="W78" s="398"/>
      <c r="X78" s="398"/>
      <c r="Y78" s="396"/>
      <c r="Z78" s="402"/>
      <c r="AA78" s="396"/>
      <c r="AB78" s="402"/>
      <c r="AC78" s="403"/>
      <c r="AD78" s="404">
        <f>SUM(C78:AC78)</f>
        <v>0</v>
      </c>
    </row>
    <row r="79" spans="1:30" s="63" customFormat="1" ht="15">
      <c r="A79" s="463" t="s">
        <v>91</v>
      </c>
      <c r="B79" s="464"/>
      <c r="C79" s="74">
        <f>SUM(C75:C78)</f>
        <v>0</v>
      </c>
      <c r="D79" s="75">
        <f t="shared" ref="D79:AC79" si="13">SUM(D75:D78)</f>
        <v>0</v>
      </c>
      <c r="E79" s="396">
        <f t="shared" si="13"/>
        <v>0</v>
      </c>
      <c r="F79" s="401">
        <f t="shared" si="13"/>
        <v>0.31</v>
      </c>
      <c r="G79" s="401">
        <f t="shared" si="13"/>
        <v>96.559250000000006</v>
      </c>
      <c r="H79" s="401">
        <f t="shared" si="13"/>
        <v>0</v>
      </c>
      <c r="I79" s="401">
        <f t="shared" si="13"/>
        <v>0</v>
      </c>
      <c r="J79" s="401">
        <f t="shared" si="13"/>
        <v>16.281269999999999</v>
      </c>
      <c r="K79" s="401">
        <f t="shared" si="13"/>
        <v>22.643999999999998</v>
      </c>
      <c r="L79" s="401">
        <f t="shared" si="13"/>
        <v>43.356629999999996</v>
      </c>
      <c r="M79" s="401">
        <f t="shared" si="13"/>
        <v>0</v>
      </c>
      <c r="N79" s="401">
        <f t="shared" si="13"/>
        <v>-37.829500000000003</v>
      </c>
      <c r="O79" s="401">
        <f t="shared" si="13"/>
        <v>2.5538000000000003</v>
      </c>
      <c r="P79" s="401">
        <f t="shared" si="13"/>
        <v>46.387999999999998</v>
      </c>
      <c r="Q79" s="401">
        <f t="shared" si="13"/>
        <v>0</v>
      </c>
      <c r="R79" s="401">
        <f t="shared" si="13"/>
        <v>0</v>
      </c>
      <c r="S79" s="401">
        <f t="shared" si="13"/>
        <v>0</v>
      </c>
      <c r="T79" s="398">
        <f t="shared" si="13"/>
        <v>0</v>
      </c>
      <c r="U79" s="398">
        <f t="shared" si="13"/>
        <v>0</v>
      </c>
      <c r="V79" s="398">
        <f t="shared" si="13"/>
        <v>0</v>
      </c>
      <c r="W79" s="398">
        <f t="shared" si="13"/>
        <v>0</v>
      </c>
      <c r="X79" s="398">
        <f t="shared" si="13"/>
        <v>0</v>
      </c>
      <c r="Y79" s="396">
        <f t="shared" si="13"/>
        <v>0</v>
      </c>
      <c r="Z79" s="401">
        <f t="shared" si="13"/>
        <v>0</v>
      </c>
      <c r="AA79" s="396">
        <f t="shared" si="13"/>
        <v>0</v>
      </c>
      <c r="AB79" s="401">
        <f t="shared" si="13"/>
        <v>0</v>
      </c>
      <c r="AC79" s="399">
        <f t="shared" si="13"/>
        <v>0</v>
      </c>
      <c r="AD79" s="400">
        <f>SUM(C79:AC79)</f>
        <v>190.26345000000001</v>
      </c>
    </row>
    <row r="80" spans="1:30" s="63" customFormat="1">
      <c r="A80" s="128"/>
      <c r="B80" s="65"/>
      <c r="C80" s="129"/>
      <c r="D80" s="77"/>
      <c r="E80" s="405"/>
      <c r="F80" s="406"/>
      <c r="G80" s="406"/>
      <c r="H80" s="406"/>
      <c r="I80" s="406"/>
      <c r="J80" s="406"/>
      <c r="K80" s="406"/>
      <c r="L80" s="406"/>
      <c r="M80" s="406"/>
      <c r="N80" s="406"/>
      <c r="O80" s="406"/>
      <c r="P80" s="406"/>
      <c r="Q80" s="406"/>
      <c r="R80" s="406"/>
      <c r="S80" s="406"/>
      <c r="T80" s="405"/>
      <c r="U80" s="405"/>
      <c r="V80" s="405"/>
      <c r="W80" s="405"/>
      <c r="X80" s="405"/>
      <c r="Y80" s="405"/>
      <c r="Z80" s="406"/>
      <c r="AA80" s="405"/>
      <c r="AB80" s="406"/>
      <c r="AC80" s="406"/>
      <c r="AD80" s="407"/>
    </row>
    <row r="81" spans="1:30" s="63" customFormat="1" ht="15">
      <c r="A81" s="62" t="s">
        <v>60</v>
      </c>
      <c r="B81" s="170" t="s">
        <v>84</v>
      </c>
      <c r="C81" s="129"/>
      <c r="D81" s="131"/>
      <c r="E81" s="408"/>
      <c r="F81" s="406"/>
      <c r="G81" s="406"/>
      <c r="H81" s="406"/>
      <c r="I81" s="406"/>
      <c r="J81" s="406"/>
      <c r="K81" s="406"/>
      <c r="L81" s="406"/>
      <c r="M81" s="406"/>
      <c r="N81" s="406"/>
      <c r="O81" s="406"/>
      <c r="P81" s="406"/>
      <c r="Q81" s="406"/>
      <c r="R81" s="406"/>
      <c r="S81" s="406"/>
      <c r="T81" s="408"/>
      <c r="U81" s="408"/>
      <c r="V81" s="408"/>
      <c r="W81" s="406"/>
      <c r="X81" s="408"/>
      <c r="Y81" s="408"/>
      <c r="Z81" s="408"/>
      <c r="AA81" s="408"/>
      <c r="AB81" s="406"/>
      <c r="AC81" s="406"/>
      <c r="AD81" s="407"/>
    </row>
    <row r="82" spans="1:30" s="63" customFormat="1">
      <c r="A82" s="125" t="s">
        <v>29</v>
      </c>
      <c r="B82" s="167" t="s">
        <v>85</v>
      </c>
      <c r="C82" s="78"/>
      <c r="D82" s="75"/>
      <c r="E82" s="398"/>
      <c r="F82" s="397"/>
      <c r="G82" s="397"/>
      <c r="H82" s="397"/>
      <c r="I82" s="397"/>
      <c r="J82" s="397"/>
      <c r="K82" s="397"/>
      <c r="L82" s="397"/>
      <c r="M82" s="397"/>
      <c r="N82" s="397"/>
      <c r="O82" s="397"/>
      <c r="P82" s="397"/>
      <c r="Q82" s="397"/>
      <c r="R82" s="397">
        <f>1016869.56/1000</f>
        <v>1016.8695600000001</v>
      </c>
      <c r="S82" s="397"/>
      <c r="T82" s="398"/>
      <c r="U82" s="398"/>
      <c r="V82" s="398"/>
      <c r="W82" s="397"/>
      <c r="X82" s="398"/>
      <c r="Y82" s="398"/>
      <c r="Z82" s="398"/>
      <c r="AA82" s="398"/>
      <c r="AB82" s="397"/>
      <c r="AC82" s="399"/>
      <c r="AD82" s="400">
        <f t="shared" ref="AD82:AD92" si="14">SUM(C82:AC82)</f>
        <v>1016.8695600000001</v>
      </c>
    </row>
    <row r="83" spans="1:30" s="63" customFormat="1">
      <c r="A83" s="125" t="s">
        <v>361</v>
      </c>
      <c r="B83" s="167" t="s">
        <v>87</v>
      </c>
      <c r="C83" s="74"/>
      <c r="D83" s="75"/>
      <c r="E83" s="398"/>
      <c r="F83" s="401"/>
      <c r="G83" s="401"/>
      <c r="H83" s="401"/>
      <c r="I83" s="401"/>
      <c r="J83" s="401"/>
      <c r="K83" s="401"/>
      <c r="L83" s="401"/>
      <c r="M83" s="401"/>
      <c r="N83" s="401"/>
      <c r="O83" s="401"/>
      <c r="P83" s="401"/>
      <c r="Q83" s="401"/>
      <c r="R83" s="401">
        <f>1260283.11/1000</f>
        <v>1260.2831100000001</v>
      </c>
      <c r="S83" s="401"/>
      <c r="T83" s="398"/>
      <c r="U83" s="398"/>
      <c r="V83" s="398"/>
      <c r="W83" s="401"/>
      <c r="X83" s="398"/>
      <c r="Y83" s="398"/>
      <c r="Z83" s="398"/>
      <c r="AA83" s="398"/>
      <c r="AB83" s="401"/>
      <c r="AC83" s="399"/>
      <c r="AD83" s="400">
        <f t="shared" si="14"/>
        <v>1260.2831100000001</v>
      </c>
    </row>
    <row r="84" spans="1:30" s="63" customFormat="1">
      <c r="A84" s="125" t="s">
        <v>362</v>
      </c>
      <c r="B84" s="167" t="s">
        <v>363</v>
      </c>
      <c r="C84" s="74"/>
      <c r="D84" s="75"/>
      <c r="E84" s="398"/>
      <c r="F84" s="401"/>
      <c r="G84" s="401"/>
      <c r="H84" s="401"/>
      <c r="I84" s="401"/>
      <c r="J84" s="401"/>
      <c r="K84" s="401"/>
      <c r="L84" s="401"/>
      <c r="M84" s="401"/>
      <c r="N84" s="401">
        <f>46133850/1000</f>
        <v>46133.85</v>
      </c>
      <c r="O84" s="401">
        <f>5358.12/1000</f>
        <v>5.3581199999999995</v>
      </c>
      <c r="P84" s="401"/>
      <c r="Q84" s="401"/>
      <c r="R84" s="401"/>
      <c r="S84" s="401"/>
      <c r="T84" s="398"/>
      <c r="U84" s="398"/>
      <c r="V84" s="398"/>
      <c r="W84" s="398"/>
      <c r="X84" s="398"/>
      <c r="Y84" s="398"/>
      <c r="Z84" s="398"/>
      <c r="AA84" s="398"/>
      <c r="AB84" s="401"/>
      <c r="AC84" s="399"/>
      <c r="AD84" s="400">
        <f t="shared" si="14"/>
        <v>46139.208119999996</v>
      </c>
    </row>
    <row r="85" spans="1:30" s="63" customFormat="1">
      <c r="A85" s="125" t="s">
        <v>364</v>
      </c>
      <c r="B85" s="171" t="s">
        <v>365</v>
      </c>
      <c r="C85" s="74"/>
      <c r="D85" s="157"/>
      <c r="E85" s="399">
        <f>19870749.02/1000</f>
        <v>19870.749019999999</v>
      </c>
      <c r="F85" s="401"/>
      <c r="G85" s="401"/>
      <c r="H85" s="401"/>
      <c r="I85" s="401"/>
      <c r="J85" s="401"/>
      <c r="K85" s="401"/>
      <c r="L85" s="401"/>
      <c r="M85" s="401"/>
      <c r="N85" s="401"/>
      <c r="O85" s="401"/>
      <c r="P85" s="401"/>
      <c r="Q85" s="401"/>
      <c r="R85" s="401"/>
      <c r="S85" s="401"/>
      <c r="T85" s="398"/>
      <c r="U85" s="398"/>
      <c r="V85" s="398"/>
      <c r="W85" s="398"/>
      <c r="X85" s="398"/>
      <c r="Y85" s="398"/>
      <c r="Z85" s="398"/>
      <c r="AA85" s="398"/>
      <c r="AB85" s="401"/>
      <c r="AC85" s="399"/>
      <c r="AD85" s="400">
        <f t="shared" si="14"/>
        <v>19870.749019999999</v>
      </c>
    </row>
    <row r="86" spans="1:30" s="63" customFormat="1">
      <c r="A86" s="132" t="s">
        <v>366</v>
      </c>
      <c r="B86" s="171" t="s">
        <v>86</v>
      </c>
      <c r="C86" s="74"/>
      <c r="D86" s="75"/>
      <c r="E86" s="398"/>
      <c r="F86" s="401"/>
      <c r="G86" s="401"/>
      <c r="H86" s="401"/>
      <c r="I86" s="401"/>
      <c r="J86" s="401"/>
      <c r="K86" s="401"/>
      <c r="L86" s="401"/>
      <c r="M86" s="401">
        <f>112122.5/1000</f>
        <v>112.1225</v>
      </c>
      <c r="N86" s="401"/>
      <c r="O86" s="401"/>
      <c r="P86" s="401"/>
      <c r="Q86" s="401"/>
      <c r="R86" s="401"/>
      <c r="S86" s="401"/>
      <c r="T86" s="398"/>
      <c r="U86" s="398"/>
      <c r="V86" s="398"/>
      <c r="W86" s="398"/>
      <c r="X86" s="398"/>
      <c r="Y86" s="398"/>
      <c r="Z86" s="401"/>
      <c r="AA86" s="398"/>
      <c r="AB86" s="401"/>
      <c r="AC86" s="403"/>
      <c r="AD86" s="400">
        <f t="shared" si="14"/>
        <v>112.1225</v>
      </c>
    </row>
    <row r="87" spans="1:30" s="63" customFormat="1">
      <c r="A87" s="132" t="s">
        <v>367</v>
      </c>
      <c r="B87" s="171" t="s">
        <v>368</v>
      </c>
      <c r="C87" s="74"/>
      <c r="D87" s="75"/>
      <c r="E87" s="398"/>
      <c r="F87" s="401"/>
      <c r="G87" s="401"/>
      <c r="H87" s="401"/>
      <c r="I87" s="401"/>
      <c r="J87" s="401"/>
      <c r="K87" s="401"/>
      <c r="L87" s="401"/>
      <c r="M87" s="401"/>
      <c r="N87" s="401"/>
      <c r="O87" s="401"/>
      <c r="P87" s="401"/>
      <c r="Q87" s="401"/>
      <c r="R87" s="401"/>
      <c r="S87" s="402"/>
      <c r="T87" s="398"/>
      <c r="U87" s="398"/>
      <c r="V87" s="398"/>
      <c r="W87" s="398"/>
      <c r="X87" s="398"/>
      <c r="Y87" s="398"/>
      <c r="Z87" s="398"/>
      <c r="AA87" s="398"/>
      <c r="AB87" s="401"/>
      <c r="AC87" s="403"/>
      <c r="AD87" s="400">
        <f t="shared" si="14"/>
        <v>0</v>
      </c>
    </row>
    <row r="88" spans="1:30" s="63" customFormat="1">
      <c r="A88" s="132" t="s">
        <v>369</v>
      </c>
      <c r="B88" s="171" t="s">
        <v>88</v>
      </c>
      <c r="C88" s="74"/>
      <c r="D88" s="75"/>
      <c r="E88" s="398"/>
      <c r="F88" s="398"/>
      <c r="G88" s="398"/>
      <c r="H88" s="398"/>
      <c r="I88" s="398"/>
      <c r="J88" s="398"/>
      <c r="K88" s="398"/>
      <c r="L88" s="398"/>
      <c r="M88" s="398"/>
      <c r="N88" s="398"/>
      <c r="O88" s="398"/>
      <c r="P88" s="398"/>
      <c r="Q88" s="398"/>
      <c r="R88" s="398"/>
      <c r="S88" s="401"/>
      <c r="T88" s="398"/>
      <c r="U88" s="398"/>
      <c r="V88" s="398"/>
      <c r="W88" s="398"/>
      <c r="X88" s="398"/>
      <c r="Y88" s="398"/>
      <c r="Z88" s="398"/>
      <c r="AA88" s="398"/>
      <c r="AB88" s="401"/>
      <c r="AC88" s="403"/>
      <c r="AD88" s="400">
        <f t="shared" si="14"/>
        <v>0</v>
      </c>
    </row>
    <row r="89" spans="1:30" s="63" customFormat="1">
      <c r="A89" s="132" t="s">
        <v>370</v>
      </c>
      <c r="B89" s="171" t="s">
        <v>89</v>
      </c>
      <c r="C89" s="74"/>
      <c r="D89" s="75"/>
      <c r="E89" s="398"/>
      <c r="F89" s="398"/>
      <c r="G89" s="398"/>
      <c r="H89" s="398"/>
      <c r="I89" s="398"/>
      <c r="J89" s="398"/>
      <c r="K89" s="398"/>
      <c r="L89" s="398"/>
      <c r="M89" s="398"/>
      <c r="N89" s="398"/>
      <c r="O89" s="398"/>
      <c r="P89" s="398"/>
      <c r="Q89" s="398"/>
      <c r="R89" s="398"/>
      <c r="S89" s="401"/>
      <c r="T89" s="398"/>
      <c r="U89" s="398"/>
      <c r="V89" s="398"/>
      <c r="W89" s="398"/>
      <c r="X89" s="398"/>
      <c r="Y89" s="398"/>
      <c r="Z89" s="398"/>
      <c r="AA89" s="398"/>
      <c r="AB89" s="401"/>
      <c r="AC89" s="403"/>
      <c r="AD89" s="400">
        <f t="shared" si="14"/>
        <v>0</v>
      </c>
    </row>
    <row r="90" spans="1:30" s="63" customFormat="1">
      <c r="A90" s="132" t="s">
        <v>371</v>
      </c>
      <c r="B90" s="172" t="s">
        <v>372</v>
      </c>
      <c r="C90" s="74"/>
      <c r="D90" s="75"/>
      <c r="E90" s="398"/>
      <c r="F90" s="398"/>
      <c r="G90" s="398"/>
      <c r="H90" s="398"/>
      <c r="I90" s="398"/>
      <c r="J90" s="398"/>
      <c r="K90" s="398"/>
      <c r="L90" s="398"/>
      <c r="M90" s="398"/>
      <c r="N90" s="398"/>
      <c r="O90" s="398"/>
      <c r="P90" s="398"/>
      <c r="Q90" s="398"/>
      <c r="R90" s="398"/>
      <c r="S90" s="401">
        <f>3653638.29/1000</f>
        <v>3653.6382899999999</v>
      </c>
      <c r="T90" s="398"/>
      <c r="U90" s="398"/>
      <c r="V90" s="398"/>
      <c r="W90" s="398"/>
      <c r="X90" s="398"/>
      <c r="Y90" s="398"/>
      <c r="Z90" s="398"/>
      <c r="AA90" s="398"/>
      <c r="AB90" s="401"/>
      <c r="AC90" s="403"/>
      <c r="AD90" s="400">
        <f t="shared" si="14"/>
        <v>3653.6382899999999</v>
      </c>
    </row>
    <row r="91" spans="1:30" s="63" customFormat="1">
      <c r="A91" s="132" t="s">
        <v>373</v>
      </c>
      <c r="B91" s="171" t="s">
        <v>90</v>
      </c>
      <c r="C91" s="74"/>
      <c r="D91" s="75"/>
      <c r="E91" s="398"/>
      <c r="F91" s="398"/>
      <c r="G91" s="398"/>
      <c r="H91" s="398"/>
      <c r="I91" s="398"/>
      <c r="J91" s="398"/>
      <c r="K91" s="398"/>
      <c r="L91" s="398"/>
      <c r="M91" s="398"/>
      <c r="N91" s="398"/>
      <c r="O91" s="398"/>
      <c r="P91" s="398"/>
      <c r="Q91" s="398"/>
      <c r="R91" s="398"/>
      <c r="S91" s="402"/>
      <c r="T91" s="398"/>
      <c r="U91" s="398"/>
      <c r="V91" s="398"/>
      <c r="W91" s="398"/>
      <c r="X91" s="398"/>
      <c r="Y91" s="398"/>
      <c r="Z91" s="398"/>
      <c r="AA91" s="398"/>
      <c r="AB91" s="402"/>
      <c r="AC91" s="403"/>
      <c r="AD91" s="404">
        <f t="shared" si="14"/>
        <v>0</v>
      </c>
    </row>
    <row r="92" spans="1:30" s="63" customFormat="1" ht="15">
      <c r="A92" s="463" t="s">
        <v>62</v>
      </c>
      <c r="B92" s="464"/>
      <c r="C92" s="74">
        <f>SUM(C82:C91)-C89</f>
        <v>0</v>
      </c>
      <c r="D92" s="75">
        <f t="shared" ref="D92:AC92" si="15">SUM(D82:D91)-D89</f>
        <v>0</v>
      </c>
      <c r="E92" s="396">
        <f t="shared" si="15"/>
        <v>19870.749019999999</v>
      </c>
      <c r="F92" s="401">
        <f t="shared" si="15"/>
        <v>0</v>
      </c>
      <c r="G92" s="401">
        <f t="shared" si="15"/>
        <v>0</v>
      </c>
      <c r="H92" s="401">
        <f t="shared" si="15"/>
        <v>0</v>
      </c>
      <c r="I92" s="401">
        <f t="shared" si="15"/>
        <v>0</v>
      </c>
      <c r="J92" s="401">
        <f t="shared" si="15"/>
        <v>0</v>
      </c>
      <c r="K92" s="401">
        <f t="shared" si="15"/>
        <v>0</v>
      </c>
      <c r="L92" s="401">
        <f t="shared" si="15"/>
        <v>0</v>
      </c>
      <c r="M92" s="401">
        <f t="shared" si="15"/>
        <v>112.1225</v>
      </c>
      <c r="N92" s="401">
        <f t="shared" si="15"/>
        <v>46133.85</v>
      </c>
      <c r="O92" s="401">
        <f t="shared" si="15"/>
        <v>5.3581199999999995</v>
      </c>
      <c r="P92" s="401">
        <f t="shared" si="15"/>
        <v>0</v>
      </c>
      <c r="Q92" s="401">
        <f t="shared" si="15"/>
        <v>0</v>
      </c>
      <c r="R92" s="401">
        <f t="shared" si="15"/>
        <v>2277.1526700000004</v>
      </c>
      <c r="S92" s="401">
        <f t="shared" si="15"/>
        <v>3653.6382899999999</v>
      </c>
      <c r="T92" s="398">
        <f t="shared" si="15"/>
        <v>0</v>
      </c>
      <c r="U92" s="398">
        <f t="shared" si="15"/>
        <v>0</v>
      </c>
      <c r="V92" s="396">
        <f t="shared" si="15"/>
        <v>0</v>
      </c>
      <c r="W92" s="401">
        <f t="shared" si="15"/>
        <v>0</v>
      </c>
      <c r="X92" s="398">
        <f t="shared" si="15"/>
        <v>0</v>
      </c>
      <c r="Y92" s="396">
        <f t="shared" si="15"/>
        <v>0</v>
      </c>
      <c r="Z92" s="401">
        <f t="shared" si="15"/>
        <v>0</v>
      </c>
      <c r="AA92" s="396">
        <f t="shared" si="15"/>
        <v>0</v>
      </c>
      <c r="AB92" s="401">
        <f t="shared" si="15"/>
        <v>0</v>
      </c>
      <c r="AC92" s="399">
        <f t="shared" si="15"/>
        <v>0</v>
      </c>
      <c r="AD92" s="400">
        <f t="shared" si="14"/>
        <v>72052.870599999995</v>
      </c>
    </row>
    <row r="93" spans="1:30" s="63" customFormat="1" ht="15" thickBot="1">
      <c r="A93" s="134"/>
      <c r="B93" s="174"/>
      <c r="C93" s="131"/>
      <c r="D93" s="75"/>
      <c r="E93" s="398"/>
      <c r="F93" s="408"/>
      <c r="G93" s="408"/>
      <c r="H93" s="408"/>
      <c r="I93" s="408"/>
      <c r="J93" s="408"/>
      <c r="K93" s="408"/>
      <c r="L93" s="408"/>
      <c r="M93" s="408"/>
      <c r="N93" s="408"/>
      <c r="O93" s="408"/>
      <c r="P93" s="408"/>
      <c r="Q93" s="408"/>
      <c r="R93" s="408"/>
      <c r="S93" s="408"/>
      <c r="T93" s="398"/>
      <c r="U93" s="398"/>
      <c r="V93" s="398"/>
      <c r="W93" s="408"/>
      <c r="X93" s="398"/>
      <c r="Y93" s="398"/>
      <c r="Z93" s="408"/>
      <c r="AA93" s="398"/>
      <c r="AB93" s="408"/>
      <c r="AC93" s="408"/>
      <c r="AD93" s="411"/>
    </row>
    <row r="94" spans="1:30" s="63" customFormat="1" ht="15.75" thickBot="1">
      <c r="A94" s="135" t="s">
        <v>374</v>
      </c>
      <c r="B94" s="179"/>
      <c r="C94" s="159">
        <f>SUM(C14,C20,C28,C37,C47,C53,C60,C72,C79,C92)</f>
        <v>0</v>
      </c>
      <c r="D94" s="162">
        <f t="shared" ref="D94:AC94" si="16">SUM(D14,D20,D28,D37,D47,D53,D60,D72,D79,D92)</f>
        <v>0</v>
      </c>
      <c r="E94" s="412">
        <f t="shared" si="16"/>
        <v>19870.749019999999</v>
      </c>
      <c r="F94" s="412">
        <f t="shared" si="16"/>
        <v>589.52578999999992</v>
      </c>
      <c r="G94" s="412">
        <f t="shared" si="16"/>
        <v>96.559250000000006</v>
      </c>
      <c r="H94" s="412">
        <f t="shared" si="16"/>
        <v>0</v>
      </c>
      <c r="I94" s="412">
        <f t="shared" si="16"/>
        <v>0</v>
      </c>
      <c r="J94" s="412">
        <f t="shared" si="16"/>
        <v>48.777030000000003</v>
      </c>
      <c r="K94" s="412">
        <f t="shared" si="16"/>
        <v>88.507949999999994</v>
      </c>
      <c r="L94" s="412">
        <f t="shared" si="16"/>
        <v>1509.9977100000003</v>
      </c>
      <c r="M94" s="412">
        <f t="shared" si="16"/>
        <v>7803.3645300000007</v>
      </c>
      <c r="N94" s="412">
        <f t="shared" si="16"/>
        <v>106558.33037000001</v>
      </c>
      <c r="O94" s="412">
        <f t="shared" si="16"/>
        <v>94.679789999999997</v>
      </c>
      <c r="P94" s="412">
        <f t="shared" si="16"/>
        <v>46.387999999999998</v>
      </c>
      <c r="Q94" s="412">
        <f t="shared" si="16"/>
        <v>889.78708999999992</v>
      </c>
      <c r="R94" s="412">
        <f t="shared" si="16"/>
        <v>2372.6503500000003</v>
      </c>
      <c r="S94" s="412">
        <f t="shared" si="16"/>
        <v>4065.1968699999998</v>
      </c>
      <c r="T94" s="413">
        <f t="shared" si="16"/>
        <v>0</v>
      </c>
      <c r="U94" s="414">
        <f t="shared" si="16"/>
        <v>0</v>
      </c>
      <c r="V94" s="414">
        <f t="shared" si="16"/>
        <v>0</v>
      </c>
      <c r="W94" s="412">
        <f t="shared" si="16"/>
        <v>0</v>
      </c>
      <c r="X94" s="414">
        <f t="shared" si="16"/>
        <v>0</v>
      </c>
      <c r="Y94" s="415">
        <f t="shared" si="16"/>
        <v>0</v>
      </c>
      <c r="Z94" s="412">
        <f t="shared" si="16"/>
        <v>0</v>
      </c>
      <c r="AA94" s="416">
        <f t="shared" si="16"/>
        <v>0</v>
      </c>
      <c r="AB94" s="412">
        <f t="shared" si="16"/>
        <v>0</v>
      </c>
      <c r="AC94" s="417">
        <f t="shared" si="16"/>
        <v>0</v>
      </c>
      <c r="AD94" s="418">
        <f>SUM(C94:AC94)</f>
        <v>144034.51375000004</v>
      </c>
    </row>
    <row r="95" spans="1:30" s="63" customFormat="1">
      <c r="A95" s="136"/>
      <c r="B95" s="175"/>
      <c r="C95" s="77"/>
      <c r="D95" s="77"/>
      <c r="E95" s="405"/>
      <c r="F95" s="405"/>
      <c r="G95" s="405"/>
      <c r="H95" s="405"/>
      <c r="I95" s="405"/>
      <c r="J95" s="405"/>
      <c r="K95" s="405"/>
      <c r="L95" s="405"/>
      <c r="M95" s="405"/>
      <c r="N95" s="405"/>
      <c r="O95" s="405"/>
      <c r="P95" s="405"/>
      <c r="Q95" s="405"/>
      <c r="R95" s="405"/>
      <c r="S95" s="405"/>
      <c r="T95" s="405"/>
      <c r="U95" s="405"/>
      <c r="V95" s="405"/>
      <c r="W95" s="405"/>
      <c r="X95" s="405"/>
      <c r="Y95" s="405"/>
      <c r="Z95" s="405"/>
      <c r="AA95" s="405"/>
      <c r="AB95" s="405"/>
      <c r="AC95" s="405"/>
      <c r="AD95" s="419"/>
    </row>
    <row r="96" spans="1:30" s="138" customFormat="1" ht="18">
      <c r="A96" s="461" t="s">
        <v>92</v>
      </c>
      <c r="B96" s="462"/>
      <c r="C96" s="161"/>
      <c r="D96" s="161"/>
      <c r="E96" s="420"/>
      <c r="F96" s="420"/>
      <c r="G96" s="420"/>
      <c r="H96" s="420"/>
      <c r="I96" s="420"/>
      <c r="J96" s="420"/>
      <c r="K96" s="420"/>
      <c r="L96" s="420"/>
      <c r="M96" s="420"/>
      <c r="N96" s="420"/>
      <c r="O96" s="420"/>
      <c r="P96" s="420"/>
      <c r="Q96" s="420"/>
      <c r="R96" s="420"/>
      <c r="S96" s="420"/>
      <c r="T96" s="420"/>
      <c r="U96" s="420"/>
      <c r="V96" s="420"/>
      <c r="W96" s="420"/>
      <c r="X96" s="420"/>
      <c r="Y96" s="420"/>
      <c r="Z96" s="420"/>
      <c r="AA96" s="420"/>
      <c r="AB96" s="420"/>
      <c r="AC96" s="420"/>
      <c r="AD96" s="421"/>
    </row>
    <row r="97" spans="1:30" s="63" customFormat="1">
      <c r="A97" s="128"/>
      <c r="B97" s="65"/>
      <c r="C97" s="75"/>
      <c r="D97" s="75"/>
      <c r="E97" s="398"/>
      <c r="F97" s="398"/>
      <c r="G97" s="398"/>
      <c r="H97" s="398"/>
      <c r="I97" s="398"/>
      <c r="J97" s="398"/>
      <c r="K97" s="398"/>
      <c r="L97" s="398"/>
      <c r="M97" s="405"/>
      <c r="N97" s="405"/>
      <c r="O97" s="405"/>
      <c r="P97" s="405"/>
      <c r="Q97" s="405"/>
      <c r="R97" s="405"/>
      <c r="S97" s="405"/>
      <c r="T97" s="398"/>
      <c r="U97" s="398"/>
      <c r="V97" s="398"/>
      <c r="W97" s="398"/>
      <c r="X97" s="398"/>
      <c r="Y97" s="398"/>
      <c r="Z97" s="405"/>
      <c r="AA97" s="398"/>
      <c r="AB97" s="405"/>
      <c r="AC97" s="405"/>
      <c r="AD97" s="419"/>
    </row>
    <row r="98" spans="1:30" s="63" customFormat="1">
      <c r="A98" s="139" t="s">
        <v>518</v>
      </c>
      <c r="B98" s="167" t="s">
        <v>93</v>
      </c>
      <c r="C98" s="76"/>
      <c r="D98" s="75"/>
      <c r="E98" s="398"/>
      <c r="F98" s="398"/>
      <c r="G98" s="398"/>
      <c r="H98" s="398"/>
      <c r="I98" s="398"/>
      <c r="J98" s="398"/>
      <c r="K98" s="398"/>
      <c r="L98" s="398"/>
      <c r="M98" s="397"/>
      <c r="N98" s="397"/>
      <c r="O98" s="397"/>
      <c r="P98" s="397"/>
      <c r="Q98" s="397"/>
      <c r="R98" s="397"/>
      <c r="S98" s="397"/>
      <c r="T98" s="398"/>
      <c r="U98" s="398"/>
      <c r="V98" s="398"/>
      <c r="W98" s="398"/>
      <c r="X98" s="398"/>
      <c r="Y98" s="398"/>
      <c r="Z98" s="397"/>
      <c r="AA98" s="398"/>
      <c r="AB98" s="397"/>
      <c r="AC98" s="399"/>
      <c r="AD98" s="400">
        <f>SUM(C98:AC98)</f>
        <v>0</v>
      </c>
    </row>
    <row r="99" spans="1:30" s="63" customFormat="1">
      <c r="A99" s="139" t="s">
        <v>519</v>
      </c>
      <c r="B99" s="167" t="s">
        <v>94</v>
      </c>
      <c r="C99" s="76"/>
      <c r="D99" s="75"/>
      <c r="E99" s="398"/>
      <c r="F99" s="402">
        <f>25280/1000</f>
        <v>25.28</v>
      </c>
      <c r="G99" s="402"/>
      <c r="H99" s="402"/>
      <c r="I99" s="402">
        <f>27500.1/1000</f>
        <v>27.5001</v>
      </c>
      <c r="J99" s="402">
        <f>11253/1000</f>
        <v>11.253</v>
      </c>
      <c r="K99" s="402"/>
      <c r="L99" s="402">
        <f>99.09/1000</f>
        <v>9.9089999999999998E-2</v>
      </c>
      <c r="M99" s="402"/>
      <c r="N99" s="402"/>
      <c r="O99" s="402">
        <f>7707.7/1000</f>
        <v>7.7077</v>
      </c>
      <c r="P99" s="402"/>
      <c r="Q99" s="402"/>
      <c r="R99" s="402"/>
      <c r="S99" s="402">
        <f>-32502.13/1000</f>
        <v>-32.502130000000001</v>
      </c>
      <c r="T99" s="398"/>
      <c r="U99" s="398"/>
      <c r="V99" s="398"/>
      <c r="W99" s="398"/>
      <c r="X99" s="398"/>
      <c r="Y99" s="398"/>
      <c r="Z99" s="402"/>
      <c r="AA99" s="398"/>
      <c r="AB99" s="402"/>
      <c r="AC99" s="399"/>
      <c r="AD99" s="400">
        <f>SUM(C99:AC99)</f>
        <v>39.33776000000001</v>
      </c>
    </row>
    <row r="100" spans="1:30" s="63" customFormat="1" ht="15">
      <c r="A100" s="115" t="s">
        <v>95</v>
      </c>
      <c r="B100" s="167"/>
      <c r="C100" s="74">
        <f>SUM(C98:C99)</f>
        <v>0</v>
      </c>
      <c r="D100" s="75">
        <f t="shared" ref="D100:AC100" si="17">SUM(D98:D99)</f>
        <v>0</v>
      </c>
      <c r="E100" s="396">
        <f t="shared" si="17"/>
        <v>0</v>
      </c>
      <c r="F100" s="401">
        <f t="shared" si="17"/>
        <v>25.28</v>
      </c>
      <c r="G100" s="401">
        <f t="shared" si="17"/>
        <v>0</v>
      </c>
      <c r="H100" s="401">
        <f t="shared" si="17"/>
        <v>0</v>
      </c>
      <c r="I100" s="401">
        <f t="shared" si="17"/>
        <v>27.5001</v>
      </c>
      <c r="J100" s="401">
        <f t="shared" si="17"/>
        <v>11.253</v>
      </c>
      <c r="K100" s="401">
        <f t="shared" si="17"/>
        <v>0</v>
      </c>
      <c r="L100" s="401">
        <f t="shared" si="17"/>
        <v>9.9089999999999998E-2</v>
      </c>
      <c r="M100" s="401">
        <f t="shared" si="17"/>
        <v>0</v>
      </c>
      <c r="N100" s="401">
        <f t="shared" si="17"/>
        <v>0</v>
      </c>
      <c r="O100" s="401">
        <f t="shared" si="17"/>
        <v>7.7077</v>
      </c>
      <c r="P100" s="401">
        <f t="shared" si="17"/>
        <v>0</v>
      </c>
      <c r="Q100" s="401">
        <f t="shared" si="17"/>
        <v>0</v>
      </c>
      <c r="R100" s="401">
        <f t="shared" si="17"/>
        <v>0</v>
      </c>
      <c r="S100" s="401">
        <f t="shared" si="17"/>
        <v>-32.502130000000001</v>
      </c>
      <c r="T100" s="409">
        <f t="shared" si="17"/>
        <v>0</v>
      </c>
      <c r="U100" s="398">
        <f t="shared" si="17"/>
        <v>0</v>
      </c>
      <c r="V100" s="398">
        <f t="shared" si="17"/>
        <v>0</v>
      </c>
      <c r="W100" s="398">
        <f t="shared" si="17"/>
        <v>0</v>
      </c>
      <c r="X100" s="398">
        <f t="shared" si="17"/>
        <v>0</v>
      </c>
      <c r="Y100" s="396">
        <f t="shared" si="17"/>
        <v>0</v>
      </c>
      <c r="Z100" s="401">
        <f t="shared" si="17"/>
        <v>0</v>
      </c>
      <c r="AA100" s="410">
        <f t="shared" si="17"/>
        <v>0</v>
      </c>
      <c r="AB100" s="401">
        <f t="shared" si="17"/>
        <v>0</v>
      </c>
      <c r="AC100" s="399">
        <f t="shared" si="17"/>
        <v>0</v>
      </c>
      <c r="AD100" s="400">
        <f>SUM(C100:AC100)</f>
        <v>39.33776000000001</v>
      </c>
    </row>
    <row r="101" spans="1:30" s="63" customFormat="1">
      <c r="A101" s="128"/>
      <c r="B101" s="65"/>
      <c r="C101" s="129"/>
      <c r="D101" s="77"/>
      <c r="E101" s="405"/>
      <c r="F101" s="406"/>
      <c r="G101" s="406"/>
      <c r="H101" s="406"/>
      <c r="I101" s="406"/>
      <c r="J101" s="406"/>
      <c r="K101" s="406"/>
      <c r="L101" s="406"/>
      <c r="M101" s="406"/>
      <c r="N101" s="406"/>
      <c r="O101" s="406"/>
      <c r="P101" s="406"/>
      <c r="Q101" s="406"/>
      <c r="R101" s="406"/>
      <c r="S101" s="406"/>
      <c r="T101" s="405"/>
      <c r="U101" s="405"/>
      <c r="V101" s="405"/>
      <c r="W101" s="405"/>
      <c r="X101" s="405"/>
      <c r="Y101" s="405"/>
      <c r="Z101" s="406"/>
      <c r="AA101" s="405"/>
      <c r="AB101" s="406"/>
      <c r="AC101" s="406"/>
      <c r="AD101" s="407"/>
    </row>
    <row r="102" spans="1:30" s="138" customFormat="1" ht="18">
      <c r="A102" s="461" t="s">
        <v>96</v>
      </c>
      <c r="B102" s="462"/>
      <c r="C102" s="161"/>
      <c r="D102" s="161"/>
      <c r="E102" s="420"/>
      <c r="F102" s="420"/>
      <c r="G102" s="420"/>
      <c r="H102" s="420"/>
      <c r="I102" s="420"/>
      <c r="J102" s="420"/>
      <c r="K102" s="420"/>
      <c r="L102" s="420"/>
      <c r="M102" s="420"/>
      <c r="N102" s="420"/>
      <c r="O102" s="420"/>
      <c r="P102" s="420"/>
      <c r="Q102" s="420"/>
      <c r="R102" s="420"/>
      <c r="S102" s="420"/>
      <c r="T102" s="420"/>
      <c r="U102" s="420"/>
      <c r="V102" s="420"/>
      <c r="W102" s="420"/>
      <c r="X102" s="420"/>
      <c r="Y102" s="420"/>
      <c r="Z102" s="420"/>
      <c r="AA102" s="420"/>
      <c r="AB102" s="420"/>
      <c r="AC102" s="420"/>
      <c r="AD102" s="421"/>
    </row>
    <row r="103" spans="1:30" s="63" customFormat="1">
      <c r="A103" s="128"/>
      <c r="B103" s="65"/>
      <c r="C103" s="77"/>
      <c r="D103" s="77"/>
      <c r="E103" s="405"/>
      <c r="F103" s="405"/>
      <c r="G103" s="405"/>
      <c r="H103" s="405"/>
      <c r="I103" s="405"/>
      <c r="J103" s="405"/>
      <c r="K103" s="405"/>
      <c r="L103" s="405"/>
      <c r="M103" s="405"/>
      <c r="N103" s="405"/>
      <c r="O103" s="405"/>
      <c r="P103" s="405"/>
      <c r="Q103" s="405"/>
      <c r="R103" s="405"/>
      <c r="S103" s="405"/>
      <c r="T103" s="405"/>
      <c r="U103" s="405"/>
      <c r="V103" s="405"/>
      <c r="W103" s="405"/>
      <c r="X103" s="405"/>
      <c r="Y103" s="405"/>
      <c r="Z103" s="405"/>
      <c r="AA103" s="405"/>
      <c r="AB103" s="405"/>
      <c r="AC103" s="405"/>
      <c r="AD103" s="419"/>
    </row>
    <row r="104" spans="1:30" s="79" customFormat="1" ht="15">
      <c r="A104" s="479" t="s">
        <v>97</v>
      </c>
      <c r="B104" s="480"/>
      <c r="C104" s="129"/>
      <c r="D104" s="131"/>
      <c r="E104" s="408"/>
      <c r="F104" s="406"/>
      <c r="G104" s="406"/>
      <c r="H104" s="406"/>
      <c r="I104" s="406"/>
      <c r="J104" s="406"/>
      <c r="K104" s="406"/>
      <c r="L104" s="406"/>
      <c r="M104" s="406"/>
      <c r="N104" s="406"/>
      <c r="O104" s="406"/>
      <c r="P104" s="406"/>
      <c r="Q104" s="406"/>
      <c r="R104" s="406"/>
      <c r="S104" s="406"/>
      <c r="T104" s="408"/>
      <c r="U104" s="408"/>
      <c r="V104" s="408"/>
      <c r="W104" s="408"/>
      <c r="X104" s="408"/>
      <c r="Y104" s="408"/>
      <c r="Z104" s="408"/>
      <c r="AA104" s="408"/>
      <c r="AB104" s="406"/>
      <c r="AC104" s="405"/>
      <c r="AD104" s="419"/>
    </row>
    <row r="105" spans="1:30" s="79" customFormat="1" ht="15">
      <c r="A105" s="67" t="s">
        <v>98</v>
      </c>
      <c r="B105" s="68" t="s">
        <v>99</v>
      </c>
      <c r="C105" s="78"/>
      <c r="D105" s="75"/>
      <c r="E105" s="398"/>
      <c r="F105" s="397"/>
      <c r="G105" s="397"/>
      <c r="H105" s="397"/>
      <c r="I105" s="397"/>
      <c r="J105" s="397"/>
      <c r="K105" s="397"/>
      <c r="L105" s="397"/>
      <c r="M105" s="397"/>
      <c r="N105" s="397"/>
      <c r="O105" s="397"/>
      <c r="P105" s="397"/>
      <c r="Q105" s="397"/>
      <c r="R105" s="397"/>
      <c r="S105" s="397"/>
      <c r="T105" s="398"/>
      <c r="U105" s="398"/>
      <c r="V105" s="401"/>
      <c r="W105" s="398"/>
      <c r="X105" s="398"/>
      <c r="Y105" s="398"/>
      <c r="Z105" s="398"/>
      <c r="AA105" s="398"/>
      <c r="AB105" s="397"/>
      <c r="AC105" s="422"/>
      <c r="AD105" s="400">
        <f t="shared" ref="AD105:AD123" si="18">SUM(C105:AC105)</f>
        <v>0</v>
      </c>
    </row>
    <row r="106" spans="1:30" s="79" customFormat="1" ht="15">
      <c r="A106" s="67" t="s">
        <v>100</v>
      </c>
      <c r="B106" s="68" t="s">
        <v>101</v>
      </c>
      <c r="C106" s="74"/>
      <c r="D106" s="75"/>
      <c r="E106" s="398"/>
      <c r="F106" s="401"/>
      <c r="G106" s="401"/>
      <c r="H106" s="401"/>
      <c r="I106" s="401"/>
      <c r="J106" s="401"/>
      <c r="K106" s="401"/>
      <c r="L106" s="401"/>
      <c r="M106" s="401"/>
      <c r="N106" s="401"/>
      <c r="O106" s="401"/>
      <c r="P106" s="401"/>
      <c r="Q106" s="401"/>
      <c r="R106" s="401"/>
      <c r="S106" s="401"/>
      <c r="T106" s="398"/>
      <c r="U106" s="398"/>
      <c r="V106" s="398"/>
      <c r="W106" s="398"/>
      <c r="X106" s="398"/>
      <c r="Y106" s="398"/>
      <c r="Z106" s="398"/>
      <c r="AA106" s="398"/>
      <c r="AB106" s="401"/>
      <c r="AC106" s="399"/>
      <c r="AD106" s="400">
        <f t="shared" si="18"/>
        <v>0</v>
      </c>
    </row>
    <row r="107" spans="1:30" s="79" customFormat="1" ht="15">
      <c r="A107" s="67" t="s">
        <v>102</v>
      </c>
      <c r="B107" s="68" t="s">
        <v>103</v>
      </c>
      <c r="C107" s="74"/>
      <c r="D107" s="75"/>
      <c r="E107" s="398"/>
      <c r="F107" s="401"/>
      <c r="G107" s="401"/>
      <c r="H107" s="401"/>
      <c r="I107" s="401"/>
      <c r="J107" s="401"/>
      <c r="K107" s="401"/>
      <c r="L107" s="401"/>
      <c r="M107" s="401"/>
      <c r="N107" s="401"/>
      <c r="O107" s="401"/>
      <c r="P107" s="401"/>
      <c r="Q107" s="401"/>
      <c r="R107" s="401"/>
      <c r="S107" s="401"/>
      <c r="T107" s="398"/>
      <c r="U107" s="398"/>
      <c r="V107" s="398"/>
      <c r="W107" s="398"/>
      <c r="X107" s="398"/>
      <c r="Y107" s="398"/>
      <c r="Z107" s="398"/>
      <c r="AA107" s="398"/>
      <c r="AB107" s="401"/>
      <c r="AC107" s="399"/>
      <c r="AD107" s="400">
        <f t="shared" si="18"/>
        <v>0</v>
      </c>
    </row>
    <row r="108" spans="1:30" s="79" customFormat="1" ht="15">
      <c r="A108" s="67" t="s">
        <v>104</v>
      </c>
      <c r="B108" s="68" t="s">
        <v>105</v>
      </c>
      <c r="C108" s="74"/>
      <c r="D108" s="75"/>
      <c r="E108" s="398"/>
      <c r="F108" s="401"/>
      <c r="G108" s="401"/>
      <c r="H108" s="401"/>
      <c r="I108" s="401"/>
      <c r="J108" s="401"/>
      <c r="K108" s="401"/>
      <c r="L108" s="401"/>
      <c r="M108" s="401"/>
      <c r="N108" s="401"/>
      <c r="O108" s="401"/>
      <c r="P108" s="401"/>
      <c r="Q108" s="401"/>
      <c r="R108" s="401"/>
      <c r="S108" s="401"/>
      <c r="T108" s="398"/>
      <c r="U108" s="398"/>
      <c r="V108" s="398"/>
      <c r="W108" s="398"/>
      <c r="X108" s="398"/>
      <c r="Y108" s="398"/>
      <c r="Z108" s="398"/>
      <c r="AA108" s="398"/>
      <c r="AB108" s="401"/>
      <c r="AC108" s="399"/>
      <c r="AD108" s="400">
        <f t="shared" si="18"/>
        <v>0</v>
      </c>
    </row>
    <row r="109" spans="1:30" s="79" customFormat="1" ht="15">
      <c r="A109" s="67" t="s">
        <v>106</v>
      </c>
      <c r="B109" s="68" t="s">
        <v>107</v>
      </c>
      <c r="C109" s="74"/>
      <c r="D109" s="75"/>
      <c r="E109" s="398"/>
      <c r="F109" s="401"/>
      <c r="G109" s="401"/>
      <c r="H109" s="401"/>
      <c r="I109" s="401"/>
      <c r="J109" s="401"/>
      <c r="K109" s="401"/>
      <c r="L109" s="401"/>
      <c r="M109" s="401"/>
      <c r="N109" s="401"/>
      <c r="O109" s="401"/>
      <c r="P109" s="401"/>
      <c r="Q109" s="401"/>
      <c r="R109" s="401"/>
      <c r="S109" s="401"/>
      <c r="T109" s="398"/>
      <c r="U109" s="398"/>
      <c r="V109" s="398"/>
      <c r="W109" s="398"/>
      <c r="X109" s="398"/>
      <c r="Y109" s="398"/>
      <c r="Z109" s="398"/>
      <c r="AA109" s="398"/>
      <c r="AB109" s="401"/>
      <c r="AC109" s="399"/>
      <c r="AD109" s="400">
        <f t="shared" si="18"/>
        <v>0</v>
      </c>
    </row>
    <row r="110" spans="1:30" s="79" customFormat="1" ht="15">
      <c r="A110" s="67" t="s">
        <v>108</v>
      </c>
      <c r="B110" s="68" t="s">
        <v>109</v>
      </c>
      <c r="C110" s="74"/>
      <c r="D110" s="75"/>
      <c r="E110" s="398"/>
      <c r="F110" s="401"/>
      <c r="G110" s="401">
        <f>565584.75/1000</f>
        <v>565.58474999999999</v>
      </c>
      <c r="H110" s="401"/>
      <c r="I110" s="401"/>
      <c r="J110" s="401">
        <f>3600/1000</f>
        <v>3.6</v>
      </c>
      <c r="K110" s="401">
        <f>13286/1000</f>
        <v>13.286</v>
      </c>
      <c r="L110" s="401">
        <f>97/1000</f>
        <v>9.7000000000000003E-2</v>
      </c>
      <c r="M110" s="401"/>
      <c r="N110" s="401">
        <f>-120000/1000</f>
        <v>-120</v>
      </c>
      <c r="O110" s="401">
        <f>8710/1000</f>
        <v>8.7100000000000009</v>
      </c>
      <c r="P110" s="401">
        <f>1155000/1000</f>
        <v>1155</v>
      </c>
      <c r="Q110" s="401"/>
      <c r="R110" s="401"/>
      <c r="S110" s="401">
        <f>359373.93/1000</f>
        <v>359.37392999999997</v>
      </c>
      <c r="T110" s="398"/>
      <c r="U110" s="398"/>
      <c r="V110" s="398"/>
      <c r="W110" s="398"/>
      <c r="X110" s="398"/>
      <c r="Y110" s="398"/>
      <c r="Z110" s="398"/>
      <c r="AA110" s="398"/>
      <c r="AB110" s="401"/>
      <c r="AC110" s="399"/>
      <c r="AD110" s="400">
        <f t="shared" si="18"/>
        <v>1985.6516799999999</v>
      </c>
    </row>
    <row r="111" spans="1:30" s="79" customFormat="1" ht="15">
      <c r="A111" s="67" t="s">
        <v>110</v>
      </c>
      <c r="B111" s="68" t="s">
        <v>111</v>
      </c>
      <c r="C111" s="74"/>
      <c r="D111" s="75"/>
      <c r="E111" s="398"/>
      <c r="F111" s="401"/>
      <c r="G111" s="401"/>
      <c r="H111" s="401"/>
      <c r="I111" s="401"/>
      <c r="J111" s="401"/>
      <c r="K111" s="401"/>
      <c r="L111" s="401"/>
      <c r="M111" s="401"/>
      <c r="N111" s="401"/>
      <c r="O111" s="401"/>
      <c r="P111" s="401"/>
      <c r="Q111" s="401"/>
      <c r="R111" s="401"/>
      <c r="S111" s="401"/>
      <c r="T111" s="398"/>
      <c r="U111" s="398"/>
      <c r="V111" s="398"/>
      <c r="W111" s="398"/>
      <c r="X111" s="398"/>
      <c r="Y111" s="398"/>
      <c r="Z111" s="398"/>
      <c r="AA111" s="398"/>
      <c r="AB111" s="401"/>
      <c r="AC111" s="399"/>
      <c r="AD111" s="400">
        <f t="shared" si="18"/>
        <v>0</v>
      </c>
    </row>
    <row r="112" spans="1:30" s="79" customFormat="1" ht="15">
      <c r="A112" s="67" t="s">
        <v>112</v>
      </c>
      <c r="B112" s="68" t="s">
        <v>113</v>
      </c>
      <c r="C112" s="74"/>
      <c r="D112" s="75"/>
      <c r="E112" s="398"/>
      <c r="F112" s="401"/>
      <c r="G112" s="401"/>
      <c r="H112" s="401"/>
      <c r="I112" s="401"/>
      <c r="J112" s="401"/>
      <c r="K112" s="401"/>
      <c r="L112" s="401"/>
      <c r="M112" s="401"/>
      <c r="N112" s="401"/>
      <c r="O112" s="401"/>
      <c r="P112" s="401"/>
      <c r="Q112" s="401"/>
      <c r="R112" s="401"/>
      <c r="S112" s="401"/>
      <c r="T112" s="398"/>
      <c r="U112" s="398"/>
      <c r="V112" s="398"/>
      <c r="W112" s="398"/>
      <c r="X112" s="398"/>
      <c r="Y112" s="398"/>
      <c r="Z112" s="398"/>
      <c r="AA112" s="398"/>
      <c r="AB112" s="401"/>
      <c r="AC112" s="399"/>
      <c r="AD112" s="400">
        <f t="shared" si="18"/>
        <v>0</v>
      </c>
    </row>
    <row r="113" spans="1:30" s="79" customFormat="1" ht="15">
      <c r="A113" s="67" t="s">
        <v>114</v>
      </c>
      <c r="B113" s="68" t="s">
        <v>115</v>
      </c>
      <c r="C113" s="74"/>
      <c r="D113" s="75"/>
      <c r="E113" s="398"/>
      <c r="F113" s="401"/>
      <c r="G113" s="401">
        <f>1407/1000</f>
        <v>1.407</v>
      </c>
      <c r="H113" s="401"/>
      <c r="I113" s="401"/>
      <c r="J113" s="401"/>
      <c r="K113" s="401"/>
      <c r="L113" s="401"/>
      <c r="M113" s="401"/>
      <c r="N113" s="401"/>
      <c r="O113" s="401"/>
      <c r="P113" s="401"/>
      <c r="Q113" s="401"/>
      <c r="R113" s="401"/>
      <c r="S113" s="401"/>
      <c r="T113" s="398"/>
      <c r="U113" s="398"/>
      <c r="V113" s="398"/>
      <c r="W113" s="398"/>
      <c r="X113" s="398"/>
      <c r="Y113" s="398"/>
      <c r="Z113" s="398"/>
      <c r="AA113" s="398"/>
      <c r="AB113" s="401"/>
      <c r="AC113" s="399"/>
      <c r="AD113" s="400">
        <f t="shared" si="18"/>
        <v>1.407</v>
      </c>
    </row>
    <row r="114" spans="1:30" s="79" customFormat="1" ht="15">
      <c r="A114" s="67" t="s">
        <v>116</v>
      </c>
      <c r="B114" s="68" t="s">
        <v>117</v>
      </c>
      <c r="C114" s="74"/>
      <c r="D114" s="75"/>
      <c r="E114" s="398"/>
      <c r="F114" s="398"/>
      <c r="G114" s="398"/>
      <c r="H114" s="398"/>
      <c r="I114" s="398"/>
      <c r="J114" s="398"/>
      <c r="K114" s="398"/>
      <c r="L114" s="398"/>
      <c r="M114" s="398"/>
      <c r="N114" s="398"/>
      <c r="O114" s="398"/>
      <c r="P114" s="398"/>
      <c r="Q114" s="398"/>
      <c r="R114" s="398"/>
      <c r="S114" s="398"/>
      <c r="T114" s="398"/>
      <c r="U114" s="398"/>
      <c r="V114" s="398"/>
      <c r="W114" s="401"/>
      <c r="X114" s="398"/>
      <c r="Y114" s="398"/>
      <c r="Z114" s="401"/>
      <c r="AA114" s="398"/>
      <c r="AB114" s="398"/>
      <c r="AC114" s="408"/>
      <c r="AD114" s="400">
        <f t="shared" si="18"/>
        <v>0</v>
      </c>
    </row>
    <row r="115" spans="1:30" s="79" customFormat="1" ht="15">
      <c r="A115" s="67" t="s">
        <v>118</v>
      </c>
      <c r="B115" s="68" t="s">
        <v>119</v>
      </c>
      <c r="C115" s="74"/>
      <c r="D115" s="75"/>
      <c r="E115" s="398"/>
      <c r="F115" s="398"/>
      <c r="G115" s="398"/>
      <c r="H115" s="398"/>
      <c r="I115" s="398"/>
      <c r="J115" s="398"/>
      <c r="K115" s="398"/>
      <c r="L115" s="398"/>
      <c r="M115" s="398"/>
      <c r="N115" s="398"/>
      <c r="O115" s="398"/>
      <c r="P115" s="398"/>
      <c r="Q115" s="398"/>
      <c r="R115" s="398"/>
      <c r="S115" s="398"/>
      <c r="T115" s="398"/>
      <c r="U115" s="398"/>
      <c r="V115" s="398"/>
      <c r="W115" s="401"/>
      <c r="X115" s="398"/>
      <c r="Y115" s="401"/>
      <c r="Z115" s="398"/>
      <c r="AA115" s="398"/>
      <c r="AB115" s="398"/>
      <c r="AC115" s="398"/>
      <c r="AD115" s="400">
        <f t="shared" si="18"/>
        <v>0</v>
      </c>
    </row>
    <row r="116" spans="1:30" s="79" customFormat="1" ht="15">
      <c r="A116" s="67" t="s">
        <v>120</v>
      </c>
      <c r="B116" s="68" t="s">
        <v>121</v>
      </c>
      <c r="C116" s="74"/>
      <c r="D116" s="75"/>
      <c r="E116" s="398"/>
      <c r="F116" s="398"/>
      <c r="G116" s="398"/>
      <c r="H116" s="398"/>
      <c r="I116" s="398"/>
      <c r="J116" s="398"/>
      <c r="K116" s="398"/>
      <c r="L116" s="398"/>
      <c r="M116" s="398"/>
      <c r="N116" s="398"/>
      <c r="O116" s="398"/>
      <c r="P116" s="398"/>
      <c r="Q116" s="398"/>
      <c r="R116" s="398"/>
      <c r="S116" s="398"/>
      <c r="T116" s="398"/>
      <c r="U116" s="398"/>
      <c r="V116" s="398"/>
      <c r="W116" s="401"/>
      <c r="X116" s="398"/>
      <c r="Y116" s="401"/>
      <c r="Z116" s="401"/>
      <c r="AA116" s="398"/>
      <c r="AB116" s="398"/>
      <c r="AC116" s="398"/>
      <c r="AD116" s="400">
        <f t="shared" si="18"/>
        <v>0</v>
      </c>
    </row>
    <row r="117" spans="1:30" s="79" customFormat="1" ht="15">
      <c r="A117" s="67" t="s">
        <v>122</v>
      </c>
      <c r="B117" s="68" t="s">
        <v>123</v>
      </c>
      <c r="C117" s="74"/>
      <c r="D117" s="75"/>
      <c r="E117" s="398"/>
      <c r="F117" s="398"/>
      <c r="G117" s="398"/>
      <c r="H117" s="398"/>
      <c r="I117" s="398"/>
      <c r="J117" s="398"/>
      <c r="K117" s="398"/>
      <c r="L117" s="398"/>
      <c r="M117" s="398"/>
      <c r="N117" s="398"/>
      <c r="O117" s="398"/>
      <c r="P117" s="398"/>
      <c r="Q117" s="398"/>
      <c r="R117" s="398"/>
      <c r="S117" s="398"/>
      <c r="T117" s="398"/>
      <c r="U117" s="398"/>
      <c r="V117" s="398"/>
      <c r="W117" s="398"/>
      <c r="X117" s="398"/>
      <c r="Y117" s="398"/>
      <c r="Z117" s="398"/>
      <c r="AA117" s="398"/>
      <c r="AB117" s="398"/>
      <c r="AC117" s="398"/>
      <c r="AD117" s="400">
        <f t="shared" si="18"/>
        <v>0</v>
      </c>
    </row>
    <row r="118" spans="1:30" s="79" customFormat="1" ht="15">
      <c r="A118" s="67" t="s">
        <v>124</v>
      </c>
      <c r="B118" s="68" t="s">
        <v>125</v>
      </c>
      <c r="C118" s="74"/>
      <c r="D118" s="75"/>
      <c r="E118" s="398"/>
      <c r="F118" s="398"/>
      <c r="G118" s="398"/>
      <c r="H118" s="398"/>
      <c r="I118" s="398"/>
      <c r="J118" s="398"/>
      <c r="K118" s="398"/>
      <c r="L118" s="398"/>
      <c r="M118" s="398"/>
      <c r="N118" s="398"/>
      <c r="O118" s="398"/>
      <c r="P118" s="398"/>
      <c r="Q118" s="398"/>
      <c r="R118" s="398"/>
      <c r="S118" s="398"/>
      <c r="T118" s="398"/>
      <c r="U118" s="398"/>
      <c r="V118" s="398"/>
      <c r="W118" s="401"/>
      <c r="X118" s="401"/>
      <c r="Y118" s="401"/>
      <c r="Z118" s="401"/>
      <c r="AA118" s="398"/>
      <c r="AB118" s="398"/>
      <c r="AC118" s="398"/>
      <c r="AD118" s="400">
        <f t="shared" si="18"/>
        <v>0</v>
      </c>
    </row>
    <row r="119" spans="1:30" s="79" customFormat="1" ht="15">
      <c r="A119" s="67" t="s">
        <v>126</v>
      </c>
      <c r="B119" s="68" t="s">
        <v>127</v>
      </c>
      <c r="C119" s="74"/>
      <c r="D119" s="75"/>
      <c r="E119" s="398"/>
      <c r="F119" s="398"/>
      <c r="G119" s="398"/>
      <c r="H119" s="398"/>
      <c r="I119" s="398"/>
      <c r="J119" s="398"/>
      <c r="K119" s="398"/>
      <c r="L119" s="398"/>
      <c r="M119" s="398"/>
      <c r="N119" s="398"/>
      <c r="O119" s="398"/>
      <c r="P119" s="398"/>
      <c r="Q119" s="398"/>
      <c r="R119" s="398"/>
      <c r="S119" s="398"/>
      <c r="T119" s="398"/>
      <c r="U119" s="398"/>
      <c r="V119" s="398"/>
      <c r="W119" s="401"/>
      <c r="X119" s="401"/>
      <c r="Y119" s="401"/>
      <c r="Z119" s="398"/>
      <c r="AA119" s="398"/>
      <c r="AB119" s="398"/>
      <c r="AC119" s="398"/>
      <c r="AD119" s="400">
        <f t="shared" si="18"/>
        <v>0</v>
      </c>
    </row>
    <row r="120" spans="1:30" s="79" customFormat="1" ht="15">
      <c r="A120" s="67" t="s">
        <v>128</v>
      </c>
      <c r="B120" s="68" t="s">
        <v>129</v>
      </c>
      <c r="C120" s="74"/>
      <c r="D120" s="75"/>
      <c r="E120" s="398"/>
      <c r="F120" s="398"/>
      <c r="G120" s="398"/>
      <c r="H120" s="398"/>
      <c r="I120" s="398"/>
      <c r="J120" s="398"/>
      <c r="K120" s="398"/>
      <c r="L120" s="398"/>
      <c r="M120" s="398"/>
      <c r="N120" s="398"/>
      <c r="O120" s="398"/>
      <c r="P120" s="398"/>
      <c r="Q120" s="398"/>
      <c r="R120" s="398"/>
      <c r="S120" s="398"/>
      <c r="T120" s="398"/>
      <c r="U120" s="398"/>
      <c r="V120" s="398"/>
      <c r="W120" s="401"/>
      <c r="X120" s="398"/>
      <c r="Y120" s="401">
        <f>727678.32/1000</f>
        <v>727.67831999999999</v>
      </c>
      <c r="Z120" s="398"/>
      <c r="AA120" s="398"/>
      <c r="AB120" s="398"/>
      <c r="AC120" s="398"/>
      <c r="AD120" s="400">
        <f t="shared" si="18"/>
        <v>727.67831999999999</v>
      </c>
    </row>
    <row r="121" spans="1:30" s="79" customFormat="1" ht="15">
      <c r="A121" s="67" t="s">
        <v>130</v>
      </c>
      <c r="B121" s="68" t="s">
        <v>131</v>
      </c>
      <c r="C121" s="74"/>
      <c r="D121" s="75"/>
      <c r="E121" s="398"/>
      <c r="F121" s="398"/>
      <c r="G121" s="398"/>
      <c r="H121" s="398"/>
      <c r="I121" s="398"/>
      <c r="J121" s="398"/>
      <c r="K121" s="398"/>
      <c r="L121" s="398"/>
      <c r="M121" s="398"/>
      <c r="N121" s="398"/>
      <c r="O121" s="398"/>
      <c r="P121" s="398"/>
      <c r="Q121" s="398"/>
      <c r="R121" s="398"/>
      <c r="S121" s="398"/>
      <c r="T121" s="398"/>
      <c r="U121" s="398"/>
      <c r="V121" s="401">
        <f>150000000/1000</f>
        <v>150000</v>
      </c>
      <c r="W121" s="401"/>
      <c r="X121" s="398"/>
      <c r="Y121" s="398"/>
      <c r="Z121" s="398"/>
      <c r="AA121" s="398"/>
      <c r="AB121" s="398"/>
      <c r="AC121" s="405"/>
      <c r="AD121" s="400">
        <f t="shared" si="18"/>
        <v>150000</v>
      </c>
    </row>
    <row r="122" spans="1:30" s="79" customFormat="1" ht="15">
      <c r="A122" s="67" t="s">
        <v>132</v>
      </c>
      <c r="B122" s="68" t="s">
        <v>133</v>
      </c>
      <c r="C122" s="76"/>
      <c r="D122" s="75"/>
      <c r="E122" s="398"/>
      <c r="F122" s="402"/>
      <c r="G122" s="402"/>
      <c r="H122" s="402"/>
      <c r="I122" s="402"/>
      <c r="J122" s="402"/>
      <c r="K122" s="402"/>
      <c r="L122" s="402"/>
      <c r="M122" s="402"/>
      <c r="N122" s="402"/>
      <c r="O122" s="402"/>
      <c r="P122" s="402"/>
      <c r="Q122" s="402"/>
      <c r="R122" s="402"/>
      <c r="S122" s="402"/>
      <c r="T122" s="398"/>
      <c r="U122" s="398"/>
      <c r="V122" s="398"/>
      <c r="W122" s="398"/>
      <c r="X122" s="398"/>
      <c r="Y122" s="398"/>
      <c r="Z122" s="398"/>
      <c r="AA122" s="398"/>
      <c r="AB122" s="402"/>
      <c r="AC122" s="399"/>
      <c r="AD122" s="400">
        <f t="shared" si="18"/>
        <v>0</v>
      </c>
    </row>
    <row r="123" spans="1:30" s="63" customFormat="1" ht="15.75">
      <c r="A123" s="481" t="s">
        <v>134</v>
      </c>
      <c r="B123" s="482"/>
      <c r="C123" s="74">
        <f>SUM(C105:C122)</f>
        <v>0</v>
      </c>
      <c r="D123" s="75">
        <f t="shared" ref="D123:AC123" si="19">SUM(D105:D122)</f>
        <v>0</v>
      </c>
      <c r="E123" s="396">
        <f t="shared" si="19"/>
        <v>0</v>
      </c>
      <c r="F123" s="401">
        <f t="shared" si="19"/>
        <v>0</v>
      </c>
      <c r="G123" s="401">
        <f t="shared" si="19"/>
        <v>566.99175000000002</v>
      </c>
      <c r="H123" s="401">
        <f t="shared" si="19"/>
        <v>0</v>
      </c>
      <c r="I123" s="401">
        <f t="shared" si="19"/>
        <v>0</v>
      </c>
      <c r="J123" s="401">
        <f t="shared" si="19"/>
        <v>3.6</v>
      </c>
      <c r="K123" s="401">
        <f t="shared" si="19"/>
        <v>13.286</v>
      </c>
      <c r="L123" s="401">
        <f t="shared" si="19"/>
        <v>9.7000000000000003E-2</v>
      </c>
      <c r="M123" s="401">
        <f t="shared" si="19"/>
        <v>0</v>
      </c>
      <c r="N123" s="401">
        <f t="shared" si="19"/>
        <v>-120</v>
      </c>
      <c r="O123" s="401">
        <f t="shared" si="19"/>
        <v>8.7100000000000009</v>
      </c>
      <c r="P123" s="401">
        <f t="shared" si="19"/>
        <v>1155</v>
      </c>
      <c r="Q123" s="401">
        <f t="shared" si="19"/>
        <v>0</v>
      </c>
      <c r="R123" s="401">
        <f t="shared" si="19"/>
        <v>0</v>
      </c>
      <c r="S123" s="401">
        <f t="shared" si="19"/>
        <v>359.37392999999997</v>
      </c>
      <c r="T123" s="398">
        <f t="shared" si="19"/>
        <v>0</v>
      </c>
      <c r="U123" s="396">
        <f t="shared" si="19"/>
        <v>0</v>
      </c>
      <c r="V123" s="401">
        <f t="shared" si="19"/>
        <v>150000</v>
      </c>
      <c r="W123" s="401">
        <f t="shared" si="19"/>
        <v>0</v>
      </c>
      <c r="X123" s="401">
        <f t="shared" si="19"/>
        <v>0</v>
      </c>
      <c r="Y123" s="401">
        <f t="shared" si="19"/>
        <v>727.67831999999999</v>
      </c>
      <c r="Z123" s="401">
        <f t="shared" si="19"/>
        <v>0</v>
      </c>
      <c r="AA123" s="396">
        <f t="shared" si="19"/>
        <v>0</v>
      </c>
      <c r="AB123" s="401">
        <f t="shared" si="19"/>
        <v>0</v>
      </c>
      <c r="AC123" s="399">
        <f t="shared" si="19"/>
        <v>0</v>
      </c>
      <c r="AD123" s="400">
        <f t="shared" si="18"/>
        <v>152714.73699999999</v>
      </c>
    </row>
    <row r="124" spans="1:30" s="63" customFormat="1" ht="15">
      <c r="A124" s="64"/>
      <c r="B124" s="65"/>
      <c r="C124" s="129"/>
      <c r="D124" s="77"/>
      <c r="E124" s="405"/>
      <c r="F124" s="406"/>
      <c r="G124" s="406"/>
      <c r="H124" s="406"/>
      <c r="I124" s="406"/>
      <c r="J124" s="406"/>
      <c r="K124" s="406"/>
      <c r="L124" s="406"/>
      <c r="M124" s="406"/>
      <c r="N124" s="406"/>
      <c r="O124" s="406"/>
      <c r="P124" s="406"/>
      <c r="Q124" s="406"/>
      <c r="R124" s="406"/>
      <c r="S124" s="406"/>
      <c r="T124" s="405"/>
      <c r="U124" s="405"/>
      <c r="V124" s="406"/>
      <c r="W124" s="406"/>
      <c r="X124" s="406"/>
      <c r="Y124" s="406"/>
      <c r="Z124" s="406"/>
      <c r="AA124" s="405"/>
      <c r="AB124" s="406"/>
      <c r="AC124" s="406"/>
      <c r="AD124" s="407"/>
    </row>
    <row r="125" spans="1:30" s="63" customFormat="1" ht="15">
      <c r="A125" s="479" t="s">
        <v>135</v>
      </c>
      <c r="B125" s="480"/>
      <c r="C125" s="131"/>
      <c r="D125" s="131"/>
      <c r="E125" s="408"/>
      <c r="F125" s="408"/>
      <c r="G125" s="408"/>
      <c r="H125" s="408"/>
      <c r="I125" s="408"/>
      <c r="J125" s="408"/>
      <c r="K125" s="408"/>
      <c r="L125" s="408"/>
      <c r="M125" s="408"/>
      <c r="N125" s="408"/>
      <c r="O125" s="408"/>
      <c r="P125" s="408"/>
      <c r="Q125" s="408"/>
      <c r="R125" s="408"/>
      <c r="S125" s="408"/>
      <c r="T125" s="408"/>
      <c r="U125" s="408"/>
      <c r="V125" s="408"/>
      <c r="W125" s="408"/>
      <c r="X125" s="408"/>
      <c r="Y125" s="408"/>
      <c r="Z125" s="408"/>
      <c r="AA125" s="408"/>
      <c r="AB125" s="408"/>
      <c r="AC125" s="408"/>
      <c r="AD125" s="407"/>
    </row>
    <row r="126" spans="1:30" s="79" customFormat="1" ht="15">
      <c r="A126" s="67" t="s">
        <v>136</v>
      </c>
      <c r="B126" s="68" t="s">
        <v>137</v>
      </c>
      <c r="C126" s="74"/>
      <c r="D126" s="75"/>
      <c r="E126" s="398"/>
      <c r="F126" s="398"/>
      <c r="G126" s="398"/>
      <c r="H126" s="398"/>
      <c r="I126" s="398"/>
      <c r="J126" s="398"/>
      <c r="K126" s="398"/>
      <c r="L126" s="398"/>
      <c r="M126" s="398"/>
      <c r="N126" s="398"/>
      <c r="O126" s="398"/>
      <c r="P126" s="398"/>
      <c r="Q126" s="398"/>
      <c r="R126" s="398"/>
      <c r="S126" s="398"/>
      <c r="T126" s="398"/>
      <c r="U126" s="398"/>
      <c r="V126" s="398"/>
      <c r="W126" s="398"/>
      <c r="X126" s="398"/>
      <c r="Y126" s="398"/>
      <c r="Z126" s="398"/>
      <c r="AA126" s="398"/>
      <c r="AB126" s="398"/>
      <c r="AC126" s="405"/>
      <c r="AD126" s="400">
        <f t="shared" ref="AD126:AD138" si="20">SUM(C126:AC126)</f>
        <v>0</v>
      </c>
    </row>
    <row r="127" spans="1:30" s="79" customFormat="1" ht="15">
      <c r="A127" s="67" t="s">
        <v>138</v>
      </c>
      <c r="B127" s="68" t="s">
        <v>139</v>
      </c>
      <c r="C127" s="74"/>
      <c r="D127" s="75"/>
      <c r="E127" s="398"/>
      <c r="F127" s="401"/>
      <c r="G127" s="401"/>
      <c r="H127" s="401"/>
      <c r="I127" s="401"/>
      <c r="J127" s="401"/>
      <c r="K127" s="401"/>
      <c r="L127" s="401"/>
      <c r="M127" s="401"/>
      <c r="N127" s="401"/>
      <c r="O127" s="401"/>
      <c r="P127" s="401"/>
      <c r="Q127" s="401"/>
      <c r="R127" s="401"/>
      <c r="S127" s="401"/>
      <c r="T127" s="398"/>
      <c r="U127" s="398"/>
      <c r="V127" s="398"/>
      <c r="W127" s="398"/>
      <c r="X127" s="398"/>
      <c r="Y127" s="398"/>
      <c r="Z127" s="398"/>
      <c r="AA127" s="398"/>
      <c r="AB127" s="401"/>
      <c r="AC127" s="399"/>
      <c r="AD127" s="400">
        <f t="shared" si="20"/>
        <v>0</v>
      </c>
    </row>
    <row r="128" spans="1:30" s="79" customFormat="1" ht="15">
      <c r="A128" s="67" t="s">
        <v>140</v>
      </c>
      <c r="B128" s="68" t="s">
        <v>141</v>
      </c>
      <c r="C128" s="74"/>
      <c r="D128" s="75"/>
      <c r="E128" s="398"/>
      <c r="F128" s="401"/>
      <c r="G128" s="401"/>
      <c r="H128" s="401"/>
      <c r="I128" s="401"/>
      <c r="J128" s="401">
        <f>47.92/1000</f>
        <v>4.7920000000000004E-2</v>
      </c>
      <c r="K128" s="401"/>
      <c r="L128" s="401">
        <f>18684.66/1000</f>
        <v>18.684660000000001</v>
      </c>
      <c r="M128" s="401"/>
      <c r="N128" s="401"/>
      <c r="O128" s="401"/>
      <c r="P128" s="401"/>
      <c r="Q128" s="401"/>
      <c r="R128" s="401"/>
      <c r="S128" s="401"/>
      <c r="T128" s="398"/>
      <c r="U128" s="398"/>
      <c r="V128" s="398"/>
      <c r="W128" s="398"/>
      <c r="X128" s="398"/>
      <c r="Y128" s="398"/>
      <c r="Z128" s="398"/>
      <c r="AA128" s="398"/>
      <c r="AB128" s="401"/>
      <c r="AC128" s="399"/>
      <c r="AD128" s="400">
        <f t="shared" si="20"/>
        <v>18.732580000000002</v>
      </c>
    </row>
    <row r="129" spans="1:30" s="79" customFormat="1" ht="15">
      <c r="A129" s="67" t="s">
        <v>142</v>
      </c>
      <c r="B129" s="68" t="s">
        <v>143</v>
      </c>
      <c r="C129" s="74"/>
      <c r="D129" s="75"/>
      <c r="E129" s="398"/>
      <c r="F129" s="401"/>
      <c r="G129" s="401"/>
      <c r="H129" s="401"/>
      <c r="I129" s="401"/>
      <c r="J129" s="401"/>
      <c r="K129" s="401"/>
      <c r="L129" s="401"/>
      <c r="M129" s="401"/>
      <c r="N129" s="401"/>
      <c r="O129" s="401"/>
      <c r="P129" s="401"/>
      <c r="Q129" s="401"/>
      <c r="R129" s="401"/>
      <c r="S129" s="401"/>
      <c r="T129" s="398"/>
      <c r="U129" s="398"/>
      <c r="V129" s="398"/>
      <c r="W129" s="398"/>
      <c r="X129" s="398"/>
      <c r="Y129" s="398"/>
      <c r="Z129" s="398"/>
      <c r="AA129" s="398"/>
      <c r="AB129" s="401"/>
      <c r="AC129" s="399"/>
      <c r="AD129" s="400">
        <f t="shared" si="20"/>
        <v>0</v>
      </c>
    </row>
    <row r="130" spans="1:30" s="79" customFormat="1" ht="15">
      <c r="A130" s="67" t="s">
        <v>144</v>
      </c>
      <c r="B130" s="68" t="s">
        <v>145</v>
      </c>
      <c r="C130" s="74"/>
      <c r="D130" s="75"/>
      <c r="E130" s="398"/>
      <c r="F130" s="401"/>
      <c r="G130" s="401"/>
      <c r="H130" s="401"/>
      <c r="I130" s="401"/>
      <c r="J130" s="401"/>
      <c r="K130" s="401"/>
      <c r="L130" s="401"/>
      <c r="M130" s="401"/>
      <c r="N130" s="401"/>
      <c r="O130" s="401"/>
      <c r="P130" s="401"/>
      <c r="Q130" s="401"/>
      <c r="R130" s="401"/>
      <c r="S130" s="401"/>
      <c r="T130" s="398"/>
      <c r="U130" s="398"/>
      <c r="V130" s="398"/>
      <c r="W130" s="398"/>
      <c r="X130" s="398"/>
      <c r="Y130" s="398"/>
      <c r="Z130" s="398"/>
      <c r="AA130" s="398"/>
      <c r="AB130" s="401"/>
      <c r="AC130" s="399"/>
      <c r="AD130" s="400">
        <f t="shared" si="20"/>
        <v>0</v>
      </c>
    </row>
    <row r="131" spans="1:30" s="79" customFormat="1" ht="15">
      <c r="A131" s="67" t="s">
        <v>146</v>
      </c>
      <c r="B131" s="68" t="s">
        <v>147</v>
      </c>
      <c r="C131" s="74"/>
      <c r="D131" s="75"/>
      <c r="E131" s="398"/>
      <c r="F131" s="398"/>
      <c r="G131" s="398"/>
      <c r="H131" s="398"/>
      <c r="I131" s="398"/>
      <c r="J131" s="398"/>
      <c r="K131" s="398"/>
      <c r="L131" s="398"/>
      <c r="M131" s="398"/>
      <c r="N131" s="398"/>
      <c r="O131" s="398"/>
      <c r="P131" s="398"/>
      <c r="Q131" s="398"/>
      <c r="R131" s="398"/>
      <c r="S131" s="398"/>
      <c r="T131" s="398"/>
      <c r="U131" s="398"/>
      <c r="V131" s="398"/>
      <c r="W131" s="401"/>
      <c r="X131" s="398"/>
      <c r="Y131" s="398"/>
      <c r="Z131" s="398"/>
      <c r="AA131" s="401">
        <f>28782096.54/1000</f>
        <v>28782.096539999999</v>
      </c>
      <c r="AB131" s="398"/>
      <c r="AC131" s="408"/>
      <c r="AD131" s="400">
        <f t="shared" si="20"/>
        <v>28782.096539999999</v>
      </c>
    </row>
    <row r="132" spans="1:30" s="63" customFormat="1">
      <c r="A132" s="67" t="s">
        <v>148</v>
      </c>
      <c r="B132" s="68" t="s">
        <v>149</v>
      </c>
      <c r="C132" s="74"/>
      <c r="D132" s="75"/>
      <c r="E132" s="398"/>
      <c r="F132" s="398"/>
      <c r="G132" s="398"/>
      <c r="H132" s="398"/>
      <c r="I132" s="398"/>
      <c r="J132" s="398"/>
      <c r="K132" s="398"/>
      <c r="L132" s="398"/>
      <c r="M132" s="398"/>
      <c r="N132" s="398"/>
      <c r="O132" s="398"/>
      <c r="P132" s="398"/>
      <c r="Q132" s="398"/>
      <c r="R132" s="398"/>
      <c r="S132" s="398"/>
      <c r="T132" s="401">
        <f>37800000/1000</f>
        <v>37800</v>
      </c>
      <c r="U132" s="398"/>
      <c r="V132" s="398"/>
      <c r="W132" s="401"/>
      <c r="X132" s="401"/>
      <c r="Y132" s="398"/>
      <c r="Z132" s="398"/>
      <c r="AA132" s="398"/>
      <c r="AB132" s="398"/>
      <c r="AC132" s="398"/>
      <c r="AD132" s="400">
        <f t="shared" si="20"/>
        <v>37800</v>
      </c>
    </row>
    <row r="133" spans="1:30" s="63" customFormat="1">
      <c r="A133" s="67" t="s">
        <v>150</v>
      </c>
      <c r="B133" s="68" t="s">
        <v>151</v>
      </c>
      <c r="C133" s="74"/>
      <c r="D133" s="75"/>
      <c r="E133" s="398"/>
      <c r="F133" s="398"/>
      <c r="G133" s="398"/>
      <c r="H133" s="398"/>
      <c r="I133" s="398"/>
      <c r="J133" s="398"/>
      <c r="K133" s="398"/>
      <c r="L133" s="398"/>
      <c r="M133" s="398"/>
      <c r="N133" s="398"/>
      <c r="O133" s="398"/>
      <c r="P133" s="398"/>
      <c r="Q133" s="398"/>
      <c r="R133" s="398"/>
      <c r="S133" s="398"/>
      <c r="T133" s="398"/>
      <c r="U133" s="398"/>
      <c r="V133" s="398"/>
      <c r="W133" s="401"/>
      <c r="X133" s="401"/>
      <c r="Y133" s="398"/>
      <c r="Z133" s="398"/>
      <c r="AA133" s="398"/>
      <c r="AB133" s="398"/>
      <c r="AC133" s="398"/>
      <c r="AD133" s="400">
        <f t="shared" si="20"/>
        <v>0</v>
      </c>
    </row>
    <row r="134" spans="1:30" s="63" customFormat="1">
      <c r="A134" s="67" t="s">
        <v>152</v>
      </c>
      <c r="B134" s="68" t="s">
        <v>153</v>
      </c>
      <c r="C134" s="74"/>
      <c r="D134" s="75"/>
      <c r="E134" s="398"/>
      <c r="F134" s="398"/>
      <c r="G134" s="398"/>
      <c r="H134" s="398"/>
      <c r="I134" s="398"/>
      <c r="J134" s="398"/>
      <c r="K134" s="398"/>
      <c r="L134" s="398"/>
      <c r="M134" s="398"/>
      <c r="N134" s="398"/>
      <c r="O134" s="398"/>
      <c r="P134" s="398"/>
      <c r="Q134" s="398"/>
      <c r="R134" s="398"/>
      <c r="S134" s="398"/>
      <c r="T134" s="398"/>
      <c r="U134" s="398"/>
      <c r="V134" s="398"/>
      <c r="W134" s="401"/>
      <c r="X134" s="398"/>
      <c r="Y134" s="398"/>
      <c r="Z134" s="398"/>
      <c r="AA134" s="401">
        <f>4519241.03/1000</f>
        <v>4519.2410300000001</v>
      </c>
      <c r="AB134" s="398"/>
      <c r="AC134" s="398"/>
      <c r="AD134" s="400">
        <f t="shared" si="20"/>
        <v>4519.2410300000001</v>
      </c>
    </row>
    <row r="135" spans="1:30" s="63" customFormat="1">
      <c r="A135" s="67" t="s">
        <v>154</v>
      </c>
      <c r="B135" s="68" t="s">
        <v>155</v>
      </c>
      <c r="C135" s="74"/>
      <c r="D135" s="75"/>
      <c r="E135" s="398"/>
      <c r="F135" s="398"/>
      <c r="G135" s="398"/>
      <c r="H135" s="398"/>
      <c r="I135" s="398"/>
      <c r="J135" s="398"/>
      <c r="K135" s="398"/>
      <c r="L135" s="398"/>
      <c r="M135" s="398"/>
      <c r="N135" s="398"/>
      <c r="O135" s="398"/>
      <c r="P135" s="398"/>
      <c r="Q135" s="398"/>
      <c r="R135" s="398"/>
      <c r="S135" s="398"/>
      <c r="T135" s="398"/>
      <c r="U135" s="401"/>
      <c r="V135" s="398"/>
      <c r="W135" s="401"/>
      <c r="X135" s="398"/>
      <c r="Y135" s="398"/>
      <c r="Z135" s="398"/>
      <c r="AA135" s="398"/>
      <c r="AB135" s="398"/>
      <c r="AC135" s="398"/>
      <c r="AD135" s="400">
        <f t="shared" si="20"/>
        <v>0</v>
      </c>
    </row>
    <row r="136" spans="1:30" s="63" customFormat="1">
      <c r="A136" s="67" t="s">
        <v>156</v>
      </c>
      <c r="B136" s="71" t="s">
        <v>157</v>
      </c>
      <c r="C136" s="74"/>
      <c r="D136" s="75"/>
      <c r="E136" s="398"/>
      <c r="F136" s="398"/>
      <c r="G136" s="398"/>
      <c r="H136" s="398"/>
      <c r="I136" s="398"/>
      <c r="J136" s="398"/>
      <c r="K136" s="398"/>
      <c r="L136" s="398"/>
      <c r="M136" s="398"/>
      <c r="N136" s="398"/>
      <c r="O136" s="398"/>
      <c r="P136" s="398"/>
      <c r="Q136" s="398"/>
      <c r="R136" s="398"/>
      <c r="S136" s="398"/>
      <c r="T136" s="401">
        <f>7966646/1000</f>
        <v>7966.6459999999997</v>
      </c>
      <c r="U136" s="398"/>
      <c r="V136" s="398"/>
      <c r="W136" s="401"/>
      <c r="X136" s="398"/>
      <c r="Y136" s="398"/>
      <c r="Z136" s="398"/>
      <c r="AA136" s="398"/>
      <c r="AB136" s="398"/>
      <c r="AC136" s="398"/>
      <c r="AD136" s="400">
        <f t="shared" si="20"/>
        <v>7966.6459999999997</v>
      </c>
    </row>
    <row r="137" spans="1:30" s="63" customFormat="1">
      <c r="A137" s="67" t="s">
        <v>158</v>
      </c>
      <c r="B137" s="71" t="s">
        <v>159</v>
      </c>
      <c r="C137" s="74"/>
      <c r="D137" s="75"/>
      <c r="E137" s="398"/>
      <c r="F137" s="398"/>
      <c r="G137" s="398"/>
      <c r="H137" s="398"/>
      <c r="I137" s="398"/>
      <c r="J137" s="398"/>
      <c r="K137" s="398"/>
      <c r="L137" s="398"/>
      <c r="M137" s="398"/>
      <c r="N137" s="398"/>
      <c r="O137" s="398"/>
      <c r="P137" s="398"/>
      <c r="Q137" s="398"/>
      <c r="R137" s="398"/>
      <c r="S137" s="398"/>
      <c r="T137" s="398"/>
      <c r="U137" s="398"/>
      <c r="V137" s="398"/>
      <c r="W137" s="402"/>
      <c r="X137" s="398"/>
      <c r="Y137" s="398"/>
      <c r="Z137" s="398"/>
      <c r="AA137" s="402"/>
      <c r="AB137" s="398"/>
      <c r="AC137" s="398"/>
      <c r="AD137" s="400">
        <f t="shared" si="20"/>
        <v>0</v>
      </c>
    </row>
    <row r="138" spans="1:30" s="63" customFormat="1" ht="15.75">
      <c r="A138" s="69" t="s">
        <v>160</v>
      </c>
      <c r="B138" s="70"/>
      <c r="C138" s="74">
        <f>SUM(C125:C137)</f>
        <v>0</v>
      </c>
      <c r="D138" s="75">
        <f t="shared" ref="D138:AC138" si="21">SUM(D125:D137)</f>
        <v>0</v>
      </c>
      <c r="E138" s="398">
        <f t="shared" si="21"/>
        <v>0</v>
      </c>
      <c r="F138" s="401">
        <f t="shared" si="21"/>
        <v>0</v>
      </c>
      <c r="G138" s="401">
        <f t="shared" si="21"/>
        <v>0</v>
      </c>
      <c r="H138" s="401">
        <f t="shared" si="21"/>
        <v>0</v>
      </c>
      <c r="I138" s="401">
        <f t="shared" si="21"/>
        <v>0</v>
      </c>
      <c r="J138" s="401">
        <f t="shared" si="21"/>
        <v>4.7920000000000004E-2</v>
      </c>
      <c r="K138" s="401">
        <f t="shared" si="21"/>
        <v>0</v>
      </c>
      <c r="L138" s="401">
        <f t="shared" si="21"/>
        <v>18.684660000000001</v>
      </c>
      <c r="M138" s="401">
        <f t="shared" si="21"/>
        <v>0</v>
      </c>
      <c r="N138" s="401">
        <f t="shared" si="21"/>
        <v>0</v>
      </c>
      <c r="O138" s="401">
        <f t="shared" si="21"/>
        <v>0</v>
      </c>
      <c r="P138" s="401">
        <f t="shared" si="21"/>
        <v>0</v>
      </c>
      <c r="Q138" s="401">
        <f t="shared" si="21"/>
        <v>0</v>
      </c>
      <c r="R138" s="401">
        <f t="shared" si="21"/>
        <v>0</v>
      </c>
      <c r="S138" s="401">
        <f t="shared" si="21"/>
        <v>0</v>
      </c>
      <c r="T138" s="401">
        <f t="shared" si="21"/>
        <v>45766.646000000001</v>
      </c>
      <c r="U138" s="401">
        <f t="shared" si="21"/>
        <v>0</v>
      </c>
      <c r="V138" s="398">
        <f t="shared" si="21"/>
        <v>0</v>
      </c>
      <c r="W138" s="401">
        <f t="shared" si="21"/>
        <v>0</v>
      </c>
      <c r="X138" s="401">
        <f t="shared" si="21"/>
        <v>0</v>
      </c>
      <c r="Y138" s="398">
        <f t="shared" si="21"/>
        <v>0</v>
      </c>
      <c r="Z138" s="398">
        <f t="shared" si="21"/>
        <v>0</v>
      </c>
      <c r="AA138" s="401">
        <f t="shared" si="21"/>
        <v>33301.337569999996</v>
      </c>
      <c r="AB138" s="401">
        <f t="shared" si="21"/>
        <v>0</v>
      </c>
      <c r="AC138" s="399">
        <f t="shared" si="21"/>
        <v>0</v>
      </c>
      <c r="AD138" s="400">
        <f t="shared" si="20"/>
        <v>79086.716149999993</v>
      </c>
    </row>
    <row r="139" spans="1:30" s="63" customFormat="1" ht="15">
      <c r="A139" s="64"/>
      <c r="B139" s="65"/>
      <c r="C139" s="129"/>
      <c r="D139" s="77"/>
      <c r="E139" s="405"/>
      <c r="F139" s="406"/>
      <c r="G139" s="406"/>
      <c r="H139" s="406"/>
      <c r="I139" s="406"/>
      <c r="J139" s="406"/>
      <c r="K139" s="406"/>
      <c r="L139" s="406"/>
      <c r="M139" s="406"/>
      <c r="N139" s="406"/>
      <c r="O139" s="406"/>
      <c r="P139" s="406"/>
      <c r="Q139" s="406"/>
      <c r="R139" s="406"/>
      <c r="S139" s="406"/>
      <c r="T139" s="406"/>
      <c r="U139" s="406"/>
      <c r="V139" s="405"/>
      <c r="W139" s="406"/>
      <c r="X139" s="406"/>
      <c r="Y139" s="405"/>
      <c r="Z139" s="405"/>
      <c r="AA139" s="406"/>
      <c r="AB139" s="406"/>
      <c r="AC139" s="405"/>
      <c r="AD139" s="407"/>
    </row>
    <row r="140" spans="1:30" s="63" customFormat="1" ht="15">
      <c r="A140" s="483" t="s">
        <v>161</v>
      </c>
      <c r="B140" s="484"/>
      <c r="C140" s="129"/>
      <c r="D140" s="131"/>
      <c r="E140" s="408"/>
      <c r="F140" s="406"/>
      <c r="G140" s="406"/>
      <c r="H140" s="406"/>
      <c r="I140" s="406"/>
      <c r="J140" s="406"/>
      <c r="K140" s="406"/>
      <c r="L140" s="406"/>
      <c r="M140" s="406"/>
      <c r="N140" s="406"/>
      <c r="O140" s="406"/>
      <c r="P140" s="406"/>
      <c r="Q140" s="406"/>
      <c r="R140" s="406"/>
      <c r="S140" s="406"/>
      <c r="T140" s="408"/>
      <c r="U140" s="408"/>
      <c r="V140" s="408"/>
      <c r="W140" s="408"/>
      <c r="X140" s="408"/>
      <c r="Y140" s="408"/>
      <c r="Z140" s="408"/>
      <c r="AA140" s="408"/>
      <c r="AB140" s="406"/>
      <c r="AC140" s="406"/>
      <c r="AD140" s="419"/>
    </row>
    <row r="141" spans="1:30" s="63" customFormat="1">
      <c r="A141" s="67" t="s">
        <v>162</v>
      </c>
      <c r="B141" s="171" t="s">
        <v>163</v>
      </c>
      <c r="C141" s="78"/>
      <c r="D141" s="75"/>
      <c r="E141" s="398"/>
      <c r="F141" s="397"/>
      <c r="G141" s="397"/>
      <c r="H141" s="397"/>
      <c r="I141" s="397"/>
      <c r="J141" s="397"/>
      <c r="K141" s="397"/>
      <c r="L141" s="397"/>
      <c r="M141" s="397"/>
      <c r="N141" s="397"/>
      <c r="O141" s="397"/>
      <c r="P141" s="397"/>
      <c r="Q141" s="397"/>
      <c r="R141" s="397"/>
      <c r="S141" s="397"/>
      <c r="T141" s="398"/>
      <c r="U141" s="398"/>
      <c r="V141" s="398"/>
      <c r="W141" s="398"/>
      <c r="X141" s="398"/>
      <c r="Y141" s="398"/>
      <c r="Z141" s="398"/>
      <c r="AA141" s="398"/>
      <c r="AB141" s="397"/>
      <c r="AC141" s="422"/>
      <c r="AD141" s="400">
        <f t="shared" ref="AD141:AD154" si="22">SUM(C141:AC141)</f>
        <v>0</v>
      </c>
    </row>
    <row r="142" spans="1:30" s="63" customFormat="1">
      <c r="A142" s="67" t="s">
        <v>164</v>
      </c>
      <c r="B142" s="171" t="s">
        <v>165</v>
      </c>
      <c r="C142" s="74"/>
      <c r="D142" s="75"/>
      <c r="E142" s="398"/>
      <c r="F142" s="401"/>
      <c r="G142" s="401"/>
      <c r="H142" s="401"/>
      <c r="I142" s="401"/>
      <c r="J142" s="401"/>
      <c r="K142" s="401"/>
      <c r="L142" s="401"/>
      <c r="M142" s="401"/>
      <c r="N142" s="401"/>
      <c r="O142" s="401"/>
      <c r="P142" s="401"/>
      <c r="Q142" s="401"/>
      <c r="R142" s="401"/>
      <c r="S142" s="401"/>
      <c r="T142" s="398"/>
      <c r="U142" s="398"/>
      <c r="V142" s="398"/>
      <c r="W142" s="398"/>
      <c r="X142" s="398"/>
      <c r="Y142" s="398"/>
      <c r="Z142" s="398"/>
      <c r="AA142" s="398"/>
      <c r="AB142" s="401"/>
      <c r="AC142" s="399"/>
      <c r="AD142" s="400">
        <f t="shared" si="22"/>
        <v>0</v>
      </c>
    </row>
    <row r="143" spans="1:30" s="63" customFormat="1">
      <c r="A143" s="67" t="s">
        <v>166</v>
      </c>
      <c r="B143" s="171" t="s">
        <v>167</v>
      </c>
      <c r="C143" s="74"/>
      <c r="D143" s="75"/>
      <c r="E143" s="398"/>
      <c r="F143" s="401"/>
      <c r="G143" s="401"/>
      <c r="H143" s="401"/>
      <c r="I143" s="401"/>
      <c r="J143" s="401"/>
      <c r="K143" s="401"/>
      <c r="L143" s="401"/>
      <c r="M143" s="401"/>
      <c r="N143" s="401"/>
      <c r="O143" s="401"/>
      <c r="P143" s="401"/>
      <c r="Q143" s="401"/>
      <c r="R143" s="401"/>
      <c r="S143" s="401"/>
      <c r="T143" s="398"/>
      <c r="U143" s="398"/>
      <c r="V143" s="398"/>
      <c r="W143" s="398"/>
      <c r="X143" s="398"/>
      <c r="Y143" s="398"/>
      <c r="Z143" s="398"/>
      <c r="AA143" s="398"/>
      <c r="AB143" s="401"/>
      <c r="AC143" s="399"/>
      <c r="AD143" s="400">
        <f t="shared" si="22"/>
        <v>0</v>
      </c>
    </row>
    <row r="144" spans="1:30" s="63" customFormat="1">
      <c r="A144" s="67" t="s">
        <v>168</v>
      </c>
      <c r="B144" s="171" t="s">
        <v>169</v>
      </c>
      <c r="C144" s="74"/>
      <c r="D144" s="75"/>
      <c r="E144" s="398"/>
      <c r="F144" s="401"/>
      <c r="G144" s="401"/>
      <c r="H144" s="401"/>
      <c r="I144" s="401"/>
      <c r="J144" s="401"/>
      <c r="K144" s="401"/>
      <c r="L144" s="401"/>
      <c r="M144" s="401"/>
      <c r="N144" s="401"/>
      <c r="O144" s="401"/>
      <c r="P144" s="401"/>
      <c r="Q144" s="401"/>
      <c r="R144" s="401"/>
      <c r="S144" s="401"/>
      <c r="T144" s="398"/>
      <c r="U144" s="398"/>
      <c r="V144" s="398"/>
      <c r="W144" s="398"/>
      <c r="X144" s="398"/>
      <c r="Y144" s="398"/>
      <c r="Z144" s="398"/>
      <c r="AA144" s="398"/>
      <c r="AB144" s="401"/>
      <c r="AC144" s="399"/>
      <c r="AD144" s="400">
        <f t="shared" si="22"/>
        <v>0</v>
      </c>
    </row>
    <row r="145" spans="1:30" s="63" customFormat="1">
      <c r="A145" s="67" t="s">
        <v>170</v>
      </c>
      <c r="B145" s="176" t="s">
        <v>171</v>
      </c>
      <c r="C145" s="74"/>
      <c r="D145" s="75"/>
      <c r="E145" s="398"/>
      <c r="F145" s="401"/>
      <c r="G145" s="401"/>
      <c r="H145" s="401"/>
      <c r="I145" s="401"/>
      <c r="J145" s="401"/>
      <c r="K145" s="401"/>
      <c r="L145" s="401"/>
      <c r="M145" s="401"/>
      <c r="N145" s="401"/>
      <c r="O145" s="401"/>
      <c r="P145" s="401"/>
      <c r="Q145" s="401"/>
      <c r="R145" s="401"/>
      <c r="S145" s="401"/>
      <c r="T145" s="398"/>
      <c r="U145" s="398"/>
      <c r="V145" s="398"/>
      <c r="W145" s="398"/>
      <c r="X145" s="398"/>
      <c r="Y145" s="398"/>
      <c r="Z145" s="398"/>
      <c r="AA145" s="398"/>
      <c r="AB145" s="401"/>
      <c r="AC145" s="399"/>
      <c r="AD145" s="400">
        <f t="shared" si="22"/>
        <v>0</v>
      </c>
    </row>
    <row r="146" spans="1:30" s="63" customFormat="1">
      <c r="A146" s="67" t="s">
        <v>172</v>
      </c>
      <c r="B146" s="171" t="s">
        <v>173</v>
      </c>
      <c r="C146" s="74"/>
      <c r="D146" s="75"/>
      <c r="E146" s="398"/>
      <c r="F146" s="398"/>
      <c r="G146" s="398"/>
      <c r="H146" s="398"/>
      <c r="I146" s="398"/>
      <c r="J146" s="398"/>
      <c r="K146" s="398"/>
      <c r="L146" s="398"/>
      <c r="M146" s="398"/>
      <c r="N146" s="398"/>
      <c r="O146" s="398"/>
      <c r="P146" s="398"/>
      <c r="Q146" s="398"/>
      <c r="R146" s="398"/>
      <c r="S146" s="398"/>
      <c r="T146" s="398"/>
      <c r="U146" s="398"/>
      <c r="V146" s="401"/>
      <c r="W146" s="401"/>
      <c r="X146" s="398"/>
      <c r="Y146" s="398"/>
      <c r="Z146" s="398"/>
      <c r="AA146" s="398"/>
      <c r="AB146" s="398"/>
      <c r="AC146" s="408"/>
      <c r="AD146" s="400">
        <f t="shared" si="22"/>
        <v>0</v>
      </c>
    </row>
    <row r="147" spans="1:30" s="63" customFormat="1">
      <c r="A147" s="67" t="s">
        <v>174</v>
      </c>
      <c r="B147" s="171" t="s">
        <v>175</v>
      </c>
      <c r="C147" s="74"/>
      <c r="D147" s="75"/>
      <c r="E147" s="398"/>
      <c r="F147" s="398"/>
      <c r="G147" s="398"/>
      <c r="H147" s="398"/>
      <c r="I147" s="398"/>
      <c r="J147" s="398"/>
      <c r="K147" s="398"/>
      <c r="L147" s="398"/>
      <c r="M147" s="398"/>
      <c r="N147" s="398"/>
      <c r="O147" s="398"/>
      <c r="P147" s="398"/>
      <c r="Q147" s="398"/>
      <c r="R147" s="398"/>
      <c r="S147" s="398"/>
      <c r="T147" s="398"/>
      <c r="U147" s="398"/>
      <c r="V147" s="398"/>
      <c r="W147" s="401"/>
      <c r="X147" s="398"/>
      <c r="Y147" s="401"/>
      <c r="Z147" s="398"/>
      <c r="AA147" s="398"/>
      <c r="AB147" s="398"/>
      <c r="AC147" s="398"/>
      <c r="AD147" s="400">
        <f t="shared" si="22"/>
        <v>0</v>
      </c>
    </row>
    <row r="148" spans="1:30" s="63" customFormat="1">
      <c r="A148" s="67" t="s">
        <v>176</v>
      </c>
      <c r="B148" s="171" t="s">
        <v>177</v>
      </c>
      <c r="C148" s="74"/>
      <c r="D148" s="75"/>
      <c r="E148" s="398"/>
      <c r="F148" s="398"/>
      <c r="G148" s="398"/>
      <c r="H148" s="398"/>
      <c r="I148" s="398"/>
      <c r="J148" s="398"/>
      <c r="K148" s="398"/>
      <c r="L148" s="398"/>
      <c r="M148" s="398"/>
      <c r="N148" s="398"/>
      <c r="O148" s="398"/>
      <c r="P148" s="398"/>
      <c r="Q148" s="398"/>
      <c r="R148" s="398"/>
      <c r="S148" s="398"/>
      <c r="T148" s="398"/>
      <c r="U148" s="398"/>
      <c r="V148" s="398"/>
      <c r="W148" s="401"/>
      <c r="X148" s="398"/>
      <c r="Y148" s="401"/>
      <c r="Z148" s="398"/>
      <c r="AA148" s="398"/>
      <c r="AB148" s="398"/>
      <c r="AC148" s="398"/>
      <c r="AD148" s="400">
        <f t="shared" si="22"/>
        <v>0</v>
      </c>
    </row>
    <row r="149" spans="1:30" s="63" customFormat="1">
      <c r="A149" s="67" t="s">
        <v>178</v>
      </c>
      <c r="B149" s="171" t="s">
        <v>179</v>
      </c>
      <c r="C149" s="74"/>
      <c r="D149" s="75"/>
      <c r="E149" s="398"/>
      <c r="F149" s="398"/>
      <c r="G149" s="398"/>
      <c r="H149" s="398"/>
      <c r="I149" s="398"/>
      <c r="J149" s="398"/>
      <c r="K149" s="398"/>
      <c r="L149" s="398"/>
      <c r="M149" s="398"/>
      <c r="N149" s="398"/>
      <c r="O149" s="398"/>
      <c r="P149" s="398"/>
      <c r="Q149" s="398"/>
      <c r="R149" s="398"/>
      <c r="S149" s="398"/>
      <c r="T149" s="398"/>
      <c r="U149" s="398"/>
      <c r="V149" s="398"/>
      <c r="W149" s="401"/>
      <c r="X149" s="398"/>
      <c r="Y149" s="401"/>
      <c r="Z149" s="398"/>
      <c r="AA149" s="398"/>
      <c r="AB149" s="398"/>
      <c r="AC149" s="398"/>
      <c r="AD149" s="400">
        <f t="shared" si="22"/>
        <v>0</v>
      </c>
    </row>
    <row r="150" spans="1:30" s="63" customFormat="1">
      <c r="A150" s="67" t="s">
        <v>180</v>
      </c>
      <c r="B150" s="171" t="s">
        <v>181</v>
      </c>
      <c r="C150" s="74"/>
      <c r="D150" s="75"/>
      <c r="E150" s="398"/>
      <c r="F150" s="398"/>
      <c r="G150" s="398"/>
      <c r="H150" s="398"/>
      <c r="I150" s="398"/>
      <c r="J150" s="398"/>
      <c r="K150" s="398"/>
      <c r="L150" s="398"/>
      <c r="M150" s="398"/>
      <c r="N150" s="398"/>
      <c r="O150" s="398"/>
      <c r="P150" s="398"/>
      <c r="Q150" s="398"/>
      <c r="R150" s="398"/>
      <c r="S150" s="398"/>
      <c r="T150" s="398"/>
      <c r="U150" s="398"/>
      <c r="V150" s="398"/>
      <c r="W150" s="401"/>
      <c r="X150" s="398"/>
      <c r="Y150" s="401"/>
      <c r="Z150" s="398"/>
      <c r="AA150" s="398"/>
      <c r="AB150" s="398"/>
      <c r="AC150" s="398"/>
      <c r="AD150" s="400">
        <f t="shared" si="22"/>
        <v>0</v>
      </c>
    </row>
    <row r="151" spans="1:30" s="63" customFormat="1">
      <c r="A151" s="67" t="s">
        <v>182</v>
      </c>
      <c r="B151" s="171" t="s">
        <v>183</v>
      </c>
      <c r="C151" s="74"/>
      <c r="D151" s="75"/>
      <c r="E151" s="398"/>
      <c r="F151" s="398"/>
      <c r="G151" s="398"/>
      <c r="H151" s="398"/>
      <c r="I151" s="398"/>
      <c r="J151" s="398"/>
      <c r="K151" s="398"/>
      <c r="L151" s="398"/>
      <c r="M151" s="398"/>
      <c r="N151" s="398"/>
      <c r="O151" s="398"/>
      <c r="P151" s="398"/>
      <c r="Q151" s="398"/>
      <c r="R151" s="398"/>
      <c r="S151" s="398"/>
      <c r="T151" s="398"/>
      <c r="U151" s="398"/>
      <c r="V151" s="398"/>
      <c r="W151" s="401"/>
      <c r="X151" s="398"/>
      <c r="Y151" s="401"/>
      <c r="Z151" s="398"/>
      <c r="AA151" s="398"/>
      <c r="AB151" s="398"/>
      <c r="AC151" s="398"/>
      <c r="AD151" s="400">
        <f t="shared" si="22"/>
        <v>0</v>
      </c>
    </row>
    <row r="152" spans="1:30" s="63" customFormat="1">
      <c r="A152" s="67" t="s">
        <v>184</v>
      </c>
      <c r="B152" s="171" t="s">
        <v>185</v>
      </c>
      <c r="C152" s="74"/>
      <c r="D152" s="75"/>
      <c r="E152" s="398"/>
      <c r="F152" s="398"/>
      <c r="G152" s="398"/>
      <c r="H152" s="398"/>
      <c r="I152" s="398"/>
      <c r="J152" s="398"/>
      <c r="K152" s="398"/>
      <c r="L152" s="398"/>
      <c r="M152" s="398"/>
      <c r="N152" s="398"/>
      <c r="O152" s="398"/>
      <c r="P152" s="398"/>
      <c r="Q152" s="398"/>
      <c r="R152" s="398"/>
      <c r="S152" s="398"/>
      <c r="T152" s="398"/>
      <c r="U152" s="398"/>
      <c r="V152" s="398"/>
      <c r="W152" s="401"/>
      <c r="X152" s="398"/>
      <c r="Y152" s="401"/>
      <c r="Z152" s="398"/>
      <c r="AA152" s="398"/>
      <c r="AB152" s="398"/>
      <c r="AC152" s="398"/>
      <c r="AD152" s="400">
        <f t="shared" si="22"/>
        <v>0</v>
      </c>
    </row>
    <row r="153" spans="1:30" s="63" customFormat="1">
      <c r="A153" s="67" t="s">
        <v>186</v>
      </c>
      <c r="B153" s="171" t="s">
        <v>187</v>
      </c>
      <c r="C153" s="74"/>
      <c r="D153" s="75"/>
      <c r="E153" s="398"/>
      <c r="F153" s="398"/>
      <c r="G153" s="398"/>
      <c r="H153" s="398"/>
      <c r="I153" s="398"/>
      <c r="J153" s="398"/>
      <c r="K153" s="398"/>
      <c r="L153" s="398"/>
      <c r="M153" s="398"/>
      <c r="N153" s="398"/>
      <c r="O153" s="398"/>
      <c r="P153" s="398"/>
      <c r="Q153" s="398"/>
      <c r="R153" s="398"/>
      <c r="S153" s="398"/>
      <c r="T153" s="398"/>
      <c r="U153" s="398"/>
      <c r="V153" s="398"/>
      <c r="W153" s="402"/>
      <c r="X153" s="398"/>
      <c r="Y153" s="402">
        <f>6000/1000</f>
        <v>6</v>
      </c>
      <c r="Z153" s="398"/>
      <c r="AA153" s="398"/>
      <c r="AB153" s="398"/>
      <c r="AC153" s="405"/>
      <c r="AD153" s="400">
        <f t="shared" si="22"/>
        <v>6</v>
      </c>
    </row>
    <row r="154" spans="1:30" s="63" customFormat="1" ht="15.75">
      <c r="A154" s="69" t="s">
        <v>188</v>
      </c>
      <c r="B154" s="70"/>
      <c r="C154" s="74">
        <f>SUM(C141:C153)</f>
        <v>0</v>
      </c>
      <c r="D154" s="75">
        <f t="shared" ref="D154:AC154" si="23">SUM(D141:D153)</f>
        <v>0</v>
      </c>
      <c r="E154" s="398">
        <f t="shared" si="23"/>
        <v>0</v>
      </c>
      <c r="F154" s="401">
        <f t="shared" si="23"/>
        <v>0</v>
      </c>
      <c r="G154" s="401">
        <f t="shared" si="23"/>
        <v>0</v>
      </c>
      <c r="H154" s="401">
        <f t="shared" si="23"/>
        <v>0</v>
      </c>
      <c r="I154" s="401">
        <f t="shared" si="23"/>
        <v>0</v>
      </c>
      <c r="J154" s="401">
        <f t="shared" si="23"/>
        <v>0</v>
      </c>
      <c r="K154" s="401">
        <f t="shared" si="23"/>
        <v>0</v>
      </c>
      <c r="L154" s="401">
        <f t="shared" si="23"/>
        <v>0</v>
      </c>
      <c r="M154" s="401">
        <f t="shared" si="23"/>
        <v>0</v>
      </c>
      <c r="N154" s="401">
        <f t="shared" si="23"/>
        <v>0</v>
      </c>
      <c r="O154" s="401">
        <f t="shared" si="23"/>
        <v>0</v>
      </c>
      <c r="P154" s="401">
        <f t="shared" si="23"/>
        <v>0</v>
      </c>
      <c r="Q154" s="401">
        <f t="shared" si="23"/>
        <v>0</v>
      </c>
      <c r="R154" s="401">
        <f t="shared" si="23"/>
        <v>0</v>
      </c>
      <c r="S154" s="401">
        <f t="shared" si="23"/>
        <v>0</v>
      </c>
      <c r="T154" s="398">
        <f t="shared" si="23"/>
        <v>0</v>
      </c>
      <c r="U154" s="398">
        <f t="shared" si="23"/>
        <v>0</v>
      </c>
      <c r="V154" s="401">
        <f t="shared" si="23"/>
        <v>0</v>
      </c>
      <c r="W154" s="401">
        <f t="shared" si="23"/>
        <v>0</v>
      </c>
      <c r="X154" s="398">
        <f t="shared" si="23"/>
        <v>0</v>
      </c>
      <c r="Y154" s="401">
        <f t="shared" si="23"/>
        <v>6</v>
      </c>
      <c r="Z154" s="398">
        <f t="shared" si="23"/>
        <v>0</v>
      </c>
      <c r="AA154" s="398">
        <f t="shared" si="23"/>
        <v>0</v>
      </c>
      <c r="AB154" s="401">
        <f t="shared" si="23"/>
        <v>0</v>
      </c>
      <c r="AC154" s="399">
        <f t="shared" si="23"/>
        <v>0</v>
      </c>
      <c r="AD154" s="400">
        <f t="shared" si="22"/>
        <v>6</v>
      </c>
    </row>
    <row r="155" spans="1:30" s="63" customFormat="1" ht="15">
      <c r="A155" s="64"/>
      <c r="B155" s="65"/>
      <c r="C155" s="129"/>
      <c r="D155" s="77"/>
      <c r="E155" s="405"/>
      <c r="F155" s="406"/>
      <c r="G155" s="406"/>
      <c r="H155" s="406"/>
      <c r="I155" s="406"/>
      <c r="J155" s="406"/>
      <c r="K155" s="406"/>
      <c r="L155" s="406"/>
      <c r="M155" s="406"/>
      <c r="N155" s="406"/>
      <c r="O155" s="406"/>
      <c r="P155" s="406"/>
      <c r="Q155" s="406"/>
      <c r="R155" s="406"/>
      <c r="S155" s="406"/>
      <c r="T155" s="405"/>
      <c r="U155" s="405"/>
      <c r="V155" s="406"/>
      <c r="W155" s="406"/>
      <c r="X155" s="405"/>
      <c r="Y155" s="406"/>
      <c r="Z155" s="405"/>
      <c r="AA155" s="405"/>
      <c r="AB155" s="405"/>
      <c r="AC155" s="405"/>
      <c r="AD155" s="407"/>
    </row>
    <row r="156" spans="1:30" s="63" customFormat="1" ht="15">
      <c r="A156" s="479" t="s">
        <v>189</v>
      </c>
      <c r="B156" s="480"/>
      <c r="C156" s="131"/>
      <c r="D156" s="131"/>
      <c r="E156" s="408"/>
      <c r="F156" s="408"/>
      <c r="G156" s="408"/>
      <c r="H156" s="408"/>
      <c r="I156" s="408"/>
      <c r="J156" s="408"/>
      <c r="K156" s="408"/>
      <c r="L156" s="408"/>
      <c r="M156" s="408"/>
      <c r="N156" s="408"/>
      <c r="O156" s="408"/>
      <c r="P156" s="408"/>
      <c r="Q156" s="408"/>
      <c r="R156" s="408"/>
      <c r="S156" s="408"/>
      <c r="T156" s="408"/>
      <c r="U156" s="408"/>
      <c r="V156" s="408"/>
      <c r="W156" s="406"/>
      <c r="X156" s="406"/>
      <c r="Y156" s="408"/>
      <c r="Z156" s="408"/>
      <c r="AA156" s="406"/>
      <c r="AB156" s="408"/>
      <c r="AC156" s="408"/>
      <c r="AD156" s="407"/>
    </row>
    <row r="157" spans="1:30" s="63" customFormat="1">
      <c r="A157" s="67" t="s">
        <v>190</v>
      </c>
      <c r="B157" s="68" t="s">
        <v>191</v>
      </c>
      <c r="C157" s="74"/>
      <c r="D157" s="75"/>
      <c r="E157" s="398"/>
      <c r="F157" s="398"/>
      <c r="G157" s="398"/>
      <c r="H157" s="398"/>
      <c r="I157" s="398"/>
      <c r="J157" s="398"/>
      <c r="K157" s="398"/>
      <c r="L157" s="398"/>
      <c r="M157" s="398"/>
      <c r="N157" s="398"/>
      <c r="O157" s="398"/>
      <c r="P157" s="398"/>
      <c r="Q157" s="398"/>
      <c r="R157" s="398"/>
      <c r="S157" s="398"/>
      <c r="T157" s="398"/>
      <c r="U157" s="398"/>
      <c r="V157" s="398"/>
      <c r="W157" s="397"/>
      <c r="X157" s="397"/>
      <c r="Y157" s="398"/>
      <c r="Z157" s="398"/>
      <c r="AA157" s="397"/>
      <c r="AB157" s="398"/>
      <c r="AC157" s="398"/>
      <c r="AD157" s="400">
        <f>SUM(C157:AC157)</f>
        <v>0</v>
      </c>
    </row>
    <row r="158" spans="1:30" s="63" customFormat="1">
      <c r="A158" s="67" t="s">
        <v>192</v>
      </c>
      <c r="B158" s="68" t="s">
        <v>193</v>
      </c>
      <c r="C158" s="74"/>
      <c r="D158" s="75"/>
      <c r="E158" s="398"/>
      <c r="F158" s="398"/>
      <c r="G158" s="398"/>
      <c r="H158" s="398"/>
      <c r="I158" s="398"/>
      <c r="J158" s="398"/>
      <c r="K158" s="398"/>
      <c r="L158" s="398"/>
      <c r="M158" s="398"/>
      <c r="N158" s="398"/>
      <c r="O158" s="398"/>
      <c r="P158" s="398"/>
      <c r="Q158" s="398"/>
      <c r="R158" s="398"/>
      <c r="S158" s="398"/>
      <c r="T158" s="398"/>
      <c r="U158" s="398"/>
      <c r="V158" s="398"/>
      <c r="W158" s="401"/>
      <c r="X158" s="401"/>
      <c r="Y158" s="398"/>
      <c r="Z158" s="398"/>
      <c r="AA158" s="401"/>
      <c r="AB158" s="398"/>
      <c r="AC158" s="398"/>
      <c r="AD158" s="400">
        <f>SUM(C158:AC158)</f>
        <v>0</v>
      </c>
    </row>
    <row r="159" spans="1:30" s="63" customFormat="1">
      <c r="A159" s="67" t="s">
        <v>194</v>
      </c>
      <c r="B159" s="68" t="s">
        <v>195</v>
      </c>
      <c r="C159" s="74"/>
      <c r="D159" s="75"/>
      <c r="E159" s="398"/>
      <c r="F159" s="398"/>
      <c r="G159" s="398"/>
      <c r="H159" s="398"/>
      <c r="I159" s="398"/>
      <c r="J159" s="398"/>
      <c r="K159" s="398"/>
      <c r="L159" s="398"/>
      <c r="M159" s="398"/>
      <c r="N159" s="398"/>
      <c r="O159" s="398"/>
      <c r="P159" s="398"/>
      <c r="Q159" s="398"/>
      <c r="R159" s="398"/>
      <c r="S159" s="398"/>
      <c r="T159" s="398"/>
      <c r="U159" s="398"/>
      <c r="V159" s="398"/>
      <c r="W159" s="401"/>
      <c r="X159" s="401">
        <f>66948098.35/1000</f>
        <v>66948.09835</v>
      </c>
      <c r="Y159" s="398"/>
      <c r="Z159" s="398"/>
      <c r="AA159" s="401">
        <f>18363869.47/1000</f>
        <v>18363.869469999998</v>
      </c>
      <c r="AB159" s="398"/>
      <c r="AC159" s="398"/>
      <c r="AD159" s="400">
        <f>SUM(C159:AC159)</f>
        <v>85311.967819999991</v>
      </c>
    </row>
    <row r="160" spans="1:30" s="63" customFormat="1">
      <c r="A160" s="67" t="s">
        <v>196</v>
      </c>
      <c r="B160" s="71" t="s">
        <v>197</v>
      </c>
      <c r="C160" s="74"/>
      <c r="D160" s="75"/>
      <c r="E160" s="398"/>
      <c r="F160" s="398"/>
      <c r="G160" s="398"/>
      <c r="H160" s="398"/>
      <c r="I160" s="398"/>
      <c r="J160" s="398"/>
      <c r="K160" s="398"/>
      <c r="L160" s="398"/>
      <c r="M160" s="398"/>
      <c r="N160" s="398"/>
      <c r="O160" s="398"/>
      <c r="P160" s="398"/>
      <c r="Q160" s="398"/>
      <c r="R160" s="398"/>
      <c r="S160" s="398"/>
      <c r="T160" s="398"/>
      <c r="U160" s="398"/>
      <c r="V160" s="398"/>
      <c r="W160" s="398"/>
      <c r="X160" s="398"/>
      <c r="Y160" s="398"/>
      <c r="Z160" s="398"/>
      <c r="AA160" s="402">
        <f>21134261.58/1000</f>
        <v>21134.261579999999</v>
      </c>
      <c r="AB160" s="398"/>
      <c r="AC160" s="398"/>
      <c r="AD160" s="400">
        <f>SUM(C160:AC160)</f>
        <v>21134.261579999999</v>
      </c>
    </row>
    <row r="161" spans="1:30" s="63" customFormat="1" ht="15.75">
      <c r="A161" s="69" t="s">
        <v>198</v>
      </c>
      <c r="B161" s="70"/>
      <c r="C161" s="74">
        <f t="shared" ref="C161:AC161" si="24">SUM(C157:C160)</f>
        <v>0</v>
      </c>
      <c r="D161" s="75">
        <f t="shared" si="24"/>
        <v>0</v>
      </c>
      <c r="E161" s="398">
        <f t="shared" si="24"/>
        <v>0</v>
      </c>
      <c r="F161" s="398">
        <f t="shared" si="24"/>
        <v>0</v>
      </c>
      <c r="G161" s="398">
        <f t="shared" si="24"/>
        <v>0</v>
      </c>
      <c r="H161" s="398">
        <f t="shared" si="24"/>
        <v>0</v>
      </c>
      <c r="I161" s="398">
        <f t="shared" si="24"/>
        <v>0</v>
      </c>
      <c r="J161" s="398">
        <f t="shared" si="24"/>
        <v>0</v>
      </c>
      <c r="K161" s="398">
        <f t="shared" si="24"/>
        <v>0</v>
      </c>
      <c r="L161" s="398">
        <f t="shared" si="24"/>
        <v>0</v>
      </c>
      <c r="M161" s="398">
        <f t="shared" si="24"/>
        <v>0</v>
      </c>
      <c r="N161" s="398">
        <f t="shared" si="24"/>
        <v>0</v>
      </c>
      <c r="O161" s="398">
        <f t="shared" si="24"/>
        <v>0</v>
      </c>
      <c r="P161" s="398">
        <f t="shared" si="24"/>
        <v>0</v>
      </c>
      <c r="Q161" s="398">
        <f t="shared" si="24"/>
        <v>0</v>
      </c>
      <c r="R161" s="398">
        <f t="shared" si="24"/>
        <v>0</v>
      </c>
      <c r="S161" s="398">
        <f t="shared" si="24"/>
        <v>0</v>
      </c>
      <c r="T161" s="398">
        <f t="shared" si="24"/>
        <v>0</v>
      </c>
      <c r="U161" s="398">
        <f t="shared" si="24"/>
        <v>0</v>
      </c>
      <c r="V161" s="398">
        <f t="shared" si="24"/>
        <v>0</v>
      </c>
      <c r="W161" s="401">
        <f t="shared" si="24"/>
        <v>0</v>
      </c>
      <c r="X161" s="401">
        <f t="shared" si="24"/>
        <v>66948.09835</v>
      </c>
      <c r="Y161" s="398">
        <f t="shared" si="24"/>
        <v>0</v>
      </c>
      <c r="Z161" s="398">
        <f t="shared" si="24"/>
        <v>0</v>
      </c>
      <c r="AA161" s="401">
        <f t="shared" si="24"/>
        <v>39498.131049999996</v>
      </c>
      <c r="AB161" s="398">
        <f t="shared" si="24"/>
        <v>0</v>
      </c>
      <c r="AC161" s="423">
        <f t="shared" si="24"/>
        <v>0</v>
      </c>
      <c r="AD161" s="400">
        <f>SUM(C161:AC161)</f>
        <v>106446.2294</v>
      </c>
    </row>
    <row r="162" spans="1:30" s="63" customFormat="1" ht="15" thickBot="1">
      <c r="A162" s="72"/>
      <c r="B162" s="73"/>
      <c r="C162" s="75"/>
      <c r="D162" s="75"/>
      <c r="E162" s="398"/>
      <c r="F162" s="398"/>
      <c r="G162" s="398"/>
      <c r="H162" s="398"/>
      <c r="I162" s="398"/>
      <c r="J162" s="398"/>
      <c r="K162" s="398"/>
      <c r="L162" s="398"/>
      <c r="M162" s="398"/>
      <c r="N162" s="398"/>
      <c r="O162" s="398"/>
      <c r="P162" s="398"/>
      <c r="Q162" s="398"/>
      <c r="R162" s="398"/>
      <c r="S162" s="398"/>
      <c r="T162" s="398"/>
      <c r="U162" s="398"/>
      <c r="V162" s="398"/>
      <c r="W162" s="408"/>
      <c r="X162" s="408"/>
      <c r="Y162" s="398"/>
      <c r="Z162" s="398"/>
      <c r="AA162" s="408"/>
      <c r="AB162" s="398"/>
      <c r="AC162" s="398"/>
      <c r="AD162" s="411"/>
    </row>
    <row r="163" spans="1:30" s="63" customFormat="1" ht="15.75" thickBot="1">
      <c r="A163" s="142" t="s">
        <v>199</v>
      </c>
      <c r="B163" s="177"/>
      <c r="C163" s="159">
        <f>SUM(C123,C138,C154,C161)</f>
        <v>0</v>
      </c>
      <c r="D163" s="160">
        <f t="shared" ref="D163:AC163" si="25">SUM(D123,D138,D154,D161)</f>
        <v>0</v>
      </c>
      <c r="E163" s="415">
        <f t="shared" si="25"/>
        <v>0</v>
      </c>
      <c r="F163" s="412">
        <f t="shared" si="25"/>
        <v>0</v>
      </c>
      <c r="G163" s="412">
        <f t="shared" si="25"/>
        <v>566.99175000000002</v>
      </c>
      <c r="H163" s="412">
        <f t="shared" si="25"/>
        <v>0</v>
      </c>
      <c r="I163" s="412">
        <f t="shared" si="25"/>
        <v>0</v>
      </c>
      <c r="J163" s="412">
        <f t="shared" si="25"/>
        <v>3.6479200000000001</v>
      </c>
      <c r="K163" s="412">
        <f t="shared" si="25"/>
        <v>13.286</v>
      </c>
      <c r="L163" s="412">
        <f t="shared" si="25"/>
        <v>18.781660000000002</v>
      </c>
      <c r="M163" s="412">
        <f t="shared" si="25"/>
        <v>0</v>
      </c>
      <c r="N163" s="412">
        <f t="shared" si="25"/>
        <v>-120</v>
      </c>
      <c r="O163" s="412">
        <f t="shared" si="25"/>
        <v>8.7100000000000009</v>
      </c>
      <c r="P163" s="412">
        <f t="shared" si="25"/>
        <v>1155</v>
      </c>
      <c r="Q163" s="412">
        <f t="shared" si="25"/>
        <v>0</v>
      </c>
      <c r="R163" s="412">
        <f t="shared" si="25"/>
        <v>0</v>
      </c>
      <c r="S163" s="412">
        <f t="shared" si="25"/>
        <v>359.37392999999997</v>
      </c>
      <c r="T163" s="412">
        <f t="shared" si="25"/>
        <v>45766.646000000001</v>
      </c>
      <c r="U163" s="412">
        <f t="shared" si="25"/>
        <v>0</v>
      </c>
      <c r="V163" s="412">
        <f t="shared" si="25"/>
        <v>150000</v>
      </c>
      <c r="W163" s="412">
        <f t="shared" si="25"/>
        <v>0</v>
      </c>
      <c r="X163" s="412">
        <f t="shared" si="25"/>
        <v>66948.09835</v>
      </c>
      <c r="Y163" s="412">
        <f t="shared" si="25"/>
        <v>733.67831999999999</v>
      </c>
      <c r="Z163" s="412">
        <f t="shared" si="25"/>
        <v>0</v>
      </c>
      <c r="AA163" s="412">
        <f t="shared" si="25"/>
        <v>72799.46862</v>
      </c>
      <c r="AB163" s="424">
        <f t="shared" si="25"/>
        <v>0</v>
      </c>
      <c r="AC163" s="417">
        <f t="shared" si="25"/>
        <v>0</v>
      </c>
      <c r="AD163" s="418">
        <f>SUM(C163:AC163)</f>
        <v>338253.68255000003</v>
      </c>
    </row>
    <row r="164" spans="1:30" s="63" customFormat="1" ht="15" thickBot="1">
      <c r="A164" s="136"/>
      <c r="B164" s="175"/>
      <c r="C164" s="77"/>
      <c r="D164" s="77"/>
      <c r="E164" s="405"/>
      <c r="F164" s="405"/>
      <c r="G164" s="405"/>
      <c r="H164" s="405"/>
      <c r="I164" s="405"/>
      <c r="J164" s="405"/>
      <c r="K164" s="405"/>
      <c r="L164" s="405"/>
      <c r="M164" s="405"/>
      <c r="N164" s="405"/>
      <c r="O164" s="405"/>
      <c r="P164" s="405"/>
      <c r="Q164" s="405"/>
      <c r="R164" s="405"/>
      <c r="S164" s="405"/>
      <c r="T164" s="405"/>
      <c r="U164" s="405"/>
      <c r="V164" s="405"/>
      <c r="W164" s="405"/>
      <c r="X164" s="405"/>
      <c r="Y164" s="405"/>
      <c r="Z164" s="405"/>
      <c r="AA164" s="405"/>
      <c r="AB164" s="405"/>
      <c r="AC164" s="405"/>
      <c r="AD164" s="419"/>
    </row>
    <row r="165" spans="1:30" s="146" customFormat="1" ht="15.75" thickBot="1">
      <c r="A165" s="143" t="s">
        <v>210</v>
      </c>
      <c r="B165" s="178"/>
      <c r="C165" s="159">
        <f>+SUM(C94,C100,C163)</f>
        <v>0</v>
      </c>
      <c r="D165" s="162">
        <f t="shared" ref="D165:AC165" si="26">+SUM(D94,D100,D163)</f>
        <v>0</v>
      </c>
      <c r="E165" s="412">
        <f t="shared" si="26"/>
        <v>19870.749019999999</v>
      </c>
      <c r="F165" s="412">
        <f t="shared" si="26"/>
        <v>614.80578999999989</v>
      </c>
      <c r="G165" s="412">
        <f t="shared" si="26"/>
        <v>663.55100000000004</v>
      </c>
      <c r="H165" s="412">
        <f t="shared" si="26"/>
        <v>0</v>
      </c>
      <c r="I165" s="412">
        <f t="shared" si="26"/>
        <v>27.5001</v>
      </c>
      <c r="J165" s="412">
        <f t="shared" si="26"/>
        <v>63.677950000000003</v>
      </c>
      <c r="K165" s="412">
        <f t="shared" si="26"/>
        <v>101.79395</v>
      </c>
      <c r="L165" s="412">
        <f t="shared" si="26"/>
        <v>1528.8784600000004</v>
      </c>
      <c r="M165" s="412">
        <f t="shared" si="26"/>
        <v>7803.3645300000007</v>
      </c>
      <c r="N165" s="412">
        <f t="shared" si="26"/>
        <v>106438.33037000001</v>
      </c>
      <c r="O165" s="412">
        <f t="shared" si="26"/>
        <v>111.09748999999999</v>
      </c>
      <c r="P165" s="412">
        <f t="shared" si="26"/>
        <v>1201.3879999999999</v>
      </c>
      <c r="Q165" s="412">
        <f t="shared" si="26"/>
        <v>889.78708999999992</v>
      </c>
      <c r="R165" s="412">
        <f t="shared" si="26"/>
        <v>2372.6503500000003</v>
      </c>
      <c r="S165" s="412">
        <f t="shared" si="26"/>
        <v>4392.0686699999997</v>
      </c>
      <c r="T165" s="412">
        <f t="shared" si="26"/>
        <v>45766.646000000001</v>
      </c>
      <c r="U165" s="412">
        <f t="shared" si="26"/>
        <v>0</v>
      </c>
      <c r="V165" s="412">
        <f t="shared" si="26"/>
        <v>150000</v>
      </c>
      <c r="W165" s="412">
        <f t="shared" si="26"/>
        <v>0</v>
      </c>
      <c r="X165" s="412">
        <f t="shared" si="26"/>
        <v>66948.09835</v>
      </c>
      <c r="Y165" s="412">
        <f t="shared" si="26"/>
        <v>733.67831999999999</v>
      </c>
      <c r="Z165" s="412">
        <f t="shared" si="26"/>
        <v>0</v>
      </c>
      <c r="AA165" s="412">
        <f t="shared" si="26"/>
        <v>72799.46862</v>
      </c>
      <c r="AB165" s="412">
        <f t="shared" si="26"/>
        <v>0</v>
      </c>
      <c r="AC165" s="417">
        <f t="shared" si="26"/>
        <v>0</v>
      </c>
      <c r="AD165" s="418">
        <f>SUM(C165:AC165)</f>
        <v>482327.53406000003</v>
      </c>
    </row>
    <row r="166" spans="1:30">
      <c r="C166" s="220"/>
      <c r="D166" s="220"/>
      <c r="E166" s="220"/>
      <c r="F166" s="220"/>
      <c r="G166" s="220"/>
      <c r="H166" s="220"/>
      <c r="I166" s="220"/>
      <c r="J166" s="220"/>
      <c r="K166" s="220"/>
      <c r="L166" s="220"/>
      <c r="M166" s="220"/>
      <c r="N166" s="220"/>
      <c r="O166" s="220"/>
      <c r="P166" s="220"/>
      <c r="Q166" s="220"/>
      <c r="R166" s="220"/>
      <c r="S166" s="220"/>
      <c r="T166" s="220"/>
      <c r="U166" s="220"/>
      <c r="V166" s="220"/>
      <c r="W166" s="220"/>
      <c r="X166" s="220"/>
      <c r="Y166" s="220"/>
      <c r="Z166" s="220"/>
      <c r="AA166" s="220"/>
      <c r="AB166" s="220"/>
      <c r="AC166" s="221"/>
      <c r="AD166" s="221"/>
    </row>
    <row r="167" spans="1:30" hidden="1">
      <c r="A167" s="63" t="s">
        <v>239</v>
      </c>
      <c r="C167" s="220"/>
      <c r="D167" s="220"/>
      <c r="E167" s="220"/>
      <c r="F167" s="220"/>
      <c r="G167" s="222"/>
      <c r="H167" s="220"/>
      <c r="I167" s="220"/>
      <c r="J167" s="220"/>
      <c r="K167" s="220"/>
      <c r="L167" s="220"/>
      <c r="M167" s="220"/>
      <c r="N167" s="220"/>
      <c r="O167" s="220"/>
      <c r="P167" s="220"/>
      <c r="Q167" s="220"/>
      <c r="R167" s="220"/>
      <c r="S167" s="220"/>
      <c r="T167" s="220"/>
      <c r="U167" s="220"/>
      <c r="V167" s="220"/>
      <c r="W167" s="220"/>
      <c r="X167" s="220"/>
      <c r="Y167" s="220"/>
      <c r="Z167" s="220"/>
      <c r="AA167" s="220"/>
      <c r="AB167" s="220"/>
      <c r="AC167" s="221"/>
      <c r="AD167" s="221"/>
    </row>
    <row r="168" spans="1:30" hidden="1">
      <c r="A168" s="63" t="s">
        <v>240</v>
      </c>
      <c r="C168" s="220"/>
      <c r="D168" s="220"/>
      <c r="E168" s="220"/>
      <c r="F168" s="220"/>
      <c r="G168" s="220"/>
      <c r="H168" s="220"/>
      <c r="I168" s="220"/>
      <c r="J168" s="220"/>
      <c r="K168" s="220"/>
      <c r="L168" s="220"/>
      <c r="M168" s="220"/>
      <c r="N168" s="220"/>
      <c r="O168" s="220"/>
      <c r="P168" s="220"/>
      <c r="Q168" s="220"/>
      <c r="R168" s="220"/>
      <c r="S168" s="220"/>
      <c r="T168" s="220"/>
      <c r="U168" s="220"/>
      <c r="V168" s="220"/>
      <c r="W168" s="220"/>
      <c r="X168" s="220"/>
      <c r="Y168" s="220"/>
      <c r="Z168" s="220"/>
      <c r="AA168" s="220"/>
      <c r="AB168" s="220"/>
      <c r="AC168" s="221"/>
      <c r="AD168" s="221"/>
    </row>
    <row r="169" spans="1:30" hidden="1">
      <c r="A169" s="63"/>
      <c r="C169" s="220"/>
      <c r="D169" s="220"/>
      <c r="E169" s="220"/>
      <c r="F169" s="220"/>
      <c r="G169" s="220"/>
      <c r="H169" s="220"/>
      <c r="I169" s="220"/>
      <c r="J169" s="220"/>
      <c r="K169" s="220"/>
      <c r="L169" s="220"/>
      <c r="M169" s="220"/>
      <c r="N169" s="220"/>
      <c r="O169" s="220"/>
      <c r="P169" s="220"/>
      <c r="Q169" s="220"/>
      <c r="R169" s="220"/>
      <c r="S169" s="220"/>
      <c r="T169" s="220"/>
      <c r="U169" s="220"/>
      <c r="V169" s="220"/>
      <c r="W169" s="220"/>
      <c r="X169" s="220"/>
      <c r="Y169" s="220"/>
      <c r="Z169" s="220"/>
      <c r="AA169" s="220"/>
      <c r="AB169" s="220"/>
      <c r="AC169" s="221"/>
      <c r="AD169" s="221"/>
    </row>
    <row r="170" spans="1:30" hidden="1">
      <c r="A170" s="63" t="s">
        <v>390</v>
      </c>
      <c r="C170" s="220"/>
      <c r="D170" s="220"/>
      <c r="E170" s="220"/>
      <c r="F170" s="220"/>
      <c r="G170" s="220"/>
      <c r="H170" s="220"/>
      <c r="I170" s="220"/>
      <c r="J170" s="220"/>
      <c r="K170" s="220"/>
      <c r="L170" s="220"/>
      <c r="M170" s="220"/>
      <c r="N170" s="220"/>
      <c r="O170" s="220"/>
      <c r="P170" s="220"/>
      <c r="Q170" s="220"/>
      <c r="R170" s="220"/>
      <c r="S170" s="220"/>
      <c r="T170" s="220"/>
      <c r="U170" s="220"/>
      <c r="V170" s="220"/>
      <c r="W170" s="220"/>
      <c r="X170" s="220"/>
      <c r="Y170" s="220"/>
      <c r="Z170" s="220"/>
      <c r="AA170" s="220"/>
      <c r="AB170" s="220"/>
      <c r="AC170" s="221"/>
      <c r="AD170" s="221"/>
    </row>
    <row r="171" spans="1:30" hidden="1">
      <c r="C171" s="220"/>
      <c r="D171" s="220"/>
      <c r="E171" s="220"/>
      <c r="F171" s="220"/>
      <c r="G171" s="220"/>
      <c r="H171" s="220"/>
      <c r="I171" s="220"/>
      <c r="J171" s="220"/>
      <c r="K171" s="220"/>
      <c r="L171" s="220"/>
      <c r="M171" s="220"/>
      <c r="N171" s="220"/>
      <c r="O171" s="220"/>
      <c r="P171" s="220"/>
      <c r="Q171" s="220"/>
      <c r="R171" s="220"/>
      <c r="S171" s="220"/>
      <c r="T171" s="220"/>
      <c r="U171" s="220"/>
      <c r="V171" s="220"/>
      <c r="W171" s="220"/>
      <c r="X171" s="220"/>
      <c r="Y171" s="220"/>
      <c r="Z171" s="220"/>
      <c r="AA171" s="220"/>
      <c r="AB171" s="220"/>
      <c r="AC171" s="221"/>
      <c r="AD171" s="221"/>
    </row>
    <row r="172" spans="1:30" ht="20.25" hidden="1">
      <c r="A172" s="233" t="s">
        <v>1</v>
      </c>
    </row>
    <row r="173" spans="1:30" hidden="1"/>
    <row r="174" spans="1:30" hidden="1"/>
    <row r="175" spans="1:30" hidden="1"/>
    <row r="176" spans="1:30" hidden="1"/>
    <row r="177" hidden="1"/>
    <row r="178" hidden="1"/>
    <row r="179" hidden="1"/>
    <row r="180" hidden="1"/>
    <row r="181" hidden="1"/>
    <row r="182" hidden="1"/>
    <row r="183" hidden="1"/>
    <row r="184" hidden="1"/>
    <row r="185" hidden="1"/>
    <row r="186" hidden="1"/>
    <row r="187" hidden="1"/>
    <row r="188" hidden="1"/>
    <row r="189" hidden="1"/>
    <row r="190" hidden="1"/>
  </sheetData>
  <sheetProtection formatCells="0" formatColumns="0" formatRows="0"/>
  <mergeCells count="17">
    <mergeCell ref="A53:B53"/>
    <mergeCell ref="A47:B47"/>
    <mergeCell ref="A156:B156"/>
    <mergeCell ref="A14:B14"/>
    <mergeCell ref="A96:B96"/>
    <mergeCell ref="A102:B102"/>
    <mergeCell ref="A123:B123"/>
    <mergeCell ref="A104:B104"/>
    <mergeCell ref="A125:B125"/>
    <mergeCell ref="A140:B140"/>
    <mergeCell ref="A92:B92"/>
    <mergeCell ref="A79:B79"/>
    <mergeCell ref="A37:B37"/>
    <mergeCell ref="A28:B28"/>
    <mergeCell ref="A20:B20"/>
    <mergeCell ref="A72:B72"/>
    <mergeCell ref="A60:B60"/>
  </mergeCells>
  <phoneticPr fontId="0" type="noConversion"/>
  <printOptions horizontalCentered="1"/>
  <pageMargins left="0.17" right="0.17" top="0.67" bottom="0.39" header="0.51181102362204722" footer="0.4"/>
  <pageSetup paperSize="8" scale="42" orientation="portrait" r:id="rId1"/>
  <headerFooter alignWithMargins="0">
    <oddFooter>&amp;C&amp;F&amp;R&amp;D</oddFooter>
  </headerFooter>
  <rowBreaks count="1" manualBreakCount="1">
    <brk id="60" max="16383" man="1"/>
  </rowBreaks>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7"/>
  <dimension ref="A1:M77"/>
  <sheetViews>
    <sheetView showGridLines="0" showZeros="0" zoomScaleNormal="100" zoomScaleSheetLayoutView="100" workbookViewId="0">
      <pane xSplit="5" ySplit="3" topLeftCell="F4" activePane="bottomRight" state="frozen"/>
      <selection pane="topRight" activeCell="F1" sqref="F1"/>
      <selection pane="bottomLeft" activeCell="A4" sqref="A4"/>
      <selection pane="bottomRight" activeCell="J65" sqref="J65:J66"/>
    </sheetView>
  </sheetViews>
  <sheetFormatPr defaultRowHeight="11.25"/>
  <cols>
    <col min="1" max="1" width="1.42578125" style="5" customWidth="1"/>
    <col min="2" max="2" width="69.7109375" style="5" bestFit="1" customWidth="1"/>
    <col min="3" max="3" width="1.42578125" style="5" customWidth="1"/>
    <col min="4" max="4" width="5.5703125" style="114" bestFit="1" customWidth="1"/>
    <col min="5" max="5" width="1.42578125" style="5" customWidth="1"/>
    <col min="6" max="6" width="13.7109375" style="5" customWidth="1"/>
    <col min="7" max="7" width="1.42578125" style="5" customWidth="1"/>
    <col min="8" max="8" width="13.7109375" style="5" customWidth="1"/>
    <col min="9" max="9" width="1.42578125" style="5" customWidth="1"/>
    <col min="10" max="16384" width="9.140625" style="5"/>
  </cols>
  <sheetData>
    <row r="1" spans="1:12" s="81" customFormat="1" ht="18" customHeight="1">
      <c r="A1" s="80"/>
      <c r="B1" s="485" t="str">
        <f>"Balansstandenoverzicht provincie "&amp;+'4.Informatie'!C5&amp;" ("&amp;'4.Informatie'!C6&amp;"): "&amp;"jaar "&amp;'4.Informatie'!C7 &amp;" periode "&amp;'4.Informatie'!C8</f>
        <v>Balansstandenoverzicht provincie Provincie Groningen (0001): jaar 2013 periode 2</v>
      </c>
      <c r="C1" s="485"/>
      <c r="D1" s="485"/>
      <c r="E1" s="485"/>
      <c r="F1" s="485"/>
      <c r="G1" s="485"/>
      <c r="H1" s="485"/>
      <c r="I1" s="485"/>
    </row>
    <row r="2" spans="1:12" s="84" customFormat="1" ht="18" customHeight="1">
      <c r="A2" s="82"/>
      <c r="B2" s="372" t="s">
        <v>213</v>
      </c>
      <c r="C2" s="82"/>
      <c r="D2" s="83"/>
      <c r="E2" s="83"/>
      <c r="F2" s="83"/>
    </row>
    <row r="3" spans="1:12" ht="12.75" customHeight="1">
      <c r="A3" s="85"/>
      <c r="B3" s="85"/>
      <c r="C3" s="86"/>
      <c r="D3" s="87" t="s">
        <v>211</v>
      </c>
      <c r="E3" s="88"/>
      <c r="F3" s="89">
        <v>41275</v>
      </c>
      <c r="G3" s="31"/>
      <c r="H3" s="89" t="s">
        <v>463</v>
      </c>
      <c r="I3" s="90"/>
    </row>
    <row r="4" spans="1:12" ht="12" customHeight="1">
      <c r="A4" s="48"/>
      <c r="B4" s="51" t="s">
        <v>212</v>
      </c>
      <c r="C4" s="48"/>
      <c r="D4" s="48"/>
      <c r="E4" s="91"/>
      <c r="F4" s="47"/>
      <c r="G4" s="92"/>
      <c r="H4" s="47"/>
      <c r="I4" s="92"/>
    </row>
    <row r="5" spans="1:12" ht="19.5" customHeight="1">
      <c r="A5" s="85"/>
      <c r="B5" s="93" t="s">
        <v>214</v>
      </c>
      <c r="C5" s="94"/>
      <c r="D5" s="95"/>
      <c r="E5" s="96"/>
      <c r="F5" s="97"/>
      <c r="G5" s="98"/>
      <c r="H5" s="97"/>
      <c r="I5" s="98"/>
    </row>
    <row r="6" spans="1:12" ht="19.5" hidden="1" customHeight="1">
      <c r="A6" s="85"/>
      <c r="B6" s="180" t="s">
        <v>398</v>
      </c>
      <c r="C6" s="181"/>
      <c r="D6" s="95"/>
      <c r="E6" s="182"/>
      <c r="F6" s="97"/>
      <c r="G6" s="98"/>
      <c r="H6" s="97"/>
      <c r="I6" s="98"/>
    </row>
    <row r="7" spans="1:12" ht="12.75" hidden="1">
      <c r="A7" s="85"/>
      <c r="B7" s="17" t="s">
        <v>399</v>
      </c>
      <c r="C7" s="100"/>
      <c r="D7" s="153" t="s">
        <v>98</v>
      </c>
      <c r="E7" s="154"/>
      <c r="F7" s="102"/>
      <c r="G7" s="98"/>
      <c r="H7" s="102"/>
      <c r="I7" s="98"/>
      <c r="J7" s="360" t="s">
        <v>508</v>
      </c>
      <c r="L7" s="183"/>
    </row>
    <row r="8" spans="1:12" ht="12.75" hidden="1">
      <c r="A8" s="85"/>
      <c r="B8" s="17" t="s">
        <v>400</v>
      </c>
      <c r="C8" s="100"/>
      <c r="D8" s="153" t="s">
        <v>100</v>
      </c>
      <c r="E8" s="154"/>
      <c r="F8" s="102"/>
      <c r="G8" s="98"/>
      <c r="H8" s="102"/>
      <c r="I8" s="98"/>
      <c r="J8" s="360" t="s">
        <v>508</v>
      </c>
    </row>
    <row r="9" spans="1:12" ht="19.5" hidden="1" customHeight="1">
      <c r="A9" s="85"/>
      <c r="B9" s="99" t="s">
        <v>401</v>
      </c>
      <c r="C9" s="100"/>
      <c r="D9" s="153"/>
      <c r="E9" s="154"/>
      <c r="F9" s="155"/>
      <c r="G9" s="98"/>
      <c r="H9" s="155"/>
      <c r="I9" s="98"/>
    </row>
    <row r="10" spans="1:12" ht="12.75" hidden="1">
      <c r="A10" s="85"/>
      <c r="B10" s="101" t="s">
        <v>402</v>
      </c>
      <c r="C10" s="100"/>
      <c r="D10" s="153" t="s">
        <v>102</v>
      </c>
      <c r="E10" s="154"/>
      <c r="F10" s="102"/>
      <c r="G10" s="98"/>
      <c r="H10" s="102"/>
      <c r="I10" s="98"/>
      <c r="J10" s="360" t="s">
        <v>508</v>
      </c>
    </row>
    <row r="11" spans="1:12" ht="12.75" hidden="1">
      <c r="A11" s="85"/>
      <c r="B11" s="101" t="s">
        <v>403</v>
      </c>
      <c r="C11" s="100"/>
      <c r="D11" s="153" t="s">
        <v>104</v>
      </c>
      <c r="E11" s="154"/>
      <c r="F11" s="102"/>
      <c r="G11" s="98"/>
      <c r="H11" s="102"/>
      <c r="I11" s="98"/>
      <c r="J11" s="360" t="s">
        <v>508</v>
      </c>
    </row>
    <row r="12" spans="1:12" ht="12.75" hidden="1">
      <c r="A12" s="85"/>
      <c r="B12" s="101" t="s">
        <v>404</v>
      </c>
      <c r="C12" s="100"/>
      <c r="D12" s="153" t="s">
        <v>106</v>
      </c>
      <c r="E12" s="154"/>
      <c r="F12" s="102"/>
      <c r="G12" s="98"/>
      <c r="H12" s="102"/>
      <c r="I12" s="98"/>
      <c r="J12" s="360" t="s">
        <v>508</v>
      </c>
    </row>
    <row r="13" spans="1:12" ht="12.75" hidden="1">
      <c r="A13" s="85"/>
      <c r="B13" s="101" t="s">
        <v>405</v>
      </c>
      <c r="C13" s="100"/>
      <c r="D13" s="153" t="s">
        <v>108</v>
      </c>
      <c r="E13" s="154"/>
      <c r="F13" s="103"/>
      <c r="G13" s="98"/>
      <c r="H13" s="103"/>
      <c r="I13" s="98"/>
      <c r="J13" s="360" t="s">
        <v>508</v>
      </c>
    </row>
    <row r="14" spans="1:12" ht="12.75" hidden="1">
      <c r="A14" s="85"/>
      <c r="B14" s="101" t="s">
        <v>406</v>
      </c>
      <c r="C14" s="100"/>
      <c r="D14" s="153" t="s">
        <v>110</v>
      </c>
      <c r="E14" s="154"/>
      <c r="F14" s="102"/>
      <c r="G14" s="98"/>
      <c r="H14" s="102"/>
      <c r="I14" s="98"/>
      <c r="J14" s="360" t="s">
        <v>508</v>
      </c>
    </row>
    <row r="15" spans="1:12" ht="12.75" hidden="1">
      <c r="A15" s="85"/>
      <c r="B15" s="101" t="s">
        <v>407</v>
      </c>
      <c r="C15" s="100"/>
      <c r="D15" s="153" t="s">
        <v>112</v>
      </c>
      <c r="E15" s="154"/>
      <c r="F15" s="102"/>
      <c r="G15" s="98"/>
      <c r="H15" s="102"/>
      <c r="I15" s="98"/>
      <c r="J15" s="360" t="s">
        <v>508</v>
      </c>
    </row>
    <row r="16" spans="1:12" ht="12.75" hidden="1">
      <c r="A16" s="85"/>
      <c r="B16" s="101" t="s">
        <v>408</v>
      </c>
      <c r="C16" s="100"/>
      <c r="D16" s="153" t="s">
        <v>114</v>
      </c>
      <c r="E16" s="154"/>
      <c r="F16" s="102"/>
      <c r="G16" s="98"/>
      <c r="H16" s="102"/>
      <c r="I16" s="98"/>
      <c r="J16" s="360" t="s">
        <v>508</v>
      </c>
    </row>
    <row r="17" spans="1:13" ht="19.5" customHeight="1">
      <c r="A17" s="85"/>
      <c r="B17" s="99" t="s">
        <v>215</v>
      </c>
      <c r="C17" s="100"/>
      <c r="D17" s="153"/>
      <c r="E17" s="154"/>
      <c r="F17" s="155"/>
      <c r="G17" s="98"/>
      <c r="H17" s="155"/>
      <c r="I17" s="98"/>
    </row>
    <row r="18" spans="1:13" ht="12.75">
      <c r="A18" s="85"/>
      <c r="B18" s="101" t="s">
        <v>216</v>
      </c>
      <c r="C18" s="100"/>
      <c r="D18" s="153" t="s">
        <v>116</v>
      </c>
      <c r="E18" s="154"/>
      <c r="F18" s="102">
        <f>2299392.73/1000</f>
        <v>2299.39273</v>
      </c>
      <c r="G18" s="98"/>
      <c r="H18" s="102">
        <f>2299392.73/1000</f>
        <v>2299.39273</v>
      </c>
      <c r="I18" s="98"/>
    </row>
    <row r="19" spans="1:13" ht="12.75">
      <c r="A19" s="85"/>
      <c r="B19" s="101" t="s">
        <v>217</v>
      </c>
      <c r="C19" s="100"/>
      <c r="D19" s="153" t="s">
        <v>118</v>
      </c>
      <c r="E19" s="154"/>
      <c r="F19" s="102"/>
      <c r="G19" s="98"/>
      <c r="H19" s="102"/>
      <c r="I19" s="98"/>
    </row>
    <row r="20" spans="1:13" ht="12.75">
      <c r="A20" s="85"/>
      <c r="B20" s="101" t="s">
        <v>218</v>
      </c>
      <c r="C20" s="100"/>
      <c r="D20" s="153" t="s">
        <v>120</v>
      </c>
      <c r="E20" s="154"/>
      <c r="F20" s="102"/>
      <c r="G20" s="98"/>
      <c r="H20" s="103"/>
      <c r="I20" s="98"/>
    </row>
    <row r="21" spans="1:13" ht="12.75">
      <c r="A21" s="85"/>
      <c r="B21" s="101" t="s">
        <v>219</v>
      </c>
      <c r="C21" s="100"/>
      <c r="D21" s="153" t="s">
        <v>122</v>
      </c>
      <c r="E21" s="154"/>
      <c r="F21" s="102"/>
      <c r="G21" s="98"/>
      <c r="H21" s="102"/>
      <c r="I21" s="98"/>
      <c r="M21" s="50"/>
    </row>
    <row r="22" spans="1:13" ht="12.75">
      <c r="A22" s="85"/>
      <c r="B22" s="101" t="s">
        <v>220</v>
      </c>
      <c r="C22" s="100"/>
      <c r="D22" s="153" t="s">
        <v>124</v>
      </c>
      <c r="E22" s="154"/>
      <c r="F22" s="102">
        <f>107694493.3/1000</f>
        <v>107694.4933</v>
      </c>
      <c r="G22" s="98"/>
      <c r="H22" s="102">
        <f>107694493.3/1000</f>
        <v>107694.4933</v>
      </c>
      <c r="I22" s="98"/>
    </row>
    <row r="23" spans="1:13" ht="12.75">
      <c r="A23" s="85"/>
      <c r="B23" s="101" t="s">
        <v>221</v>
      </c>
      <c r="C23" s="100"/>
      <c r="D23" s="153" t="s">
        <v>126</v>
      </c>
      <c r="E23" s="154"/>
      <c r="F23" s="102"/>
      <c r="G23" s="98"/>
      <c r="H23" s="102"/>
      <c r="I23" s="98"/>
    </row>
    <row r="24" spans="1:13" ht="12.75">
      <c r="A24" s="85"/>
      <c r="B24" s="101" t="s">
        <v>222</v>
      </c>
      <c r="C24" s="100"/>
      <c r="D24" s="153" t="s">
        <v>128</v>
      </c>
      <c r="E24" s="154"/>
      <c r="F24" s="102">
        <f>21003978.79/1000</f>
        <v>21003.978789999997</v>
      </c>
      <c r="G24" s="98"/>
      <c r="H24" s="102">
        <f>20276300.47/1000</f>
        <v>20276.300469999998</v>
      </c>
      <c r="I24" s="98"/>
    </row>
    <row r="25" spans="1:13" ht="12.75">
      <c r="A25" s="85"/>
      <c r="B25" s="101" t="s">
        <v>223</v>
      </c>
      <c r="C25" s="100"/>
      <c r="D25" s="153" t="s">
        <v>130</v>
      </c>
      <c r="E25" s="154"/>
      <c r="F25" s="102">
        <f>300971286.03/1000</f>
        <v>300971.28602999996</v>
      </c>
      <c r="G25" s="98"/>
      <c r="H25" s="102">
        <f>150971286.03/1000</f>
        <v>150971.28602999999</v>
      </c>
      <c r="I25" s="98"/>
    </row>
    <row r="26" spans="1:13" ht="12.75" hidden="1">
      <c r="A26" s="85"/>
      <c r="B26" s="101" t="s">
        <v>409</v>
      </c>
      <c r="C26" s="100"/>
      <c r="D26" s="153" t="s">
        <v>132</v>
      </c>
      <c r="E26" s="154"/>
      <c r="F26" s="102"/>
      <c r="G26" s="98"/>
      <c r="H26" s="102"/>
      <c r="I26" s="98"/>
      <c r="J26" s="360" t="s">
        <v>508</v>
      </c>
    </row>
    <row r="27" spans="1:13" ht="19.5" customHeight="1">
      <c r="A27" s="85"/>
      <c r="B27" s="104" t="s">
        <v>135</v>
      </c>
      <c r="C27" s="100"/>
      <c r="D27" s="105"/>
      <c r="E27" s="154"/>
      <c r="F27" s="438"/>
      <c r="G27" s="98"/>
      <c r="H27" s="184"/>
      <c r="I27" s="98"/>
    </row>
    <row r="28" spans="1:13" ht="19.5" hidden="1" customHeight="1">
      <c r="A28" s="85"/>
      <c r="B28" s="112" t="s">
        <v>410</v>
      </c>
      <c r="C28" s="100"/>
      <c r="D28" s="105"/>
      <c r="E28" s="154"/>
      <c r="F28" s="438"/>
      <c r="G28" s="98"/>
      <c r="H28" s="184"/>
      <c r="I28" s="98"/>
    </row>
    <row r="29" spans="1:13" ht="12.75" hidden="1">
      <c r="A29" s="85"/>
      <c r="B29" s="101" t="s">
        <v>411</v>
      </c>
      <c r="C29" s="100"/>
      <c r="D29" s="153" t="s">
        <v>136</v>
      </c>
      <c r="E29" s="154"/>
      <c r="F29" s="102"/>
      <c r="G29" s="98"/>
      <c r="H29" s="103"/>
      <c r="I29" s="98"/>
      <c r="J29" s="360" t="s">
        <v>508</v>
      </c>
    </row>
    <row r="30" spans="1:13" ht="12.75" hidden="1">
      <c r="A30" s="85"/>
      <c r="B30" s="101" t="s">
        <v>412</v>
      </c>
      <c r="C30" s="100"/>
      <c r="D30" s="153" t="s">
        <v>138</v>
      </c>
      <c r="E30" s="154"/>
      <c r="F30" s="102"/>
      <c r="G30" s="98"/>
      <c r="H30" s="102"/>
      <c r="I30" s="98"/>
      <c r="J30" s="360" t="s">
        <v>508</v>
      </c>
    </row>
    <row r="31" spans="1:13" ht="12.75" hidden="1">
      <c r="A31" s="85"/>
      <c r="B31" s="101" t="s">
        <v>413</v>
      </c>
      <c r="C31" s="100"/>
      <c r="D31" s="153" t="s">
        <v>140</v>
      </c>
      <c r="E31" s="154"/>
      <c r="F31" s="102"/>
      <c r="G31" s="98"/>
      <c r="H31" s="102"/>
      <c r="I31" s="98"/>
      <c r="J31" s="360" t="s">
        <v>508</v>
      </c>
    </row>
    <row r="32" spans="1:13" ht="12.75" hidden="1">
      <c r="A32" s="85"/>
      <c r="B32" s="101" t="s">
        <v>414</v>
      </c>
      <c r="C32" s="100"/>
      <c r="D32" s="153" t="s">
        <v>142</v>
      </c>
      <c r="E32" s="154"/>
      <c r="F32" s="102"/>
      <c r="G32" s="98"/>
      <c r="H32" s="102"/>
      <c r="I32" s="98"/>
      <c r="J32" s="360" t="s">
        <v>508</v>
      </c>
    </row>
    <row r="33" spans="1:10" ht="12.75" hidden="1">
      <c r="A33" s="85"/>
      <c r="B33" s="101" t="s">
        <v>415</v>
      </c>
      <c r="C33" s="100"/>
      <c r="D33" s="153" t="s">
        <v>144</v>
      </c>
      <c r="E33" s="154"/>
      <c r="F33" s="102"/>
      <c r="G33" s="98"/>
      <c r="H33" s="103"/>
      <c r="I33" s="98"/>
      <c r="J33" s="360" t="s">
        <v>508</v>
      </c>
    </row>
    <row r="34" spans="1:10" ht="19.5" customHeight="1">
      <c r="A34" s="85"/>
      <c r="B34" s="99" t="s">
        <v>224</v>
      </c>
      <c r="C34" s="100"/>
      <c r="D34" s="105"/>
      <c r="E34" s="154"/>
      <c r="F34" s="438"/>
      <c r="G34" s="98"/>
      <c r="H34" s="184"/>
      <c r="I34" s="98"/>
    </row>
    <row r="35" spans="1:10" ht="12.75">
      <c r="A35" s="85"/>
      <c r="B35" s="101" t="s">
        <v>509</v>
      </c>
      <c r="C35" s="100"/>
      <c r="D35" s="153" t="s">
        <v>146</v>
      </c>
      <c r="E35" s="154"/>
      <c r="F35" s="102">
        <f>48576180.53/1000</f>
        <v>48576.180529999998</v>
      </c>
      <c r="G35" s="98"/>
      <c r="H35" s="102">
        <f>43459829.46/1000</f>
        <v>43459.829460000001</v>
      </c>
      <c r="I35" s="98"/>
    </row>
    <row r="36" spans="1:10" ht="12.75">
      <c r="A36" s="85"/>
      <c r="B36" s="101" t="s">
        <v>225</v>
      </c>
      <c r="C36" s="100"/>
      <c r="D36" s="153" t="s">
        <v>148</v>
      </c>
      <c r="E36" s="154"/>
      <c r="F36" s="102">
        <f>742600000/1000</f>
        <v>742600</v>
      </c>
      <c r="G36" s="98"/>
      <c r="H36" s="102">
        <f>904100000/1000</f>
        <v>904100</v>
      </c>
      <c r="I36" s="98"/>
    </row>
    <row r="37" spans="1:10" ht="12.75">
      <c r="A37" s="85"/>
      <c r="B37" s="101" t="s">
        <v>226</v>
      </c>
      <c r="C37" s="100"/>
      <c r="D37" s="153" t="s">
        <v>150</v>
      </c>
      <c r="E37" s="154"/>
      <c r="F37" s="102"/>
      <c r="G37" s="98"/>
      <c r="H37" s="102"/>
      <c r="I37" s="98"/>
    </row>
    <row r="38" spans="1:10" ht="12.75">
      <c r="A38" s="85"/>
      <c r="B38" s="101" t="s">
        <v>227</v>
      </c>
      <c r="C38" s="100"/>
      <c r="D38" s="153" t="s">
        <v>152</v>
      </c>
      <c r="E38" s="154"/>
      <c r="F38" s="102">
        <f>8348585.88/1000</f>
        <v>8348.5858800000005</v>
      </c>
      <c r="G38" s="98"/>
      <c r="H38" s="102">
        <f>4647617.65/1000</f>
        <v>4647.6176500000001</v>
      </c>
      <c r="I38" s="98"/>
    </row>
    <row r="39" spans="1:10" ht="12.75">
      <c r="A39" s="85"/>
      <c r="B39" s="101" t="s">
        <v>228</v>
      </c>
      <c r="C39" s="100"/>
      <c r="D39" s="153" t="s">
        <v>154</v>
      </c>
      <c r="E39" s="154"/>
      <c r="F39" s="102"/>
      <c r="G39" s="98"/>
      <c r="H39" s="103"/>
      <c r="I39" s="98"/>
    </row>
    <row r="40" spans="1:10" ht="12.75">
      <c r="A40" s="85"/>
      <c r="B40" s="106" t="s">
        <v>157</v>
      </c>
      <c r="C40" s="100"/>
      <c r="D40" s="153" t="s">
        <v>156</v>
      </c>
      <c r="E40" s="154"/>
      <c r="F40" s="102">
        <f>26457332.5/1000</f>
        <v>26457.3325</v>
      </c>
      <c r="G40" s="98"/>
      <c r="H40" s="102">
        <f>20991686.5/1000</f>
        <v>20991.6865</v>
      </c>
      <c r="I40" s="98"/>
    </row>
    <row r="41" spans="1:10" ht="12.75">
      <c r="A41" s="85"/>
      <c r="B41" s="106" t="s">
        <v>159</v>
      </c>
      <c r="C41" s="100"/>
      <c r="D41" s="153" t="s">
        <v>158</v>
      </c>
      <c r="E41" s="154"/>
      <c r="F41" s="102"/>
      <c r="G41" s="98"/>
      <c r="H41" s="103"/>
      <c r="I41" s="98"/>
    </row>
    <row r="42" spans="1:10" s="50" customFormat="1">
      <c r="A42" s="107"/>
      <c r="B42" s="108"/>
      <c r="C42" s="98"/>
      <c r="D42" s="95"/>
      <c r="E42" s="98"/>
      <c r="F42" s="439"/>
      <c r="G42" s="98"/>
      <c r="H42" s="98"/>
      <c r="I42" s="98"/>
    </row>
    <row r="43" spans="1:10" ht="12.75">
      <c r="A43" s="48"/>
      <c r="B43" s="51" t="s">
        <v>229</v>
      </c>
      <c r="C43" s="48"/>
      <c r="D43" s="48"/>
      <c r="E43" s="91"/>
      <c r="F43" s="440"/>
      <c r="G43" s="92"/>
      <c r="H43" s="185"/>
      <c r="I43" s="92"/>
    </row>
    <row r="44" spans="1:10" ht="19.5" customHeight="1">
      <c r="A44" s="109"/>
      <c r="B44" s="110" t="s">
        <v>161</v>
      </c>
      <c r="C44" s="98"/>
      <c r="D44" s="95"/>
      <c r="E44" s="111"/>
      <c r="F44" s="441"/>
      <c r="G44" s="98"/>
      <c r="H44" s="186"/>
      <c r="I44" s="98"/>
    </row>
    <row r="45" spans="1:10" ht="19.5" hidden="1" customHeight="1">
      <c r="A45" s="109"/>
      <c r="B45" s="187" t="s">
        <v>416</v>
      </c>
      <c r="C45" s="98"/>
      <c r="D45" s="95"/>
      <c r="E45" s="111"/>
      <c r="F45" s="441"/>
      <c r="G45" s="98"/>
      <c r="H45" s="186"/>
      <c r="I45" s="98"/>
    </row>
    <row r="46" spans="1:10" ht="12.75" hidden="1">
      <c r="A46" s="109"/>
      <c r="B46" s="101" t="s">
        <v>417</v>
      </c>
      <c r="C46" s="98"/>
      <c r="D46" s="153" t="s">
        <v>162</v>
      </c>
      <c r="E46" s="98"/>
      <c r="F46" s="102"/>
      <c r="G46" s="98"/>
      <c r="H46" s="103"/>
      <c r="I46" s="98"/>
      <c r="J46" s="360" t="s">
        <v>508</v>
      </c>
    </row>
    <row r="47" spans="1:10" ht="12.75" hidden="1">
      <c r="A47" s="109"/>
      <c r="B47" s="101" t="s">
        <v>418</v>
      </c>
      <c r="C47" s="98"/>
      <c r="D47" s="153" t="s">
        <v>164</v>
      </c>
      <c r="E47" s="98"/>
      <c r="F47" s="102"/>
      <c r="G47" s="98"/>
      <c r="H47" s="102"/>
      <c r="I47" s="98"/>
      <c r="J47" s="360" t="s">
        <v>508</v>
      </c>
    </row>
    <row r="48" spans="1:10" ht="12.75" hidden="1">
      <c r="A48" s="109"/>
      <c r="B48" s="101" t="s">
        <v>419</v>
      </c>
      <c r="C48" s="98"/>
      <c r="D48" s="153" t="s">
        <v>166</v>
      </c>
      <c r="E48" s="98"/>
      <c r="F48" s="102"/>
      <c r="G48" s="98"/>
      <c r="H48" s="102"/>
      <c r="I48" s="98"/>
      <c r="J48" s="360" t="s">
        <v>508</v>
      </c>
    </row>
    <row r="49" spans="1:12" ht="12.75" hidden="1">
      <c r="A49" s="109"/>
      <c r="B49" s="101" t="s">
        <v>420</v>
      </c>
      <c r="C49" s="98"/>
      <c r="D49" s="153" t="s">
        <v>168</v>
      </c>
      <c r="E49" s="98"/>
      <c r="F49" s="102"/>
      <c r="G49" s="98"/>
      <c r="H49" s="102"/>
      <c r="I49" s="98"/>
      <c r="J49" s="360" t="s">
        <v>508</v>
      </c>
    </row>
    <row r="50" spans="1:12" ht="12.75" hidden="1">
      <c r="A50" s="109"/>
      <c r="B50" s="101"/>
      <c r="C50" s="98"/>
      <c r="D50" s="153"/>
      <c r="E50" s="98"/>
      <c r="F50" s="155"/>
      <c r="G50" s="98"/>
      <c r="H50" s="155"/>
      <c r="I50" s="98"/>
    </row>
    <row r="51" spans="1:12" ht="12.75" hidden="1">
      <c r="A51" s="109"/>
      <c r="B51" s="106" t="s">
        <v>171</v>
      </c>
      <c r="C51" s="98"/>
      <c r="D51" s="153" t="s">
        <v>170</v>
      </c>
      <c r="E51" s="98"/>
      <c r="F51" s="102"/>
      <c r="G51" s="98"/>
      <c r="H51" s="102"/>
      <c r="I51" s="98"/>
      <c r="J51" s="360" t="s">
        <v>508</v>
      </c>
    </row>
    <row r="52" spans="1:12" ht="19.5" customHeight="1">
      <c r="A52" s="109"/>
      <c r="B52" s="112" t="s">
        <v>230</v>
      </c>
      <c r="C52" s="98"/>
      <c r="D52" s="153"/>
      <c r="E52" s="98"/>
      <c r="F52" s="439"/>
      <c r="G52" s="98"/>
      <c r="H52" s="98"/>
      <c r="I52" s="98"/>
    </row>
    <row r="53" spans="1:12" ht="12.75">
      <c r="A53" s="109"/>
      <c r="B53" s="101" t="s">
        <v>231</v>
      </c>
      <c r="C53" s="98"/>
      <c r="D53" s="153" t="s">
        <v>172</v>
      </c>
      <c r="E53" s="98"/>
      <c r="F53" s="102"/>
      <c r="G53" s="98"/>
      <c r="H53" s="103"/>
      <c r="I53" s="98"/>
    </row>
    <row r="54" spans="1:12" ht="12.75">
      <c r="A54" s="109"/>
      <c r="B54" s="101" t="s">
        <v>391</v>
      </c>
      <c r="C54" s="98"/>
      <c r="D54" s="153" t="s">
        <v>174</v>
      </c>
      <c r="E54" s="98"/>
      <c r="F54" s="102"/>
      <c r="G54" s="98"/>
      <c r="H54" s="102"/>
      <c r="I54" s="98"/>
    </row>
    <row r="55" spans="1:12" ht="12.75">
      <c r="A55" s="109"/>
      <c r="B55" s="101" t="s">
        <v>392</v>
      </c>
      <c r="C55" s="98"/>
      <c r="D55" s="153" t="s">
        <v>176</v>
      </c>
      <c r="E55" s="98"/>
      <c r="F55" s="102"/>
      <c r="G55" s="98"/>
      <c r="H55" s="102"/>
      <c r="I55" s="98"/>
    </row>
    <row r="56" spans="1:12" ht="12.75">
      <c r="A56" s="109"/>
      <c r="B56" s="101" t="s">
        <v>393</v>
      </c>
      <c r="C56" s="98"/>
      <c r="D56" s="153" t="s">
        <v>178</v>
      </c>
      <c r="E56" s="98"/>
      <c r="F56" s="102"/>
      <c r="G56" s="98"/>
      <c r="H56" s="102"/>
      <c r="I56" s="98"/>
    </row>
    <row r="57" spans="1:12" ht="12.75">
      <c r="A57" s="109"/>
      <c r="B57" s="101" t="s">
        <v>232</v>
      </c>
      <c r="C57" s="98"/>
      <c r="D57" s="153" t="s">
        <v>180</v>
      </c>
      <c r="E57" s="98"/>
      <c r="F57" s="102"/>
      <c r="G57" s="98"/>
      <c r="H57" s="102"/>
      <c r="I57" s="98"/>
    </row>
    <row r="58" spans="1:12" ht="12.75">
      <c r="A58" s="109"/>
      <c r="B58" s="101" t="s">
        <v>233</v>
      </c>
      <c r="C58" s="98"/>
      <c r="D58" s="153" t="s">
        <v>182</v>
      </c>
      <c r="E58" s="98"/>
      <c r="F58" s="102"/>
      <c r="G58" s="98"/>
      <c r="H58" s="102"/>
      <c r="I58" s="98"/>
    </row>
    <row r="59" spans="1:12" ht="12.75">
      <c r="A59" s="109"/>
      <c r="B59" s="101" t="s">
        <v>234</v>
      </c>
      <c r="C59" s="98"/>
      <c r="D59" s="153" t="s">
        <v>184</v>
      </c>
      <c r="E59" s="98"/>
      <c r="F59" s="102"/>
      <c r="G59" s="98"/>
      <c r="H59" s="102"/>
      <c r="I59" s="98"/>
    </row>
    <row r="60" spans="1:12" ht="12.75">
      <c r="A60" s="109"/>
      <c r="B60" s="101" t="s">
        <v>187</v>
      </c>
      <c r="C60" s="98"/>
      <c r="D60" s="153" t="s">
        <v>186</v>
      </c>
      <c r="E60" s="98"/>
      <c r="F60" s="102">
        <f>15242.03/1000</f>
        <v>15.242030000000002</v>
      </c>
      <c r="G60" s="98"/>
      <c r="H60" s="102">
        <f>20242.03/1000</f>
        <v>20.24203</v>
      </c>
      <c r="I60" s="98"/>
    </row>
    <row r="61" spans="1:12" ht="19.5" customHeight="1">
      <c r="A61" s="109"/>
      <c r="B61" s="104" t="s">
        <v>189</v>
      </c>
      <c r="C61" s="98"/>
      <c r="D61" s="113"/>
      <c r="E61" s="98"/>
      <c r="F61" s="439"/>
      <c r="G61" s="98"/>
      <c r="H61" s="98"/>
      <c r="I61" s="98"/>
      <c r="J61" s="188"/>
      <c r="K61" s="188"/>
      <c r="L61" s="188"/>
    </row>
    <row r="62" spans="1:12" ht="19.5" customHeight="1">
      <c r="A62" s="109"/>
      <c r="B62" s="112" t="s">
        <v>235</v>
      </c>
      <c r="C62" s="98"/>
      <c r="D62" s="113"/>
      <c r="E62" s="98"/>
      <c r="F62" s="439"/>
      <c r="G62" s="98"/>
      <c r="H62" s="98"/>
      <c r="I62" s="98"/>
      <c r="J62" s="188"/>
      <c r="K62" s="188"/>
      <c r="L62" s="188"/>
    </row>
    <row r="63" spans="1:12" ht="12.75">
      <c r="A63" s="109"/>
      <c r="B63" s="101" t="s">
        <v>236</v>
      </c>
      <c r="C63" s="98"/>
      <c r="D63" s="153" t="s">
        <v>190</v>
      </c>
      <c r="E63" s="98"/>
      <c r="F63" s="102"/>
      <c r="G63" s="98"/>
      <c r="H63" s="102"/>
      <c r="I63" s="98"/>
    </row>
    <row r="64" spans="1:12" ht="12.75">
      <c r="A64" s="109"/>
      <c r="B64" s="101" t="s">
        <v>237</v>
      </c>
      <c r="C64" s="98"/>
      <c r="D64" s="153" t="s">
        <v>192</v>
      </c>
      <c r="E64" s="98"/>
      <c r="F64" s="102"/>
      <c r="G64" s="98"/>
      <c r="H64" s="102"/>
      <c r="I64" s="98"/>
    </row>
    <row r="65" spans="1:12" ht="12.75">
      <c r="A65" s="109"/>
      <c r="B65" s="101" t="s">
        <v>238</v>
      </c>
      <c r="C65" s="98"/>
      <c r="D65" s="153" t="s">
        <v>194</v>
      </c>
      <c r="E65" s="98"/>
      <c r="F65" s="102">
        <f>208081029.52/1000</f>
        <v>208081.02952000001</v>
      </c>
      <c r="G65" s="98"/>
      <c r="H65" s="102">
        <f>214760412.57/1000</f>
        <v>214760.41256999999</v>
      </c>
      <c r="I65" s="98"/>
    </row>
    <row r="66" spans="1:12" ht="12.75">
      <c r="A66" s="109"/>
      <c r="B66" s="106" t="s">
        <v>197</v>
      </c>
      <c r="C66" s="98"/>
      <c r="D66" s="153" t="s">
        <v>196</v>
      </c>
      <c r="E66" s="98"/>
      <c r="F66" s="102">
        <f>225423374.47/1000</f>
        <v>225423.37447000001</v>
      </c>
      <c r="G66" s="98"/>
      <c r="H66" s="102">
        <f>244364462.39/1000</f>
        <v>244364.46238999997</v>
      </c>
      <c r="I66" s="98"/>
    </row>
    <row r="67" spans="1:12" s="50" customFormat="1">
      <c r="A67" s="107"/>
      <c r="B67" s="108"/>
      <c r="C67" s="98"/>
      <c r="D67" s="95"/>
      <c r="E67" s="98"/>
      <c r="F67" s="98"/>
      <c r="G67" s="98"/>
      <c r="H67" s="98"/>
      <c r="I67" s="98"/>
    </row>
    <row r="68" spans="1:12" ht="19.5" hidden="1" customHeight="1" thickBot="1">
      <c r="A68" s="189"/>
      <c r="B68" s="190" t="s">
        <v>421</v>
      </c>
      <c r="C68" s="191"/>
      <c r="D68" s="192"/>
      <c r="E68" s="193"/>
      <c r="F68" s="194"/>
      <c r="G68" s="195"/>
      <c r="H68" s="194"/>
      <c r="I68" s="195"/>
    </row>
    <row r="69" spans="1:12" ht="12.75" hidden="1">
      <c r="A69" s="85"/>
      <c r="B69" s="196" t="s">
        <v>422</v>
      </c>
      <c r="C69" s="100"/>
      <c r="D69" s="197" t="s">
        <v>424</v>
      </c>
      <c r="E69" s="198"/>
      <c r="F69" s="199">
        <f>SUM(F7:F8,F10:F16,F18:F26,F29:F33,F35:F41)</f>
        <v>1257951.2497599998</v>
      </c>
      <c r="G69" s="98"/>
      <c r="H69" s="199">
        <f>SUM(H7:H8,H10:H16,H18:H26,H29:H33,H35:H41)</f>
        <v>1254440.60614</v>
      </c>
      <c r="I69" s="98"/>
      <c r="J69" s="360" t="s">
        <v>508</v>
      </c>
      <c r="L69" s="200"/>
    </row>
    <row r="70" spans="1:12" ht="13.5" hidden="1" thickBot="1">
      <c r="A70" s="189"/>
      <c r="B70" s="201" t="s">
        <v>423</v>
      </c>
      <c r="C70" s="195"/>
      <c r="D70" s="202" t="s">
        <v>425</v>
      </c>
      <c r="E70" s="203"/>
      <c r="F70" s="204">
        <f>SUM(F46:F49,F51,F53:F60,F63:F66)</f>
        <v>433519.64601999999</v>
      </c>
      <c r="G70" s="195"/>
      <c r="H70" s="204">
        <f>SUM(H46:H49,H51,H53:H60,H63:H66)</f>
        <v>459145.11698999995</v>
      </c>
      <c r="I70" s="195"/>
      <c r="J70" s="360" t="s">
        <v>508</v>
      </c>
    </row>
    <row r="71" spans="1:12" ht="12.75" hidden="1">
      <c r="C71" s="100"/>
      <c r="D71" s="153"/>
      <c r="E71" s="154"/>
      <c r="F71" s="205"/>
      <c r="G71" s="98"/>
      <c r="H71" s="205"/>
      <c r="I71" s="98"/>
    </row>
    <row r="72" spans="1:12" ht="20.25">
      <c r="B72" s="233"/>
      <c r="D72" s="5"/>
    </row>
    <row r="73" spans="1:12">
      <c r="D73" s="5"/>
    </row>
    <row r="74" spans="1:12">
      <c r="D74" s="5"/>
    </row>
    <row r="75" spans="1:12">
      <c r="D75" s="5"/>
    </row>
    <row r="76" spans="1:12">
      <c r="D76" s="5"/>
    </row>
    <row r="77" spans="1:12">
      <c r="D77" s="5"/>
    </row>
  </sheetData>
  <sheetProtection formatCells="0" formatColumns="0" formatRows="0"/>
  <mergeCells count="1">
    <mergeCell ref="B1:I1"/>
  </mergeCells>
  <phoneticPr fontId="0" type="noConversion"/>
  <printOptions horizontalCentered="1"/>
  <pageMargins left="0.17" right="0.17" top="0.67" bottom="0.39" header="0.51181102362204722" footer="0.4"/>
  <pageSetup paperSize="9" scale="79" orientation="portrait" horizontalDpi="300" verticalDpi="300" r:id="rId1"/>
  <headerFooter alignWithMargins="0">
    <oddFooter>&amp;C&amp;F&amp;R&amp;D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8">
    <pageSetUpPr fitToPage="1"/>
  </sheetPr>
  <dimension ref="A1:B32"/>
  <sheetViews>
    <sheetView showGridLines="0" zoomScaleNormal="100" workbookViewId="0">
      <selection sqref="A1:B1"/>
    </sheetView>
  </sheetViews>
  <sheetFormatPr defaultRowHeight="12.75"/>
  <cols>
    <col min="1" max="1" width="3.28515625" style="236" customWidth="1"/>
    <col min="2" max="2" width="80.5703125" customWidth="1"/>
  </cols>
  <sheetData>
    <row r="1" spans="1:2" ht="15.75">
      <c r="A1" s="487" t="str">
        <f>"Verklaring Iv3 bij kwartaalrapportage 2013, provincie " &amp; '4.Informatie'!C5</f>
        <v>Verklaring Iv3 bij kwartaalrapportage 2013, provincie Provincie Groningen</v>
      </c>
      <c r="B1" s="488"/>
    </row>
    <row r="2" spans="1:2" s="223" customFormat="1">
      <c r="A2" s="18"/>
    </row>
    <row r="3" spans="1:2">
      <c r="A3" s="18"/>
    </row>
    <row r="4" spans="1:2">
      <c r="A4" s="234" t="s">
        <v>12</v>
      </c>
      <c r="B4" s="156"/>
    </row>
    <row r="5" spans="1:2">
      <c r="A5" s="234"/>
    </row>
    <row r="6" spans="1:2">
      <c r="A6" s="234"/>
      <c r="B6" s="235"/>
    </row>
    <row r="7" spans="1:2" ht="12.75" customHeight="1">
      <c r="A7" s="442" t="s">
        <v>527</v>
      </c>
      <c r="B7" s="442"/>
    </row>
    <row r="8" spans="1:2">
      <c r="A8" s="442"/>
      <c r="B8" s="442"/>
    </row>
    <row r="9" spans="1:2">
      <c r="A9" s="442"/>
      <c r="B9" s="442"/>
    </row>
    <row r="10" spans="1:2">
      <c r="A10" s="442"/>
      <c r="B10" s="442"/>
    </row>
    <row r="11" spans="1:2">
      <c r="A11" s="486" t="s">
        <v>2</v>
      </c>
      <c r="B11" s="486"/>
    </row>
    <row r="12" spans="1:2">
      <c r="A12" s="486"/>
      <c r="B12" s="486"/>
    </row>
    <row r="13" spans="1:2">
      <c r="A13" s="486"/>
      <c r="B13" s="486"/>
    </row>
    <row r="14" spans="1:2">
      <c r="B14" s="489" t="s">
        <v>427</v>
      </c>
    </row>
    <row r="15" spans="1:2" ht="12.75" customHeight="1">
      <c r="A15" s="237" t="s">
        <v>13</v>
      </c>
      <c r="B15" s="489"/>
    </row>
    <row r="16" spans="1:2">
      <c r="A16" s="237"/>
      <c r="B16" s="489"/>
    </row>
    <row r="17" spans="1:2">
      <c r="A17"/>
      <c r="B17" s="486" t="s">
        <v>3</v>
      </c>
    </row>
    <row r="18" spans="1:2" ht="12.75" customHeight="1">
      <c r="A18" s="237" t="s">
        <v>13</v>
      </c>
      <c r="B18" s="486"/>
    </row>
    <row r="19" spans="1:2">
      <c r="A19" s="237"/>
      <c r="B19" s="486"/>
    </row>
    <row r="20" spans="1:2">
      <c r="A20"/>
      <c r="B20" s="486" t="s">
        <v>4</v>
      </c>
    </row>
    <row r="21" spans="1:2" ht="12.75" customHeight="1">
      <c r="A21" s="237" t="s">
        <v>13</v>
      </c>
      <c r="B21" s="486"/>
    </row>
    <row r="22" spans="1:2">
      <c r="A22"/>
      <c r="B22" s="486"/>
    </row>
    <row r="23" spans="1:2">
      <c r="A23"/>
    </row>
    <row r="24" spans="1:2">
      <c r="A24"/>
    </row>
    <row r="25" spans="1:2" s="158" customFormat="1">
      <c r="A25" s="158" t="s">
        <v>395</v>
      </c>
    </row>
    <row r="26" spans="1:2" s="158" customFormat="1" ht="22.5" customHeight="1">
      <c r="A26" s="158" t="s">
        <v>250</v>
      </c>
    </row>
    <row r="27" spans="1:2">
      <c r="A27"/>
    </row>
    <row r="28" spans="1:2">
      <c r="A28"/>
    </row>
    <row r="29" spans="1:2">
      <c r="A29"/>
    </row>
    <row r="30" spans="1:2">
      <c r="A30"/>
    </row>
    <row r="31" spans="1:2">
      <c r="A31"/>
    </row>
    <row r="32" spans="1:2">
      <c r="A32" s="223"/>
    </row>
  </sheetData>
  <mergeCells count="6">
    <mergeCell ref="B17:B19"/>
    <mergeCell ref="B20:B22"/>
    <mergeCell ref="A1:B1"/>
    <mergeCell ref="A7:B10"/>
    <mergeCell ref="A11:B13"/>
    <mergeCell ref="B14:B16"/>
  </mergeCells>
  <phoneticPr fontId="0" type="noConversion"/>
  <hyperlinks>
    <hyperlink ref="B46" r:id="rId1" display="www.cbs.nl/kredo "/>
    <hyperlink ref="B47" r:id="rId2" display="kredo@cbs.nl "/>
  </hyperlinks>
  <pageMargins left="0.75" right="0.75" top="1" bottom="1" header="0.5" footer="0.5"/>
  <pageSetup paperSize="9" scale="93" orientation="portrait" r:id="rId3"/>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9"/>
  <dimension ref="A1:AA128"/>
  <sheetViews>
    <sheetView tabSelected="1" defaultGridColor="0" colorId="22" workbookViewId="0">
      <selection activeCell="H36" sqref="H36"/>
    </sheetView>
  </sheetViews>
  <sheetFormatPr defaultColWidth="8.7109375" defaultRowHeight="12.75"/>
  <cols>
    <col min="1" max="1" width="51.42578125" style="6" customWidth="1"/>
    <col min="2" max="2" width="12.85546875" style="6" bestFit="1" customWidth="1"/>
    <col min="3" max="5" width="11.140625" style="6" customWidth="1"/>
    <col min="6" max="6" width="13.28515625" style="7" customWidth="1"/>
    <col min="7" max="7" width="12.85546875" style="6" customWidth="1"/>
    <col min="8" max="9" width="11.140625" style="6" customWidth="1"/>
    <col min="10" max="13" width="8.85546875" style="6" customWidth="1"/>
    <col min="14" max="14" width="34.42578125" style="6" customWidth="1"/>
    <col min="15" max="15" width="8.85546875" style="6" customWidth="1"/>
    <col min="16" max="16" width="21.5703125" style="6" customWidth="1"/>
    <col min="17" max="18" width="8.85546875" style="6" customWidth="1"/>
    <col min="19" max="20" width="8.7109375" style="6"/>
    <col min="21" max="21" width="10.5703125" style="6" bestFit="1" customWidth="1"/>
    <col min="22" max="22" width="8.7109375" style="6"/>
    <col min="23" max="24" width="9.5703125" style="6" bestFit="1" customWidth="1"/>
    <col min="25" max="16384" width="8.7109375" style="6"/>
  </cols>
  <sheetData>
    <row r="1" spans="1:14" ht="18.75" customHeight="1">
      <c r="A1" s="238" t="s">
        <v>512</v>
      </c>
      <c r="B1" s="239"/>
      <c r="C1" s="240"/>
    </row>
    <row r="2" spans="1:14" ht="7.5" customHeight="1">
      <c r="A2" s="238"/>
      <c r="B2" s="239"/>
      <c r="C2" s="241"/>
      <c r="D2" s="242"/>
    </row>
    <row r="3" spans="1:14" ht="54" customHeight="1">
      <c r="A3" s="491" t="s">
        <v>513</v>
      </c>
      <c r="B3" s="491"/>
      <c r="C3" s="491"/>
      <c r="D3" s="491"/>
    </row>
    <row r="4" spans="1:14" ht="6" customHeight="1">
      <c r="A4" s="357"/>
      <c r="B4" s="357"/>
      <c r="C4" s="357"/>
      <c r="D4" s="357"/>
    </row>
    <row r="5" spans="1:14" ht="25.5" customHeight="1">
      <c r="A5" s="491" t="s">
        <v>514</v>
      </c>
      <c r="B5" s="491"/>
      <c r="C5" s="491"/>
      <c r="D5" s="491"/>
      <c r="G5" s="243"/>
    </row>
    <row r="6" spans="1:14" ht="6" customHeight="1">
      <c r="A6" s="357"/>
      <c r="B6" s="357"/>
      <c r="C6" s="357"/>
      <c r="D6" s="357"/>
      <c r="G6" s="243"/>
    </row>
    <row r="7" spans="1:14" ht="42" customHeight="1">
      <c r="A7" s="492" t="s">
        <v>515</v>
      </c>
      <c r="B7" s="492"/>
      <c r="C7" s="492"/>
      <c r="D7" s="492"/>
    </row>
    <row r="8" spans="1:14" ht="12.75" customHeight="1">
      <c r="A8" s="357"/>
      <c r="B8" s="242"/>
      <c r="C8" s="242"/>
      <c r="D8" s="242"/>
      <c r="G8" s="7"/>
      <c r="H8" s="7"/>
      <c r="I8" s="7"/>
      <c r="J8" s="7"/>
      <c r="K8" s="7"/>
      <c r="L8" s="7"/>
    </row>
    <row r="9" spans="1:14" ht="15.75">
      <c r="A9" s="374" t="s">
        <v>434</v>
      </c>
      <c r="B9" s="242"/>
      <c r="C9" s="242"/>
      <c r="D9" s="242"/>
      <c r="G9" s="7"/>
      <c r="H9" s="7"/>
      <c r="I9" s="7"/>
      <c r="J9" s="7"/>
      <c r="K9" s="7"/>
      <c r="L9" s="7"/>
    </row>
    <row r="10" spans="1:14" ht="13.5" thickBot="1">
      <c r="A10" s="357"/>
      <c r="B10" s="242"/>
      <c r="C10" s="242"/>
      <c r="D10" s="242"/>
      <c r="F10" s="493" t="s">
        <v>435</v>
      </c>
      <c r="G10" s="493"/>
      <c r="H10" s="493"/>
      <c r="I10" s="490" t="s">
        <v>478</v>
      </c>
      <c r="J10" s="490"/>
    </row>
    <row r="11" spans="1:14" s="245" customFormat="1" ht="12" customHeight="1" thickTop="1">
      <c r="A11" s="375" t="s">
        <v>436</v>
      </c>
      <c r="B11" s="376" t="s">
        <v>437</v>
      </c>
      <c r="C11" s="377" t="s">
        <v>438</v>
      </c>
      <c r="D11" s="378"/>
      <c r="E11" s="6"/>
      <c r="F11" s="244"/>
      <c r="G11" s="244"/>
      <c r="H11" s="244"/>
      <c r="I11" s="490"/>
      <c r="J11" s="490"/>
      <c r="K11" s="6"/>
      <c r="L11" s="6"/>
      <c r="M11" s="6"/>
      <c r="N11" s="6"/>
    </row>
    <row r="12" spans="1:14" s="245" customFormat="1" ht="12.75" customHeight="1">
      <c r="A12" s="379" t="s">
        <v>439</v>
      </c>
      <c r="B12" s="380">
        <f>IF(ISERROR(+$B$32),"",+$B$32)</f>
        <v>1.0537191869230743E-7</v>
      </c>
      <c r="C12" s="381" t="str">
        <f>IF(ISERROR(+$B$33),"",+$B$33)</f>
        <v>voldoende</v>
      </c>
      <c r="D12" s="6"/>
      <c r="F12" s="246"/>
      <c r="G12" s="244">
        <f>IF(C12="onvoldoende",1,0)</f>
        <v>0</v>
      </c>
      <c r="H12" s="247"/>
      <c r="I12" s="490"/>
      <c r="J12" s="490"/>
    </row>
    <row r="13" spans="1:14" s="245" customFormat="1">
      <c r="A13" s="379" t="s">
        <v>440</v>
      </c>
      <c r="B13" s="380">
        <f>IF(ISERROR($B$68),"",$B$68)</f>
        <v>0</v>
      </c>
      <c r="C13" s="381" t="str">
        <f>IF(ISERROR($B$69),"",$B$69)</f>
        <v>voldoende</v>
      </c>
      <c r="D13" s="6"/>
      <c r="F13" s="247"/>
      <c r="G13" s="244">
        <f>IF(C13="onvoldoende",1,0)</f>
        <v>0</v>
      </c>
      <c r="H13" s="247"/>
      <c r="I13" s="490"/>
      <c r="J13" s="490"/>
    </row>
    <row r="14" spans="1:14">
      <c r="A14" s="379" t="s">
        <v>441</v>
      </c>
      <c r="B14" s="382">
        <f>IF(ISERROR($B$104),"",$B$104)</f>
        <v>5.9030408096367882E-17</v>
      </c>
      <c r="C14" s="381" t="str">
        <f>IF(ISERROR($B$105),"",$B$105)</f>
        <v>voldoende</v>
      </c>
      <c r="F14" s="248"/>
      <c r="G14" s="244">
        <f>IF(C14="onvoldoende",1,0)</f>
        <v>0</v>
      </c>
      <c r="H14" s="248"/>
      <c r="I14" s="490"/>
      <c r="J14" s="490"/>
      <c r="K14" s="245"/>
      <c r="L14" s="245"/>
      <c r="M14" s="245"/>
      <c r="N14" s="245"/>
    </row>
    <row r="15" spans="1:14">
      <c r="A15" s="379" t="s">
        <v>442</v>
      </c>
      <c r="B15" s="380">
        <f>IF(ISERROR(B111),"",B111)</f>
        <v>0</v>
      </c>
      <c r="C15" s="381" t="str">
        <f>IF(ISERROR($B$112),"",$B$112)</f>
        <v>voldoende</v>
      </c>
      <c r="F15" s="248"/>
      <c r="G15" s="244">
        <f>IF(C15="onvoldoende",1,0)</f>
        <v>0</v>
      </c>
      <c r="H15" s="248"/>
      <c r="I15" s="490"/>
      <c r="J15" s="490"/>
      <c r="K15" s="245"/>
      <c r="L15" s="245"/>
      <c r="M15" s="245"/>
      <c r="N15" s="245"/>
    </row>
    <row r="16" spans="1:14">
      <c r="A16" s="379" t="s">
        <v>443</v>
      </c>
      <c r="B16" s="382">
        <f>IF(ISERROR(+$B$125),"",+$B$125)</f>
        <v>0</v>
      </c>
      <c r="C16" s="381" t="str">
        <f>IF(ISERROR($B$126),"",$B$126)</f>
        <v>voldoende</v>
      </c>
      <c r="F16" s="248"/>
      <c r="G16" s="244">
        <f>IF(C16="onvoldoende",1,0)</f>
        <v>0</v>
      </c>
      <c r="H16" s="248"/>
      <c r="I16" s="490"/>
      <c r="J16" s="490"/>
    </row>
    <row r="17" spans="1:10" ht="13.5" thickBot="1">
      <c r="A17" s="379"/>
      <c r="B17" s="380"/>
      <c r="C17" s="381"/>
      <c r="F17" s="248"/>
      <c r="G17" s="249"/>
      <c r="H17" s="248"/>
      <c r="I17" s="490"/>
      <c r="J17" s="490"/>
    </row>
    <row r="18" spans="1:10" ht="15" customHeight="1" thickTop="1" thickBot="1">
      <c r="A18" s="383" t="s">
        <v>444</v>
      </c>
      <c r="B18" s="384"/>
      <c r="C18" s="385" t="str">
        <f>+G18</f>
        <v>voldoende</v>
      </c>
      <c r="F18" s="250"/>
      <c r="G18" s="251" t="str">
        <f>IF(SUM(G12:G16)=0,"voldoende","onvoldoende")</f>
        <v>voldoende</v>
      </c>
      <c r="H18" s="247"/>
      <c r="I18" s="490"/>
      <c r="J18" s="490"/>
    </row>
    <row r="19" spans="1:10" ht="13.5" thickTop="1">
      <c r="A19" s="357"/>
      <c r="B19" s="242"/>
      <c r="C19" s="242"/>
      <c r="D19" s="242"/>
    </row>
    <row r="20" spans="1:10" ht="15.75">
      <c r="A20" s="374" t="s">
        <v>445</v>
      </c>
      <c r="B20" s="357"/>
      <c r="C20" s="357"/>
      <c r="D20" s="242"/>
    </row>
    <row r="21" spans="1:10">
      <c r="A21" s="357"/>
      <c r="B21" s="357"/>
      <c r="C21" s="357"/>
      <c r="D21" s="357"/>
    </row>
    <row r="22" spans="1:10">
      <c r="A22" s="252" t="s">
        <v>446</v>
      </c>
      <c r="B22" s="253"/>
      <c r="C22" s="253"/>
      <c r="D22" s="242"/>
    </row>
    <row r="23" spans="1:10">
      <c r="A23" s="254" t="s">
        <v>480</v>
      </c>
      <c r="B23" s="254" t="s">
        <v>447</v>
      </c>
      <c r="C23" s="254" t="s">
        <v>448</v>
      </c>
      <c r="D23" s="242"/>
    </row>
    <row r="24" spans="1:10">
      <c r="A24" s="255">
        <f>SUM('5.Verdelingsmatrix lasten'!$D$165:$R$165)-SUM('5.Verdelingsmatrix lasten'!$D$114:$R$121)-SUM('5.Verdelingsmatrix lasten'!$D$131:$R$137)-SUM('5.Verdelingsmatrix lasten'!$D$146:$R$153)-SUM('5.Verdelingsmatrix lasten'!$D$157:$R$160)</f>
        <v>170823.72468999994</v>
      </c>
      <c r="B24" s="256">
        <f>+'4.Informatie'!$C$8</f>
        <v>2</v>
      </c>
      <c r="C24" s="257">
        <f>IF(B24=0,"nvt",+ROUND((ABS(A24))/B24*4,0))</f>
        <v>341647</v>
      </c>
      <c r="D24" s="242"/>
    </row>
    <row r="25" spans="1:10">
      <c r="D25" s="242"/>
    </row>
    <row r="26" spans="1:10" ht="15.75">
      <c r="A26" s="374" t="s">
        <v>449</v>
      </c>
      <c r="B26" s="386"/>
      <c r="D26" s="357"/>
    </row>
    <row r="27" spans="1:10" ht="12.75" customHeight="1">
      <c r="E27" s="242"/>
      <c r="F27" s="258"/>
    </row>
    <row r="28" spans="1:10" ht="12.75" customHeight="1">
      <c r="A28" s="259" t="s">
        <v>450</v>
      </c>
      <c r="C28" s="387"/>
      <c r="D28" s="388"/>
      <c r="E28" s="260"/>
      <c r="F28" s="261"/>
    </row>
    <row r="29" spans="1:10" ht="27.75" customHeight="1">
      <c r="A29" s="262" t="s">
        <v>479</v>
      </c>
      <c r="B29" s="263">
        <f>SUM('6.Verdelingsmatrix baten'!$D$165:$R$165)+'6.Verdelingsmatrix baten'!$AB$165-(SUM('5.Verdelingsmatrix lasten'!$D$165:$R$165)+'5.Verdelingsmatrix lasten'!$AB$165)</f>
        <v>-29136.150589999917</v>
      </c>
      <c r="C29" s="357"/>
      <c r="D29" s="241"/>
      <c r="E29" s="241"/>
      <c r="F29" s="240"/>
      <c r="G29" s="264"/>
      <c r="H29" s="264"/>
      <c r="I29" s="264"/>
    </row>
    <row r="30" spans="1:10" ht="12.75" customHeight="1">
      <c r="A30" s="262" t="s">
        <v>531</v>
      </c>
      <c r="B30" s="265">
        <f>SUM('5.Verdelingsmatrix lasten'!$T$165:$AA$165)-SUM('6.Verdelingsmatrix baten'!$T$165:$AA$165)</f>
        <v>-29136.114590000012</v>
      </c>
      <c r="C30" s="357"/>
      <c r="D30" s="229"/>
      <c r="E30" s="241"/>
      <c r="F30" s="240"/>
      <c r="G30" s="264"/>
      <c r="H30" s="264"/>
      <c r="I30" s="264"/>
    </row>
    <row r="31" spans="1:10" ht="28.5" customHeight="1">
      <c r="A31" s="266" t="s">
        <v>451</v>
      </c>
      <c r="B31" s="267">
        <f>+ABS(B29-B30)</f>
        <v>3.5999999905470759E-2</v>
      </c>
      <c r="C31" s="357"/>
      <c r="D31" s="260"/>
      <c r="E31" s="260"/>
      <c r="F31" s="261"/>
    </row>
    <row r="32" spans="1:10" ht="27.75" customHeight="1">
      <c r="A32" s="268" t="s">
        <v>452</v>
      </c>
      <c r="B32" s="269">
        <f>+B31/C24</f>
        <v>1.0537191869230743E-7</v>
      </c>
      <c r="C32" s="357"/>
      <c r="D32" s="242"/>
      <c r="E32" s="242"/>
      <c r="F32" s="258"/>
    </row>
    <row r="33" spans="1:27" ht="12.75" customHeight="1">
      <c r="A33" s="270" t="s">
        <v>453</v>
      </c>
      <c r="B33" s="271" t="str">
        <f>IF(B32&lt;=0.01,"voldoende","onvoldoende")</f>
        <v>voldoende</v>
      </c>
      <c r="C33" s="357"/>
      <c r="D33" s="389"/>
      <c r="E33" s="242"/>
      <c r="F33" s="258"/>
      <c r="J33" s="390"/>
      <c r="K33" s="390"/>
      <c r="L33" s="390"/>
      <c r="M33" s="242"/>
      <c r="N33" s="242"/>
      <c r="O33" s="243"/>
      <c r="U33" s="7"/>
      <c r="AA33" s="7"/>
    </row>
    <row r="34" spans="1:27" ht="12.75" customHeight="1">
      <c r="A34" s="387"/>
      <c r="B34" s="387"/>
      <c r="C34" s="387"/>
      <c r="D34" s="387"/>
      <c r="E34" s="242"/>
      <c r="F34" s="258"/>
      <c r="J34" s="390"/>
      <c r="K34" s="390"/>
      <c r="L34" s="390"/>
      <c r="M34" s="242"/>
      <c r="N34" s="242"/>
      <c r="O34" s="243"/>
      <c r="U34" s="7"/>
      <c r="AA34" s="7"/>
    </row>
    <row r="35" spans="1:27" ht="12.75" customHeight="1">
      <c r="A35" s="357"/>
      <c r="B35" s="357"/>
      <c r="C35" s="357"/>
      <c r="D35" s="242"/>
      <c r="E35" s="242"/>
      <c r="F35" s="258"/>
      <c r="I35" s="10"/>
      <c r="U35" s="272"/>
      <c r="AA35" s="7"/>
    </row>
    <row r="36" spans="1:27" ht="12.75" customHeight="1">
      <c r="A36" s="273" t="s">
        <v>454</v>
      </c>
      <c r="F36" s="264"/>
      <c r="G36" s="274"/>
      <c r="H36" s="275"/>
      <c r="I36" s="275"/>
      <c r="J36" s="276"/>
      <c r="K36" s="276"/>
      <c r="L36" s="277"/>
      <c r="M36" s="276"/>
      <c r="N36" s="276"/>
      <c r="O36" s="253"/>
      <c r="P36" s="253"/>
      <c r="U36" s="7"/>
      <c r="AA36" s="7"/>
    </row>
    <row r="37" spans="1:27" ht="12.75" customHeight="1">
      <c r="A37" s="278" t="s">
        <v>455</v>
      </c>
      <c r="B37" s="279" t="s">
        <v>481</v>
      </c>
      <c r="C37" s="279" t="s">
        <v>482</v>
      </c>
      <c r="D37" s="279" t="s">
        <v>516</v>
      </c>
      <c r="E37" s="279" t="s">
        <v>483</v>
      </c>
      <c r="F37" s="280" t="s">
        <v>456</v>
      </c>
      <c r="G37" s="281"/>
      <c r="H37" s="281"/>
      <c r="I37" s="281"/>
      <c r="J37" s="281"/>
      <c r="K37" s="281"/>
      <c r="L37" s="281"/>
      <c r="M37" s="281"/>
      <c r="N37" s="281"/>
      <c r="O37" s="253"/>
      <c r="P37" s="253"/>
      <c r="U37" s="7"/>
      <c r="AA37" s="7"/>
    </row>
    <row r="38" spans="1:27" ht="18.75" customHeight="1">
      <c r="A38" s="282" t="s">
        <v>116</v>
      </c>
      <c r="B38" s="263">
        <f>SUM('5.Verdelingsmatrix lasten'!$C114:$R114)</f>
        <v>0</v>
      </c>
      <c r="C38" s="263">
        <f>SUM('5.Verdelingsmatrix lasten'!$S114,'5.Verdelingsmatrix lasten'!$AB114)</f>
        <v>0</v>
      </c>
      <c r="D38" s="263">
        <f>SUM('6.Verdelingsmatrix baten'!$C114:$R114)</f>
        <v>0</v>
      </c>
      <c r="E38" s="263">
        <f>SUM('6.Verdelingsmatrix baten'!$S114,'6.Verdelingsmatrix baten'!$AB114)</f>
        <v>0</v>
      </c>
      <c r="F38" s="283">
        <f t="shared" ref="F38:F64" si="0">ABS(B38+C38)+ABS(D38+E38)</f>
        <v>0</v>
      </c>
      <c r="G38" s="284"/>
      <c r="H38" s="284"/>
      <c r="I38" s="285"/>
      <c r="J38" s="286"/>
      <c r="K38" s="286"/>
      <c r="L38" s="285"/>
      <c r="M38" s="287"/>
      <c r="N38" s="284"/>
      <c r="O38" s="276"/>
      <c r="P38" s="276"/>
      <c r="Q38" s="276"/>
      <c r="R38" s="276"/>
      <c r="U38" s="7"/>
      <c r="AA38" s="7"/>
    </row>
    <row r="39" spans="1:27" ht="12.75" customHeight="1">
      <c r="A39" s="282" t="s">
        <v>118</v>
      </c>
      <c r="B39" s="265">
        <f>SUM('5.Verdelingsmatrix lasten'!$C115:$R115)</f>
        <v>0</v>
      </c>
      <c r="C39" s="265">
        <f>SUM('5.Verdelingsmatrix lasten'!$S115,'5.Verdelingsmatrix lasten'!$AB115)</f>
        <v>0</v>
      </c>
      <c r="D39" s="265">
        <f>SUM('6.Verdelingsmatrix baten'!$C115:$R115)</f>
        <v>0</v>
      </c>
      <c r="E39" s="265">
        <f>SUM('6.Verdelingsmatrix baten'!$S115,'6.Verdelingsmatrix baten'!$AB115)</f>
        <v>0</v>
      </c>
      <c r="F39" s="288">
        <f t="shared" si="0"/>
        <v>0</v>
      </c>
      <c r="G39" s="284"/>
      <c r="H39" s="284"/>
      <c r="I39" s="285"/>
      <c r="J39" s="286"/>
      <c r="K39" s="286"/>
      <c r="L39" s="285"/>
      <c r="M39" s="287"/>
      <c r="N39" s="284"/>
      <c r="O39" s="391"/>
      <c r="P39" s="391"/>
      <c r="Q39" s="392"/>
      <c r="R39" s="392"/>
    </row>
    <row r="40" spans="1:27" ht="12.75" customHeight="1">
      <c r="A40" s="282" t="s">
        <v>120</v>
      </c>
      <c r="B40" s="265">
        <f>SUM('5.Verdelingsmatrix lasten'!$C116:$R116)</f>
        <v>0</v>
      </c>
      <c r="C40" s="265">
        <f>SUM('5.Verdelingsmatrix lasten'!$S116,'5.Verdelingsmatrix lasten'!$AB116)</f>
        <v>0</v>
      </c>
      <c r="D40" s="265">
        <f>SUM('6.Verdelingsmatrix baten'!$C116:$R116)</f>
        <v>0</v>
      </c>
      <c r="E40" s="265">
        <f>SUM('6.Verdelingsmatrix baten'!$S116,'6.Verdelingsmatrix baten'!$AB116)</f>
        <v>0</v>
      </c>
      <c r="F40" s="288">
        <f t="shared" si="0"/>
        <v>0</v>
      </c>
      <c r="G40" s="284"/>
      <c r="H40" s="284"/>
      <c r="I40" s="285"/>
      <c r="J40" s="286"/>
      <c r="K40" s="286"/>
      <c r="L40" s="285"/>
      <c r="M40" s="287"/>
      <c r="N40" s="284"/>
      <c r="O40" s="393"/>
      <c r="P40" s="393"/>
      <c r="Q40" s="394"/>
      <c r="R40" s="394"/>
    </row>
    <row r="41" spans="1:27" ht="12.75" customHeight="1">
      <c r="A41" s="282" t="s">
        <v>122</v>
      </c>
      <c r="B41" s="265">
        <f>SUM('5.Verdelingsmatrix lasten'!$C117:$R117)</f>
        <v>0</v>
      </c>
      <c r="C41" s="265">
        <f>SUM('5.Verdelingsmatrix lasten'!$S117,'5.Verdelingsmatrix lasten'!$AB117)</f>
        <v>0</v>
      </c>
      <c r="D41" s="265">
        <f>SUM('6.Verdelingsmatrix baten'!$C117:$R117)</f>
        <v>0</v>
      </c>
      <c r="E41" s="265">
        <f>SUM('6.Verdelingsmatrix baten'!$S117,'6.Verdelingsmatrix baten'!$AB117)</f>
        <v>0</v>
      </c>
      <c r="F41" s="288">
        <f t="shared" si="0"/>
        <v>0</v>
      </c>
      <c r="G41" s="284"/>
      <c r="H41" s="284"/>
      <c r="I41" s="285"/>
      <c r="J41" s="286"/>
      <c r="K41" s="286"/>
      <c r="L41" s="285"/>
      <c r="M41" s="287"/>
      <c r="N41" s="284"/>
      <c r="O41" s="286"/>
      <c r="P41" s="286"/>
      <c r="Q41" s="286"/>
      <c r="R41" s="286"/>
    </row>
    <row r="42" spans="1:27" ht="12.75" customHeight="1">
      <c r="A42" s="282" t="s">
        <v>124</v>
      </c>
      <c r="B42" s="265">
        <f>SUM('5.Verdelingsmatrix lasten'!$C118:$R118)</f>
        <v>0</v>
      </c>
      <c r="C42" s="265">
        <f>SUM('5.Verdelingsmatrix lasten'!$S118,'5.Verdelingsmatrix lasten'!$AB118)</f>
        <v>0</v>
      </c>
      <c r="D42" s="265">
        <f>SUM('6.Verdelingsmatrix baten'!$C118:$R118)</f>
        <v>0</v>
      </c>
      <c r="E42" s="265">
        <f>SUM('6.Verdelingsmatrix baten'!$S118,'6.Verdelingsmatrix baten'!$AB118)</f>
        <v>0</v>
      </c>
      <c r="F42" s="288">
        <f t="shared" si="0"/>
        <v>0</v>
      </c>
      <c r="G42" s="284"/>
      <c r="H42" s="284"/>
      <c r="I42" s="285"/>
      <c r="J42" s="286"/>
      <c r="K42" s="286"/>
      <c r="L42" s="285"/>
      <c r="M42" s="287"/>
      <c r="N42" s="284"/>
      <c r="O42" s="286"/>
      <c r="P42" s="286"/>
      <c r="Q42" s="286"/>
      <c r="R42" s="286"/>
    </row>
    <row r="43" spans="1:27" ht="12.75" customHeight="1">
      <c r="A43" s="282" t="s">
        <v>126</v>
      </c>
      <c r="B43" s="265">
        <f>SUM('5.Verdelingsmatrix lasten'!$C119:$R119)</f>
        <v>0</v>
      </c>
      <c r="C43" s="265">
        <f>SUM('5.Verdelingsmatrix lasten'!$S119,'5.Verdelingsmatrix lasten'!$AB119)</f>
        <v>0</v>
      </c>
      <c r="D43" s="265">
        <f>SUM('6.Verdelingsmatrix baten'!$C119:$R119)</f>
        <v>0</v>
      </c>
      <c r="E43" s="265">
        <f>SUM('6.Verdelingsmatrix baten'!$S119,'6.Verdelingsmatrix baten'!$AB119)</f>
        <v>0</v>
      </c>
      <c r="F43" s="288">
        <f t="shared" si="0"/>
        <v>0</v>
      </c>
      <c r="G43" s="284"/>
      <c r="H43" s="284"/>
      <c r="I43" s="285"/>
      <c r="J43" s="286"/>
      <c r="K43" s="286"/>
      <c r="L43" s="285"/>
      <c r="M43" s="287"/>
      <c r="N43" s="284"/>
      <c r="O43" s="289"/>
      <c r="P43" s="289"/>
      <c r="Q43" s="289"/>
      <c r="R43" s="289"/>
    </row>
    <row r="44" spans="1:27" ht="18.75" customHeight="1">
      <c r="A44" s="282" t="s">
        <v>128</v>
      </c>
      <c r="B44" s="265">
        <f>SUM('5.Verdelingsmatrix lasten'!$C120:$R120)</f>
        <v>0</v>
      </c>
      <c r="C44" s="265">
        <f>SUM('5.Verdelingsmatrix lasten'!$S120,'5.Verdelingsmatrix lasten'!$AB120)</f>
        <v>0</v>
      </c>
      <c r="D44" s="265">
        <f>SUM('6.Verdelingsmatrix baten'!$C120:$R120)</f>
        <v>0</v>
      </c>
      <c r="E44" s="265">
        <f>SUM('6.Verdelingsmatrix baten'!$S120,'6.Verdelingsmatrix baten'!$AB120)</f>
        <v>0</v>
      </c>
      <c r="F44" s="288">
        <f t="shared" si="0"/>
        <v>0</v>
      </c>
      <c r="G44" s="284"/>
      <c r="H44" s="284"/>
      <c r="I44" s="285"/>
      <c r="J44" s="286"/>
      <c r="K44" s="286"/>
      <c r="L44" s="285"/>
      <c r="M44" s="287"/>
      <c r="N44" s="284"/>
      <c r="O44" s="290"/>
      <c r="P44" s="290"/>
      <c r="Q44" s="290"/>
      <c r="R44" s="290"/>
    </row>
    <row r="45" spans="1:27" ht="12.75" customHeight="1">
      <c r="A45" s="282" t="s">
        <v>130</v>
      </c>
      <c r="B45" s="265">
        <f>SUM('5.Verdelingsmatrix lasten'!$C121:$R121)</f>
        <v>0</v>
      </c>
      <c r="C45" s="265">
        <f>SUM('5.Verdelingsmatrix lasten'!$S121,'5.Verdelingsmatrix lasten'!$AB121)</f>
        <v>0</v>
      </c>
      <c r="D45" s="265">
        <f>SUM('6.Verdelingsmatrix baten'!$C121:$R121)</f>
        <v>0</v>
      </c>
      <c r="E45" s="265">
        <f>SUM('6.Verdelingsmatrix baten'!$S121,'6.Verdelingsmatrix baten'!$AB121)</f>
        <v>0</v>
      </c>
      <c r="F45" s="288">
        <f t="shared" si="0"/>
        <v>0</v>
      </c>
      <c r="G45" s="284"/>
      <c r="H45" s="284"/>
      <c r="I45" s="285"/>
      <c r="J45" s="286"/>
      <c r="K45" s="286"/>
      <c r="L45" s="285"/>
      <c r="M45" s="287"/>
      <c r="N45" s="284"/>
      <c r="O45" s="253"/>
      <c r="P45" s="253"/>
    </row>
    <row r="46" spans="1:27" ht="12.75" customHeight="1">
      <c r="A46" s="282" t="s">
        <v>146</v>
      </c>
      <c r="B46" s="265">
        <f>SUM('5.Verdelingsmatrix lasten'!$C131:$R131)</f>
        <v>0</v>
      </c>
      <c r="C46" s="265">
        <f>SUM('5.Verdelingsmatrix lasten'!$S131,'5.Verdelingsmatrix lasten'!$AB131)</f>
        <v>0</v>
      </c>
      <c r="D46" s="265">
        <f>SUM('6.Verdelingsmatrix baten'!$C131:$R131)</f>
        <v>0</v>
      </c>
      <c r="E46" s="265">
        <f>SUM('6.Verdelingsmatrix baten'!$S131,'6.Verdelingsmatrix baten'!$AB131)</f>
        <v>0</v>
      </c>
      <c r="F46" s="288">
        <f t="shared" si="0"/>
        <v>0</v>
      </c>
      <c r="G46" s="284"/>
      <c r="H46" s="284"/>
      <c r="I46" s="285"/>
      <c r="J46" s="286"/>
      <c r="K46" s="286"/>
      <c r="L46" s="285"/>
      <c r="M46" s="287"/>
      <c r="N46" s="284"/>
      <c r="O46" s="253"/>
      <c r="P46" s="253"/>
    </row>
    <row r="47" spans="1:27" ht="10.5" customHeight="1">
      <c r="A47" s="282" t="s">
        <v>148</v>
      </c>
      <c r="B47" s="265">
        <f>SUM('5.Verdelingsmatrix lasten'!$C132:$R132)</f>
        <v>0</v>
      </c>
      <c r="C47" s="265">
        <f>SUM('5.Verdelingsmatrix lasten'!$S132,'5.Verdelingsmatrix lasten'!$AB132)</f>
        <v>0</v>
      </c>
      <c r="D47" s="265">
        <f>SUM('6.Verdelingsmatrix baten'!$C132:$R132)</f>
        <v>0</v>
      </c>
      <c r="E47" s="265">
        <f>SUM('6.Verdelingsmatrix baten'!$S132,'6.Verdelingsmatrix baten'!$AB132)</f>
        <v>0</v>
      </c>
      <c r="F47" s="288">
        <f t="shared" si="0"/>
        <v>0</v>
      </c>
      <c r="G47" s="284"/>
      <c r="H47" s="284"/>
      <c r="I47" s="285"/>
      <c r="J47" s="286"/>
      <c r="K47" s="286"/>
      <c r="L47" s="285"/>
      <c r="M47" s="287"/>
      <c r="N47" s="284"/>
      <c r="O47" s="253"/>
      <c r="P47" s="253"/>
    </row>
    <row r="48" spans="1:27" ht="18.75" customHeight="1">
      <c r="A48" s="282" t="s">
        <v>150</v>
      </c>
      <c r="B48" s="265">
        <f>SUM('5.Verdelingsmatrix lasten'!$C133:$R133)</f>
        <v>0</v>
      </c>
      <c r="C48" s="265">
        <f>SUM('5.Verdelingsmatrix lasten'!$S133,'5.Verdelingsmatrix lasten'!$AB133)</f>
        <v>0</v>
      </c>
      <c r="D48" s="265">
        <f>SUM('6.Verdelingsmatrix baten'!$C133:$R133)</f>
        <v>0</v>
      </c>
      <c r="E48" s="265">
        <f>SUM('6.Verdelingsmatrix baten'!$S133,'6.Verdelingsmatrix baten'!$AB133)</f>
        <v>0</v>
      </c>
      <c r="F48" s="288">
        <f t="shared" si="0"/>
        <v>0</v>
      </c>
      <c r="G48" s="284"/>
      <c r="H48" s="284"/>
      <c r="I48" s="285"/>
      <c r="J48" s="286"/>
      <c r="K48" s="286"/>
      <c r="L48" s="285"/>
      <c r="M48" s="287"/>
      <c r="N48" s="284"/>
      <c r="O48" s="253"/>
      <c r="P48" s="253"/>
    </row>
    <row r="49" spans="1:18" ht="12.75" customHeight="1">
      <c r="A49" s="282" t="s">
        <v>152</v>
      </c>
      <c r="B49" s="265">
        <f>SUM('5.Verdelingsmatrix lasten'!$C134:$R134)</f>
        <v>0</v>
      </c>
      <c r="C49" s="265">
        <f>SUM('5.Verdelingsmatrix lasten'!$S134,'5.Verdelingsmatrix lasten'!$AB134)</f>
        <v>0</v>
      </c>
      <c r="D49" s="265">
        <f>SUM('6.Verdelingsmatrix baten'!$C134:$R134)</f>
        <v>0</v>
      </c>
      <c r="E49" s="265">
        <f>SUM('6.Verdelingsmatrix baten'!$S134,'6.Verdelingsmatrix baten'!$AB134)</f>
        <v>0</v>
      </c>
      <c r="F49" s="288">
        <f t="shared" si="0"/>
        <v>0</v>
      </c>
      <c r="G49" s="284"/>
      <c r="H49" s="284"/>
      <c r="I49" s="285"/>
      <c r="J49" s="286"/>
      <c r="K49" s="286"/>
      <c r="L49" s="285"/>
      <c r="M49" s="287"/>
      <c r="N49" s="284"/>
      <c r="O49" s="253"/>
      <c r="P49" s="253"/>
    </row>
    <row r="50" spans="1:18" ht="12.75" customHeight="1">
      <c r="A50" s="282" t="s">
        <v>154</v>
      </c>
      <c r="B50" s="265">
        <f>SUM('5.Verdelingsmatrix lasten'!$C135:$R135)</f>
        <v>0</v>
      </c>
      <c r="C50" s="265">
        <f>SUM('5.Verdelingsmatrix lasten'!$S135,'5.Verdelingsmatrix lasten'!$AB135)</f>
        <v>0</v>
      </c>
      <c r="D50" s="265">
        <f>SUM('6.Verdelingsmatrix baten'!$C135:$R135)</f>
        <v>0</v>
      </c>
      <c r="E50" s="265">
        <f>SUM('6.Verdelingsmatrix baten'!$S135,'6.Verdelingsmatrix baten'!$AB135)</f>
        <v>0</v>
      </c>
      <c r="F50" s="288">
        <f t="shared" si="0"/>
        <v>0</v>
      </c>
      <c r="G50" s="284"/>
      <c r="H50" s="284"/>
      <c r="I50" s="285"/>
      <c r="J50" s="286"/>
      <c r="K50" s="286"/>
      <c r="L50" s="285"/>
      <c r="M50" s="287"/>
      <c r="N50" s="284"/>
      <c r="O50" s="291"/>
      <c r="P50" s="291"/>
      <c r="Q50" s="7"/>
      <c r="R50" s="7"/>
    </row>
    <row r="51" spans="1:18" ht="12.75" customHeight="1">
      <c r="A51" s="282" t="s">
        <v>156</v>
      </c>
      <c r="B51" s="265">
        <f>SUM('5.Verdelingsmatrix lasten'!$C136:$R136)</f>
        <v>0</v>
      </c>
      <c r="C51" s="265">
        <f>SUM('5.Verdelingsmatrix lasten'!$S136,'5.Verdelingsmatrix lasten'!$AB136)</f>
        <v>0</v>
      </c>
      <c r="D51" s="265">
        <f>SUM('6.Verdelingsmatrix baten'!$C136:$R136)</f>
        <v>0</v>
      </c>
      <c r="E51" s="265">
        <f>SUM('6.Verdelingsmatrix baten'!$S136,'6.Verdelingsmatrix baten'!$AB136)</f>
        <v>0</v>
      </c>
      <c r="F51" s="288">
        <f t="shared" si="0"/>
        <v>0</v>
      </c>
      <c r="G51" s="284"/>
      <c r="H51" s="284"/>
      <c r="I51" s="285"/>
      <c r="J51" s="286"/>
      <c r="K51" s="286"/>
      <c r="L51" s="285"/>
      <c r="M51" s="287"/>
      <c r="N51" s="284"/>
      <c r="O51" s="253"/>
      <c r="P51" s="253"/>
    </row>
    <row r="52" spans="1:18" ht="18.75" customHeight="1">
      <c r="A52" s="282" t="s">
        <v>158</v>
      </c>
      <c r="B52" s="265">
        <f>SUM('5.Verdelingsmatrix lasten'!$C137:$R137)</f>
        <v>0</v>
      </c>
      <c r="C52" s="265">
        <f>SUM('5.Verdelingsmatrix lasten'!$S137,'5.Verdelingsmatrix lasten'!$AB137)</f>
        <v>0</v>
      </c>
      <c r="D52" s="265">
        <f>SUM('6.Verdelingsmatrix baten'!$C137:$R137)</f>
        <v>0</v>
      </c>
      <c r="E52" s="265">
        <f>SUM('6.Verdelingsmatrix baten'!$S137,'6.Verdelingsmatrix baten'!$AB137)</f>
        <v>0</v>
      </c>
      <c r="F52" s="288">
        <f t="shared" si="0"/>
        <v>0</v>
      </c>
      <c r="G52" s="284"/>
      <c r="H52" s="284"/>
      <c r="I52" s="285"/>
      <c r="J52" s="286"/>
      <c r="K52" s="286"/>
      <c r="L52" s="285"/>
      <c r="M52" s="287"/>
      <c r="N52" s="284"/>
      <c r="O52" s="253"/>
      <c r="P52" s="253"/>
    </row>
    <row r="53" spans="1:18" ht="12.75" customHeight="1">
      <c r="A53" s="282" t="s">
        <v>172</v>
      </c>
      <c r="B53" s="265">
        <f>SUM('5.Verdelingsmatrix lasten'!$C146:$R146)</f>
        <v>0</v>
      </c>
      <c r="C53" s="265">
        <f>SUM('5.Verdelingsmatrix lasten'!$S146,'5.Verdelingsmatrix lasten'!$AB146)</f>
        <v>0</v>
      </c>
      <c r="D53" s="265">
        <f>SUM('6.Verdelingsmatrix baten'!$C146:$R146)</f>
        <v>0</v>
      </c>
      <c r="E53" s="265">
        <f>SUM('6.Verdelingsmatrix baten'!$S146,'6.Verdelingsmatrix baten'!$AB146)</f>
        <v>0</v>
      </c>
      <c r="F53" s="288">
        <f t="shared" si="0"/>
        <v>0</v>
      </c>
      <c r="G53" s="284"/>
      <c r="H53" s="284"/>
      <c r="I53" s="285"/>
      <c r="J53" s="286"/>
      <c r="K53" s="286"/>
      <c r="L53" s="285"/>
      <c r="M53" s="287"/>
      <c r="N53" s="284"/>
      <c r="O53" s="253"/>
      <c r="P53" s="253"/>
    </row>
    <row r="54" spans="1:18" ht="12.75" customHeight="1">
      <c r="A54" s="282" t="s">
        <v>174</v>
      </c>
      <c r="B54" s="265">
        <f>SUM('5.Verdelingsmatrix lasten'!$C147:$R147)</f>
        <v>0</v>
      </c>
      <c r="C54" s="265">
        <f>SUM('5.Verdelingsmatrix lasten'!$S147,'5.Verdelingsmatrix lasten'!$AB147)</f>
        <v>0</v>
      </c>
      <c r="D54" s="265">
        <f>SUM('6.Verdelingsmatrix baten'!$C147:$R147)</f>
        <v>0</v>
      </c>
      <c r="E54" s="265">
        <f>SUM('6.Verdelingsmatrix baten'!$S147,'6.Verdelingsmatrix baten'!$AB147)</f>
        <v>0</v>
      </c>
      <c r="F54" s="288">
        <f t="shared" si="0"/>
        <v>0</v>
      </c>
      <c r="G54" s="284"/>
      <c r="H54" s="284"/>
      <c r="I54" s="285"/>
      <c r="J54" s="286"/>
      <c r="K54" s="286"/>
      <c r="L54" s="285"/>
      <c r="M54" s="287"/>
      <c r="N54" s="284"/>
      <c r="O54" s="253"/>
      <c r="P54" s="253"/>
    </row>
    <row r="55" spans="1:18" ht="12.75" customHeight="1">
      <c r="A55" s="282" t="s">
        <v>176</v>
      </c>
      <c r="B55" s="265">
        <f>SUM('5.Verdelingsmatrix lasten'!$C148:$R148)</f>
        <v>0</v>
      </c>
      <c r="C55" s="265">
        <f>SUM('5.Verdelingsmatrix lasten'!$S148,'5.Verdelingsmatrix lasten'!$AB148)</f>
        <v>0</v>
      </c>
      <c r="D55" s="265">
        <f>SUM('6.Verdelingsmatrix baten'!$C148:$R148)</f>
        <v>0</v>
      </c>
      <c r="E55" s="265">
        <f>SUM('6.Verdelingsmatrix baten'!$S148,'6.Verdelingsmatrix baten'!$AB148)</f>
        <v>0</v>
      </c>
      <c r="F55" s="288">
        <f t="shared" si="0"/>
        <v>0</v>
      </c>
      <c r="G55" s="284"/>
      <c r="H55" s="284"/>
      <c r="I55" s="285"/>
      <c r="J55" s="286"/>
      <c r="K55" s="286"/>
      <c r="L55" s="285"/>
      <c r="M55" s="287"/>
      <c r="N55" s="284"/>
      <c r="O55" s="253"/>
      <c r="P55" s="253"/>
    </row>
    <row r="56" spans="1:18" ht="12.75" customHeight="1">
      <c r="A56" s="282" t="s">
        <v>178</v>
      </c>
      <c r="B56" s="265">
        <f>SUM('5.Verdelingsmatrix lasten'!$C149:$R149)</f>
        <v>0</v>
      </c>
      <c r="C56" s="265">
        <f>SUM('5.Verdelingsmatrix lasten'!$S149,'5.Verdelingsmatrix lasten'!$AB149)</f>
        <v>0</v>
      </c>
      <c r="D56" s="265">
        <f>SUM('6.Verdelingsmatrix baten'!$C149:$R149)</f>
        <v>0</v>
      </c>
      <c r="E56" s="265">
        <f>SUM('6.Verdelingsmatrix baten'!$S149,'6.Verdelingsmatrix baten'!$AB149)</f>
        <v>0</v>
      </c>
      <c r="F56" s="288">
        <f t="shared" si="0"/>
        <v>0</v>
      </c>
      <c r="G56" s="284"/>
      <c r="H56" s="284"/>
      <c r="I56" s="285"/>
      <c r="J56" s="286"/>
      <c r="K56" s="286"/>
      <c r="L56" s="285"/>
      <c r="M56" s="287"/>
      <c r="N56" s="284"/>
      <c r="O56" s="253"/>
      <c r="P56" s="253"/>
    </row>
    <row r="57" spans="1:18" ht="12.75" customHeight="1">
      <c r="A57" s="282" t="s">
        <v>180</v>
      </c>
      <c r="B57" s="265">
        <f>SUM('5.Verdelingsmatrix lasten'!$C150:$R150)</f>
        <v>0</v>
      </c>
      <c r="C57" s="265">
        <f>SUM('5.Verdelingsmatrix lasten'!$S150,'5.Verdelingsmatrix lasten'!$AB150)</f>
        <v>0</v>
      </c>
      <c r="D57" s="265">
        <f>SUM('6.Verdelingsmatrix baten'!$C150:$R150)</f>
        <v>0</v>
      </c>
      <c r="E57" s="265">
        <f>SUM('6.Verdelingsmatrix baten'!$S150,'6.Verdelingsmatrix baten'!$AB150)</f>
        <v>0</v>
      </c>
      <c r="F57" s="288">
        <f t="shared" si="0"/>
        <v>0</v>
      </c>
      <c r="G57" s="284"/>
      <c r="H57" s="284"/>
      <c r="I57" s="285"/>
      <c r="J57" s="286"/>
      <c r="K57" s="286"/>
      <c r="L57" s="285"/>
      <c r="M57" s="287"/>
      <c r="N57" s="284"/>
      <c r="O57" s="253"/>
      <c r="P57" s="253"/>
    </row>
    <row r="58" spans="1:18" ht="12.75" customHeight="1">
      <c r="A58" s="282" t="s">
        <v>182</v>
      </c>
      <c r="B58" s="265">
        <f>SUM('5.Verdelingsmatrix lasten'!$C151:$R151)</f>
        <v>0</v>
      </c>
      <c r="C58" s="265">
        <f>SUM('5.Verdelingsmatrix lasten'!$S151,'5.Verdelingsmatrix lasten'!$AB151)</f>
        <v>0</v>
      </c>
      <c r="D58" s="265">
        <f>SUM('6.Verdelingsmatrix baten'!$C151:$R151)</f>
        <v>0</v>
      </c>
      <c r="E58" s="265">
        <f>SUM('6.Verdelingsmatrix baten'!$S151,'6.Verdelingsmatrix baten'!$AB151)</f>
        <v>0</v>
      </c>
      <c r="F58" s="288">
        <f t="shared" si="0"/>
        <v>0</v>
      </c>
      <c r="G58" s="284"/>
      <c r="H58" s="284"/>
      <c r="I58" s="285"/>
      <c r="J58" s="286"/>
      <c r="K58" s="286"/>
      <c r="L58" s="285"/>
      <c r="M58" s="287"/>
      <c r="N58" s="284"/>
      <c r="O58" s="253"/>
      <c r="P58" s="253"/>
    </row>
    <row r="59" spans="1:18" ht="12.75" customHeight="1">
      <c r="A59" s="282" t="s">
        <v>184</v>
      </c>
      <c r="B59" s="265">
        <f>SUM('5.Verdelingsmatrix lasten'!$C152:$R152)</f>
        <v>0</v>
      </c>
      <c r="C59" s="265">
        <f>SUM('5.Verdelingsmatrix lasten'!$S152,'5.Verdelingsmatrix lasten'!$AB152)</f>
        <v>0</v>
      </c>
      <c r="D59" s="265">
        <f>SUM('6.Verdelingsmatrix baten'!$C152:$R152)</f>
        <v>0</v>
      </c>
      <c r="E59" s="265">
        <f>SUM('6.Verdelingsmatrix baten'!$S152,'6.Verdelingsmatrix baten'!$AB152)</f>
        <v>0</v>
      </c>
      <c r="F59" s="288">
        <f t="shared" si="0"/>
        <v>0</v>
      </c>
      <c r="G59" s="284"/>
      <c r="H59" s="284"/>
      <c r="I59" s="285"/>
      <c r="J59" s="286"/>
      <c r="K59" s="286"/>
      <c r="L59" s="285"/>
      <c r="M59" s="287"/>
      <c r="N59" s="284"/>
      <c r="O59" s="253"/>
      <c r="P59" s="253"/>
    </row>
    <row r="60" spans="1:18" ht="12.75" customHeight="1">
      <c r="A60" s="282" t="s">
        <v>186</v>
      </c>
      <c r="B60" s="265">
        <f>SUM('5.Verdelingsmatrix lasten'!$C153:$R153)</f>
        <v>0</v>
      </c>
      <c r="C60" s="265">
        <f>SUM('5.Verdelingsmatrix lasten'!$S153,'5.Verdelingsmatrix lasten'!$AB153)</f>
        <v>0</v>
      </c>
      <c r="D60" s="265">
        <f>SUM('6.Verdelingsmatrix baten'!$C153:$R153)</f>
        <v>0</v>
      </c>
      <c r="E60" s="265">
        <f>SUM('6.Verdelingsmatrix baten'!$S153,'6.Verdelingsmatrix baten'!$AB153)</f>
        <v>0</v>
      </c>
      <c r="F60" s="288">
        <f t="shared" si="0"/>
        <v>0</v>
      </c>
      <c r="G60" s="284"/>
      <c r="H60" s="284"/>
      <c r="I60" s="285"/>
      <c r="J60" s="286"/>
      <c r="K60" s="286"/>
      <c r="L60" s="285"/>
      <c r="M60" s="287"/>
      <c r="N60" s="284"/>
      <c r="O60" s="253"/>
      <c r="P60" s="253"/>
    </row>
    <row r="61" spans="1:18" ht="12.75" customHeight="1">
      <c r="A61" s="282" t="s">
        <v>190</v>
      </c>
      <c r="B61" s="265">
        <f>SUM('5.Verdelingsmatrix lasten'!$C157:$R157)</f>
        <v>0</v>
      </c>
      <c r="C61" s="265">
        <f>SUM('5.Verdelingsmatrix lasten'!$S157,'5.Verdelingsmatrix lasten'!$AB157)</f>
        <v>0</v>
      </c>
      <c r="D61" s="265">
        <f>SUM('6.Verdelingsmatrix baten'!$C157:$R157)</f>
        <v>0</v>
      </c>
      <c r="E61" s="265">
        <f>SUM('6.Verdelingsmatrix baten'!$S157,'6.Verdelingsmatrix baten'!$AB157)</f>
        <v>0</v>
      </c>
      <c r="F61" s="288">
        <f t="shared" si="0"/>
        <v>0</v>
      </c>
      <c r="G61" s="284"/>
      <c r="H61" s="284"/>
      <c r="I61" s="285"/>
      <c r="J61" s="286"/>
      <c r="K61" s="286"/>
      <c r="L61" s="285"/>
      <c r="M61" s="287"/>
      <c r="N61" s="284"/>
      <c r="O61" s="253"/>
      <c r="P61" s="253"/>
    </row>
    <row r="62" spans="1:18" ht="12.75" customHeight="1">
      <c r="A62" s="282" t="s">
        <v>192</v>
      </c>
      <c r="B62" s="265">
        <f>SUM('5.Verdelingsmatrix lasten'!$C158:$R158)</f>
        <v>0</v>
      </c>
      <c r="C62" s="265">
        <f>SUM('5.Verdelingsmatrix lasten'!$S158,'5.Verdelingsmatrix lasten'!$AB158)</f>
        <v>0</v>
      </c>
      <c r="D62" s="265">
        <f>SUM('6.Verdelingsmatrix baten'!$C158:$R158)</f>
        <v>0</v>
      </c>
      <c r="E62" s="265">
        <f>SUM('6.Verdelingsmatrix baten'!$S158,'6.Verdelingsmatrix baten'!$AB158)</f>
        <v>0</v>
      </c>
      <c r="F62" s="288">
        <f t="shared" si="0"/>
        <v>0</v>
      </c>
      <c r="G62" s="284"/>
      <c r="H62" s="284"/>
      <c r="I62" s="285"/>
      <c r="J62" s="286"/>
      <c r="K62" s="286"/>
      <c r="L62" s="285"/>
      <c r="M62" s="287"/>
      <c r="N62" s="284"/>
      <c r="O62" s="253"/>
      <c r="P62" s="253"/>
    </row>
    <row r="63" spans="1:18" ht="12.75" customHeight="1">
      <c r="A63" s="282" t="s">
        <v>194</v>
      </c>
      <c r="B63" s="265">
        <f>SUM('5.Verdelingsmatrix lasten'!$C159:$R159)</f>
        <v>0</v>
      </c>
      <c r="C63" s="265">
        <f>SUM('5.Verdelingsmatrix lasten'!$S159,'5.Verdelingsmatrix lasten'!$AB159)</f>
        <v>0</v>
      </c>
      <c r="D63" s="265">
        <f>SUM('6.Verdelingsmatrix baten'!$C159:$R159)</f>
        <v>0</v>
      </c>
      <c r="E63" s="265">
        <f>SUM('6.Verdelingsmatrix baten'!$S159,'6.Verdelingsmatrix baten'!$AB159)</f>
        <v>0</v>
      </c>
      <c r="F63" s="288">
        <f t="shared" si="0"/>
        <v>0</v>
      </c>
      <c r="G63" s="284"/>
      <c r="H63" s="284"/>
      <c r="I63" s="285"/>
      <c r="J63" s="286"/>
      <c r="K63" s="286"/>
      <c r="L63" s="285"/>
      <c r="M63" s="287"/>
      <c r="N63" s="284"/>
      <c r="O63" s="253"/>
      <c r="P63" s="253"/>
    </row>
    <row r="64" spans="1:18" ht="12.75" customHeight="1" thickBot="1">
      <c r="A64" s="292" t="s">
        <v>196</v>
      </c>
      <c r="B64" s="293">
        <f>SUM('5.Verdelingsmatrix lasten'!$C160:$R160)</f>
        <v>0</v>
      </c>
      <c r="C64" s="293">
        <f>SUM('5.Verdelingsmatrix lasten'!$S160,'5.Verdelingsmatrix lasten'!$AB160)</f>
        <v>0</v>
      </c>
      <c r="D64" s="293">
        <f>SUM('6.Verdelingsmatrix baten'!$C160:$R160)</f>
        <v>0</v>
      </c>
      <c r="E64" s="293">
        <f>SUM('6.Verdelingsmatrix baten'!$S160,'6.Verdelingsmatrix baten'!$AB160)</f>
        <v>0</v>
      </c>
      <c r="F64" s="294">
        <f t="shared" si="0"/>
        <v>0</v>
      </c>
      <c r="G64" s="284"/>
      <c r="H64" s="284"/>
      <c r="I64" s="285"/>
      <c r="J64" s="286"/>
      <c r="K64" s="286"/>
      <c r="L64" s="285"/>
      <c r="M64" s="287"/>
      <c r="N64" s="284"/>
      <c r="O64" s="253"/>
      <c r="P64" s="253"/>
    </row>
    <row r="65" spans="1:18" ht="12.75" customHeight="1">
      <c r="A65" s="295" t="s">
        <v>457</v>
      </c>
      <c r="B65" s="296"/>
      <c r="C65" s="296"/>
      <c r="D65" s="296"/>
      <c r="E65" s="296"/>
      <c r="F65" s="297">
        <f>SUM(F38:F64)</f>
        <v>0</v>
      </c>
      <c r="G65" s="298"/>
      <c r="H65" s="299"/>
      <c r="I65" s="300"/>
      <c r="J65" s="299"/>
      <c r="K65" s="299"/>
      <c r="L65" s="274"/>
      <c r="M65" s="287"/>
      <c r="N65" s="298"/>
      <c r="O65" s="291"/>
      <c r="P65" s="291"/>
      <c r="Q65" s="7"/>
      <c r="R65" s="7"/>
    </row>
    <row r="66" spans="1:18" ht="12.75" customHeight="1">
      <c r="A66" s="301" t="s">
        <v>451</v>
      </c>
      <c r="B66" s="302">
        <f>+F65</f>
        <v>0</v>
      </c>
      <c r="C66" s="303"/>
      <c r="D66" s="303"/>
      <c r="E66" s="303"/>
      <c r="F66" s="303"/>
      <c r="G66" s="286"/>
      <c r="H66" s="276"/>
      <c r="I66" s="285"/>
      <c r="J66" s="276"/>
      <c r="K66" s="276"/>
      <c r="L66" s="304"/>
      <c r="M66" s="276"/>
      <c r="N66" s="276"/>
      <c r="O66" s="291"/>
      <c r="P66" s="291"/>
      <c r="Q66" s="7"/>
      <c r="R66" s="7"/>
    </row>
    <row r="67" spans="1:18" ht="12.75" customHeight="1">
      <c r="A67" s="282" t="s">
        <v>458</v>
      </c>
      <c r="B67" s="305"/>
      <c r="C67" s="305"/>
      <c r="D67" s="305"/>
      <c r="E67" s="305"/>
      <c r="F67" s="305"/>
      <c r="G67" s="286"/>
      <c r="H67" s="284"/>
      <c r="I67" s="306"/>
      <c r="J67" s="276"/>
      <c r="K67" s="276"/>
      <c r="L67" s="304"/>
      <c r="M67" s="284"/>
      <c r="N67" s="284"/>
      <c r="O67" s="291"/>
      <c r="P67" s="291"/>
      <c r="Q67" s="7"/>
      <c r="R67" s="7"/>
    </row>
    <row r="68" spans="1:18" ht="21" customHeight="1">
      <c r="A68" s="282" t="s">
        <v>459</v>
      </c>
      <c r="B68" s="307">
        <f>+B66/C24</f>
        <v>0</v>
      </c>
      <c r="C68" s="305"/>
      <c r="D68" s="305"/>
      <c r="E68" s="305"/>
      <c r="F68" s="305"/>
      <c r="G68" s="308"/>
      <c r="H68" s="284"/>
      <c r="I68" s="306"/>
      <c r="J68" s="276"/>
      <c r="K68" s="276"/>
      <c r="L68" s="304"/>
      <c r="M68" s="284"/>
      <c r="N68" s="284"/>
      <c r="O68" s="253"/>
      <c r="P68" s="253"/>
    </row>
    <row r="69" spans="1:18" s="11" customFormat="1" ht="13.5" customHeight="1">
      <c r="A69" s="309" t="s">
        <v>453</v>
      </c>
      <c r="B69" s="310" t="str">
        <f>IF(B68="nvt","onvoldoende",IF(B68&lt;=0.01,"voldoende","onvoldoende"))</f>
        <v>voldoende</v>
      </c>
      <c r="C69" s="311"/>
      <c r="D69" s="311"/>
      <c r="E69" s="311"/>
      <c r="F69" s="311"/>
      <c r="G69" s="312"/>
      <c r="H69" s="276"/>
      <c r="I69" s="285"/>
      <c r="J69" s="276"/>
      <c r="K69" s="276"/>
      <c r="L69" s="276"/>
      <c r="M69" s="276"/>
      <c r="N69" s="284"/>
      <c r="O69" s="253"/>
      <c r="P69" s="253"/>
      <c r="Q69" s="6"/>
      <c r="R69" s="6"/>
    </row>
    <row r="70" spans="1:18" ht="12.75" customHeight="1">
      <c r="F70" s="6"/>
      <c r="G70" s="253"/>
      <c r="H70" s="253"/>
      <c r="I70" s="253"/>
      <c r="J70" s="253"/>
      <c r="K70" s="253"/>
      <c r="L70" s="253"/>
      <c r="M70" s="253"/>
      <c r="N70" s="253"/>
      <c r="O70" s="253"/>
      <c r="P70" s="253"/>
    </row>
    <row r="71" spans="1:18" ht="12.75" customHeight="1">
      <c r="F71" s="6"/>
      <c r="G71" s="253"/>
      <c r="H71" s="253"/>
      <c r="I71" s="253"/>
      <c r="J71" s="253"/>
      <c r="K71" s="253"/>
      <c r="L71" s="253"/>
      <c r="M71" s="253"/>
      <c r="N71" s="253"/>
      <c r="O71" s="253"/>
      <c r="P71" s="253"/>
    </row>
    <row r="72" spans="1:18" ht="12.75" customHeight="1">
      <c r="A72" s="313" t="s">
        <v>460</v>
      </c>
      <c r="B72" s="314"/>
      <c r="C72" s="315"/>
      <c r="D72" s="316"/>
      <c r="E72" s="264"/>
      <c r="F72" s="264"/>
      <c r="G72" s="317"/>
      <c r="H72" s="264"/>
      <c r="I72" s="264"/>
      <c r="J72" s="253"/>
      <c r="K72" s="253"/>
      <c r="L72" s="253"/>
      <c r="M72" s="253"/>
      <c r="N72" s="253"/>
      <c r="O72" s="253"/>
      <c r="P72" s="253"/>
    </row>
    <row r="73" spans="1:18" ht="12.75" customHeight="1">
      <c r="A73" s="278" t="s">
        <v>461</v>
      </c>
      <c r="B73" s="279" t="s">
        <v>462</v>
      </c>
      <c r="C73" s="279" t="s">
        <v>463</v>
      </c>
      <c r="D73" s="279" t="s">
        <v>464</v>
      </c>
      <c r="E73" s="279" t="s">
        <v>465</v>
      </c>
      <c r="F73" s="279" t="s">
        <v>466</v>
      </c>
      <c r="G73" s="279" t="s">
        <v>467</v>
      </c>
      <c r="H73" s="279" t="s">
        <v>468</v>
      </c>
      <c r="I73" s="280" t="s">
        <v>458</v>
      </c>
      <c r="J73" s="253"/>
      <c r="K73" s="253"/>
      <c r="L73" s="253"/>
      <c r="M73" s="253"/>
      <c r="N73" s="253"/>
      <c r="O73" s="253"/>
      <c r="P73" s="253"/>
    </row>
    <row r="74" spans="1:18" ht="12.75" customHeight="1">
      <c r="A74" s="282" t="s">
        <v>116</v>
      </c>
      <c r="B74" s="263">
        <f>+'7.Balansstanden'!$F$18</f>
        <v>2299.39273</v>
      </c>
      <c r="C74" s="263">
        <f>+'7.Balansstanden'!$H$18</f>
        <v>2299.39273</v>
      </c>
      <c r="D74" s="318">
        <f t="shared" ref="D74:D100" si="1">+C74-B74</f>
        <v>0</v>
      </c>
      <c r="E74" s="263">
        <f>+'5.Verdelingsmatrix lasten'!$AD114</f>
        <v>0</v>
      </c>
      <c r="F74" s="318">
        <f>+'6.Verdelingsmatrix baten'!$AD114</f>
        <v>0</v>
      </c>
      <c r="G74" s="318">
        <f t="shared" ref="G74:G88" si="2">+E74-F74</f>
        <v>0</v>
      </c>
      <c r="H74" s="319">
        <f t="shared" ref="H74:H100" si="3">ABS(+D74-G74)</f>
        <v>0</v>
      </c>
      <c r="I74" s="263">
        <f t="shared" ref="I74:I100" si="4">ABS(B74)+ABS(C74)</f>
        <v>4598.7854600000001</v>
      </c>
      <c r="J74" s="253"/>
      <c r="K74" s="253"/>
      <c r="L74" s="253"/>
      <c r="M74" s="253"/>
      <c r="N74" s="253"/>
      <c r="O74" s="253"/>
      <c r="P74" s="253"/>
    </row>
    <row r="75" spans="1:18" ht="12.75" customHeight="1">
      <c r="A75" s="282" t="s">
        <v>118</v>
      </c>
      <c r="B75" s="265">
        <f>+'7.Balansstanden'!$F$19</f>
        <v>0</v>
      </c>
      <c r="C75" s="265">
        <f>+'7.Balansstanden'!$H$19</f>
        <v>0</v>
      </c>
      <c r="D75" s="320">
        <f t="shared" si="1"/>
        <v>0</v>
      </c>
      <c r="E75" s="265">
        <f>+'5.Verdelingsmatrix lasten'!$AD115</f>
        <v>0</v>
      </c>
      <c r="F75" s="320">
        <f>+'6.Verdelingsmatrix baten'!$AD115</f>
        <v>0</v>
      </c>
      <c r="G75" s="320">
        <f t="shared" si="2"/>
        <v>0</v>
      </c>
      <c r="H75" s="321">
        <f t="shared" si="3"/>
        <v>0</v>
      </c>
      <c r="I75" s="265">
        <f t="shared" si="4"/>
        <v>0</v>
      </c>
      <c r="J75" s="253"/>
      <c r="K75" s="253"/>
      <c r="L75" s="253"/>
      <c r="M75" s="253"/>
      <c r="N75" s="253"/>
      <c r="O75" s="253"/>
      <c r="P75" s="253"/>
    </row>
    <row r="76" spans="1:18" ht="12.75" customHeight="1">
      <c r="A76" s="282" t="s">
        <v>120</v>
      </c>
      <c r="B76" s="265">
        <f>+'7.Balansstanden'!$F$20</f>
        <v>0</v>
      </c>
      <c r="C76" s="265">
        <f>+'7.Balansstanden'!$H$20</f>
        <v>0</v>
      </c>
      <c r="D76" s="320">
        <f t="shared" si="1"/>
        <v>0</v>
      </c>
      <c r="E76" s="265">
        <f>+'5.Verdelingsmatrix lasten'!$AD116</f>
        <v>0</v>
      </c>
      <c r="F76" s="320">
        <f>+'6.Verdelingsmatrix baten'!$AD116</f>
        <v>0</v>
      </c>
      <c r="G76" s="320">
        <f t="shared" si="2"/>
        <v>0</v>
      </c>
      <c r="H76" s="321">
        <f t="shared" si="3"/>
        <v>0</v>
      </c>
      <c r="I76" s="265">
        <f t="shared" si="4"/>
        <v>0</v>
      </c>
      <c r="J76" s="253"/>
      <c r="K76" s="253"/>
      <c r="L76" s="253"/>
      <c r="M76" s="253"/>
      <c r="N76" s="253"/>
      <c r="O76" s="253"/>
      <c r="P76" s="253"/>
    </row>
    <row r="77" spans="1:18" ht="12.75" customHeight="1">
      <c r="A77" s="282" t="s">
        <v>122</v>
      </c>
      <c r="B77" s="265">
        <f>+'7.Balansstanden'!$F$21</f>
        <v>0</v>
      </c>
      <c r="C77" s="265">
        <f>+'7.Balansstanden'!$H$21</f>
        <v>0</v>
      </c>
      <c r="D77" s="320">
        <f t="shared" si="1"/>
        <v>0</v>
      </c>
      <c r="E77" s="265">
        <f>+'5.Verdelingsmatrix lasten'!$AD117</f>
        <v>0</v>
      </c>
      <c r="F77" s="320">
        <f>+'6.Verdelingsmatrix baten'!$AD117</f>
        <v>0</v>
      </c>
      <c r="G77" s="320">
        <f t="shared" si="2"/>
        <v>0</v>
      </c>
      <c r="H77" s="321">
        <f t="shared" si="3"/>
        <v>0</v>
      </c>
      <c r="I77" s="265">
        <f t="shared" si="4"/>
        <v>0</v>
      </c>
      <c r="J77" s="253"/>
      <c r="K77" s="253"/>
      <c r="L77" s="253"/>
      <c r="M77" s="253"/>
      <c r="N77" s="253"/>
      <c r="O77" s="253"/>
      <c r="P77" s="253"/>
    </row>
    <row r="78" spans="1:18" ht="12.75" customHeight="1">
      <c r="A78" s="282" t="s">
        <v>124</v>
      </c>
      <c r="B78" s="265">
        <f>+'7.Balansstanden'!$F$22</f>
        <v>107694.4933</v>
      </c>
      <c r="C78" s="265">
        <f>+'7.Balansstanden'!$H$22</f>
        <v>107694.4933</v>
      </c>
      <c r="D78" s="320">
        <f t="shared" si="1"/>
        <v>0</v>
      </c>
      <c r="E78" s="265">
        <f>+'5.Verdelingsmatrix lasten'!$AD118</f>
        <v>0</v>
      </c>
      <c r="F78" s="320">
        <f>+'6.Verdelingsmatrix baten'!$AD118</f>
        <v>0</v>
      </c>
      <c r="G78" s="320">
        <f t="shared" si="2"/>
        <v>0</v>
      </c>
      <c r="H78" s="321">
        <f t="shared" si="3"/>
        <v>0</v>
      </c>
      <c r="I78" s="265">
        <f t="shared" si="4"/>
        <v>215388.9866</v>
      </c>
      <c r="J78" s="253"/>
      <c r="K78" s="253"/>
      <c r="L78" s="253"/>
      <c r="M78" s="253"/>
      <c r="N78" s="253"/>
      <c r="O78" s="253"/>
      <c r="P78" s="253"/>
    </row>
    <row r="79" spans="1:18" ht="12.75" customHeight="1">
      <c r="A79" s="282" t="s">
        <v>126</v>
      </c>
      <c r="B79" s="265">
        <f>+'7.Balansstanden'!$F$23</f>
        <v>0</v>
      </c>
      <c r="C79" s="265">
        <f>+'7.Balansstanden'!$H$23</f>
        <v>0</v>
      </c>
      <c r="D79" s="320">
        <f t="shared" si="1"/>
        <v>0</v>
      </c>
      <c r="E79" s="265">
        <f>+'5.Verdelingsmatrix lasten'!$AD119</f>
        <v>0</v>
      </c>
      <c r="F79" s="320">
        <f>+'6.Verdelingsmatrix baten'!$AD119</f>
        <v>0</v>
      </c>
      <c r="G79" s="320">
        <f t="shared" si="2"/>
        <v>0</v>
      </c>
      <c r="H79" s="321">
        <f t="shared" si="3"/>
        <v>0</v>
      </c>
      <c r="I79" s="265">
        <f t="shared" si="4"/>
        <v>0</v>
      </c>
      <c r="J79" s="253"/>
      <c r="K79" s="253"/>
      <c r="L79" s="253"/>
      <c r="M79" s="253"/>
      <c r="N79" s="253"/>
      <c r="O79" s="253"/>
      <c r="P79" s="253"/>
    </row>
    <row r="80" spans="1:18" ht="12.75" customHeight="1">
      <c r="A80" s="282" t="s">
        <v>128</v>
      </c>
      <c r="B80" s="265">
        <f>+'7.Balansstanden'!$F$24</f>
        <v>21003.978789999997</v>
      </c>
      <c r="C80" s="265">
        <f>+'7.Balansstanden'!$H$24</f>
        <v>20276.300469999998</v>
      </c>
      <c r="D80" s="320">
        <f t="shared" si="1"/>
        <v>-727.67831999999908</v>
      </c>
      <c r="E80" s="265">
        <f>+'5.Verdelingsmatrix lasten'!$AD120</f>
        <v>0</v>
      </c>
      <c r="F80" s="320">
        <f>+'6.Verdelingsmatrix baten'!$AD120</f>
        <v>727.67831999999999</v>
      </c>
      <c r="G80" s="320">
        <f t="shared" si="2"/>
        <v>-727.67831999999999</v>
      </c>
      <c r="H80" s="321">
        <f t="shared" si="3"/>
        <v>9.0949470177292824E-13</v>
      </c>
      <c r="I80" s="265">
        <f t="shared" si="4"/>
        <v>41280.279259999996</v>
      </c>
      <c r="J80" s="253"/>
      <c r="K80" s="253"/>
      <c r="L80" s="253"/>
      <c r="M80" s="253"/>
      <c r="N80" s="253"/>
      <c r="O80" s="253"/>
      <c r="P80" s="253"/>
    </row>
    <row r="81" spans="1:16" ht="12.75" customHeight="1">
      <c r="A81" s="282" t="s">
        <v>130</v>
      </c>
      <c r="B81" s="265">
        <f>+'7.Balansstanden'!$F$25</f>
        <v>300971.28602999996</v>
      </c>
      <c r="C81" s="265">
        <f>+'7.Balansstanden'!$H$25</f>
        <v>150971.28602999999</v>
      </c>
      <c r="D81" s="320">
        <f t="shared" si="1"/>
        <v>-149999.99999999997</v>
      </c>
      <c r="E81" s="265">
        <f>+'5.Verdelingsmatrix lasten'!$AD121</f>
        <v>0</v>
      </c>
      <c r="F81" s="320">
        <f>+'6.Verdelingsmatrix baten'!$AD121</f>
        <v>150000</v>
      </c>
      <c r="G81" s="320">
        <f t="shared" si="2"/>
        <v>-150000</v>
      </c>
      <c r="H81" s="321">
        <f t="shared" si="3"/>
        <v>2.9103830456733704E-11</v>
      </c>
      <c r="I81" s="265">
        <f t="shared" si="4"/>
        <v>451942.57205999992</v>
      </c>
      <c r="J81" s="253"/>
      <c r="K81" s="253"/>
      <c r="L81" s="253"/>
      <c r="M81" s="253"/>
      <c r="N81" s="253"/>
      <c r="O81" s="253"/>
      <c r="P81" s="253"/>
    </row>
    <row r="82" spans="1:16" ht="12.75" customHeight="1">
      <c r="A82" s="282" t="s">
        <v>146</v>
      </c>
      <c r="B82" s="265">
        <f>+'7.Balansstanden'!$F$35</f>
        <v>48576.180529999998</v>
      </c>
      <c r="C82" s="265">
        <f>+'7.Balansstanden'!$H$35</f>
        <v>43459.829460000001</v>
      </c>
      <c r="D82" s="320">
        <f t="shared" si="1"/>
        <v>-5116.351069999997</v>
      </c>
      <c r="E82" s="265">
        <f>+'5.Verdelingsmatrix lasten'!$AD131</f>
        <v>23665.745469999998</v>
      </c>
      <c r="F82" s="320">
        <f>+'6.Verdelingsmatrix baten'!$AD131</f>
        <v>28782.096539999999</v>
      </c>
      <c r="G82" s="320">
        <f t="shared" si="2"/>
        <v>-5116.3510700000006</v>
      </c>
      <c r="H82" s="321">
        <f t="shared" si="3"/>
        <v>3.637978807091713E-12</v>
      </c>
      <c r="I82" s="265">
        <f t="shared" si="4"/>
        <v>92036.009989999991</v>
      </c>
      <c r="J82" s="253"/>
      <c r="K82" s="253"/>
      <c r="L82" s="253"/>
      <c r="M82" s="253"/>
      <c r="N82" s="253"/>
      <c r="O82" s="253"/>
      <c r="P82" s="253"/>
    </row>
    <row r="83" spans="1:16" ht="12.75" customHeight="1">
      <c r="A83" s="282" t="s">
        <v>148</v>
      </c>
      <c r="B83" s="265">
        <f>+'7.Balansstanden'!$F$36</f>
        <v>742600</v>
      </c>
      <c r="C83" s="265">
        <f>+'7.Balansstanden'!$H$36</f>
        <v>904100</v>
      </c>
      <c r="D83" s="320">
        <f t="shared" si="1"/>
        <v>161500</v>
      </c>
      <c r="E83" s="265">
        <f>+'5.Verdelingsmatrix lasten'!$AD132</f>
        <v>199300</v>
      </c>
      <c r="F83" s="320">
        <f>+'6.Verdelingsmatrix baten'!$AD132</f>
        <v>37800</v>
      </c>
      <c r="G83" s="320">
        <f t="shared" si="2"/>
        <v>161500</v>
      </c>
      <c r="H83" s="321">
        <f t="shared" si="3"/>
        <v>0</v>
      </c>
      <c r="I83" s="265">
        <f t="shared" si="4"/>
        <v>1646700</v>
      </c>
      <c r="J83" s="253"/>
      <c r="K83" s="253"/>
      <c r="L83" s="253"/>
      <c r="M83" s="253"/>
      <c r="N83" s="253"/>
      <c r="O83" s="253"/>
      <c r="P83" s="253"/>
    </row>
    <row r="84" spans="1:16" ht="12.75" customHeight="1">
      <c r="A84" s="282" t="s">
        <v>150</v>
      </c>
      <c r="B84" s="265">
        <f>+'7.Balansstanden'!$F$37</f>
        <v>0</v>
      </c>
      <c r="C84" s="265">
        <f>+'7.Balansstanden'!$H$37</f>
        <v>0</v>
      </c>
      <c r="D84" s="320">
        <f t="shared" si="1"/>
        <v>0</v>
      </c>
      <c r="E84" s="265">
        <f>+'5.Verdelingsmatrix lasten'!$AD133</f>
        <v>0</v>
      </c>
      <c r="F84" s="320">
        <f>+'6.Verdelingsmatrix baten'!$AD133</f>
        <v>0</v>
      </c>
      <c r="G84" s="320">
        <f t="shared" si="2"/>
        <v>0</v>
      </c>
      <c r="H84" s="321">
        <f t="shared" si="3"/>
        <v>0</v>
      </c>
      <c r="I84" s="265">
        <f t="shared" si="4"/>
        <v>0</v>
      </c>
      <c r="J84" s="253"/>
      <c r="K84" s="253"/>
      <c r="L84" s="253"/>
      <c r="M84" s="253"/>
      <c r="N84" s="253"/>
      <c r="O84" s="253"/>
      <c r="P84" s="253"/>
    </row>
    <row r="85" spans="1:16" ht="12.75" customHeight="1">
      <c r="A85" s="282" t="s">
        <v>152</v>
      </c>
      <c r="B85" s="265">
        <f>+'7.Balansstanden'!$F$38</f>
        <v>8348.5858800000005</v>
      </c>
      <c r="C85" s="265">
        <f>+'7.Balansstanden'!$H$38</f>
        <v>4647.6176500000001</v>
      </c>
      <c r="D85" s="320">
        <f t="shared" si="1"/>
        <v>-3700.9682300000004</v>
      </c>
      <c r="E85" s="265">
        <f>+'5.Verdelingsmatrix lasten'!$AD134</f>
        <v>818.27280000000007</v>
      </c>
      <c r="F85" s="320">
        <f>+'6.Verdelingsmatrix baten'!$AD134</f>
        <v>4519.2410300000001</v>
      </c>
      <c r="G85" s="320">
        <f t="shared" si="2"/>
        <v>-3700.9682299999999</v>
      </c>
      <c r="H85" s="321">
        <f t="shared" si="3"/>
        <v>4.5474735088646412E-13</v>
      </c>
      <c r="I85" s="265">
        <f t="shared" si="4"/>
        <v>12996.203530000001</v>
      </c>
      <c r="J85" s="253"/>
      <c r="K85" s="253"/>
      <c r="L85" s="253"/>
      <c r="M85" s="253"/>
      <c r="N85" s="253"/>
      <c r="O85" s="253"/>
      <c r="P85" s="253"/>
    </row>
    <row r="86" spans="1:16" ht="12.75" customHeight="1">
      <c r="A86" s="282" t="s">
        <v>154</v>
      </c>
      <c r="B86" s="265">
        <f>+'7.Balansstanden'!$F$39</f>
        <v>0</v>
      </c>
      <c r="C86" s="265">
        <f>+'7.Balansstanden'!$H$39</f>
        <v>0</v>
      </c>
      <c r="D86" s="320">
        <f t="shared" si="1"/>
        <v>0</v>
      </c>
      <c r="E86" s="265">
        <f>+'5.Verdelingsmatrix lasten'!$AD135</f>
        <v>0</v>
      </c>
      <c r="F86" s="320">
        <f>+'6.Verdelingsmatrix baten'!$AD135</f>
        <v>0</v>
      </c>
      <c r="G86" s="320">
        <f t="shared" si="2"/>
        <v>0</v>
      </c>
      <c r="H86" s="321">
        <f t="shared" si="3"/>
        <v>0</v>
      </c>
      <c r="I86" s="265">
        <f t="shared" si="4"/>
        <v>0</v>
      </c>
      <c r="J86" s="253"/>
      <c r="K86" s="253"/>
      <c r="L86" s="253"/>
      <c r="M86" s="253"/>
      <c r="N86" s="253"/>
      <c r="O86" s="253"/>
      <c r="P86" s="253"/>
    </row>
    <row r="87" spans="1:16" ht="12.75" customHeight="1">
      <c r="A87" s="282" t="s">
        <v>156</v>
      </c>
      <c r="B87" s="265">
        <f>+'7.Balansstanden'!$F$40</f>
        <v>26457.3325</v>
      </c>
      <c r="C87" s="265">
        <f>+'7.Balansstanden'!$H$40</f>
        <v>20991.6865</v>
      </c>
      <c r="D87" s="320">
        <f t="shared" si="1"/>
        <v>-5465.6460000000006</v>
      </c>
      <c r="E87" s="265">
        <f>+'5.Verdelingsmatrix lasten'!$AD136</f>
        <v>2501</v>
      </c>
      <c r="F87" s="320">
        <f>+'6.Verdelingsmatrix baten'!$AD136</f>
        <v>7966.6459999999997</v>
      </c>
      <c r="G87" s="320">
        <f t="shared" si="2"/>
        <v>-5465.6459999999997</v>
      </c>
      <c r="H87" s="321">
        <f t="shared" si="3"/>
        <v>9.0949470177292824E-13</v>
      </c>
      <c r="I87" s="265">
        <f t="shared" si="4"/>
        <v>47449.019</v>
      </c>
      <c r="J87" s="253"/>
      <c r="K87" s="253"/>
      <c r="L87" s="253"/>
      <c r="M87" s="253"/>
      <c r="N87" s="253"/>
      <c r="O87" s="253"/>
      <c r="P87" s="253"/>
    </row>
    <row r="88" spans="1:16" ht="12.75" customHeight="1">
      <c r="A88" s="282" t="s">
        <v>158</v>
      </c>
      <c r="B88" s="265">
        <f>+'7.Balansstanden'!$F$41</f>
        <v>0</v>
      </c>
      <c r="C88" s="265">
        <f>+'7.Balansstanden'!$H$41</f>
        <v>0</v>
      </c>
      <c r="D88" s="320">
        <f t="shared" si="1"/>
        <v>0</v>
      </c>
      <c r="E88" s="265">
        <f>+'5.Verdelingsmatrix lasten'!$AD137</f>
        <v>0</v>
      </c>
      <c r="F88" s="320">
        <f>+'6.Verdelingsmatrix baten'!$AD137</f>
        <v>0</v>
      </c>
      <c r="G88" s="320">
        <f t="shared" si="2"/>
        <v>0</v>
      </c>
      <c r="H88" s="321">
        <f t="shared" si="3"/>
        <v>0</v>
      </c>
      <c r="I88" s="265">
        <f t="shared" si="4"/>
        <v>0</v>
      </c>
      <c r="J88" s="253"/>
      <c r="K88" s="253"/>
      <c r="L88" s="253"/>
      <c r="M88" s="253"/>
      <c r="N88" s="253"/>
      <c r="O88" s="253"/>
      <c r="P88" s="253"/>
    </row>
    <row r="89" spans="1:16" ht="12.75" customHeight="1">
      <c r="A89" s="282" t="s">
        <v>172</v>
      </c>
      <c r="B89" s="265">
        <f>+'7.Balansstanden'!$F$53</f>
        <v>0</v>
      </c>
      <c r="C89" s="265">
        <f>+'7.Balansstanden'!$H$53</f>
        <v>0</v>
      </c>
      <c r="D89" s="320">
        <f t="shared" si="1"/>
        <v>0</v>
      </c>
      <c r="E89" s="265">
        <f>+'5.Verdelingsmatrix lasten'!$AD146</f>
        <v>0</v>
      </c>
      <c r="F89" s="320">
        <f>+'6.Verdelingsmatrix baten'!$AD146</f>
        <v>0</v>
      </c>
      <c r="G89" s="320">
        <f t="shared" ref="G89:G100" si="5">-E89+F89</f>
        <v>0</v>
      </c>
      <c r="H89" s="321">
        <f t="shared" si="3"/>
        <v>0</v>
      </c>
      <c r="I89" s="265">
        <f t="shared" si="4"/>
        <v>0</v>
      </c>
      <c r="J89" s="253"/>
      <c r="K89" s="253"/>
      <c r="L89" s="253"/>
      <c r="M89" s="253"/>
      <c r="N89" s="253"/>
      <c r="O89" s="253"/>
      <c r="P89" s="253"/>
    </row>
    <row r="90" spans="1:16" ht="12.75" customHeight="1">
      <c r="A90" s="282" t="s">
        <v>174</v>
      </c>
      <c r="B90" s="265">
        <f>+'7.Balansstanden'!$F$54</f>
        <v>0</v>
      </c>
      <c r="C90" s="265">
        <f>+'7.Balansstanden'!$H$54</f>
        <v>0</v>
      </c>
      <c r="D90" s="320">
        <f t="shared" si="1"/>
        <v>0</v>
      </c>
      <c r="E90" s="265">
        <f>+'5.Verdelingsmatrix lasten'!$AD147</f>
        <v>0</v>
      </c>
      <c r="F90" s="320">
        <f>+'6.Verdelingsmatrix baten'!$AD147</f>
        <v>0</v>
      </c>
      <c r="G90" s="320">
        <f t="shared" si="5"/>
        <v>0</v>
      </c>
      <c r="H90" s="321">
        <f t="shared" si="3"/>
        <v>0</v>
      </c>
      <c r="I90" s="265">
        <f t="shared" si="4"/>
        <v>0</v>
      </c>
      <c r="J90" s="253"/>
      <c r="K90" s="253"/>
      <c r="L90" s="253"/>
      <c r="M90" s="253"/>
      <c r="N90" s="253"/>
      <c r="O90" s="253"/>
      <c r="P90" s="253"/>
    </row>
    <row r="91" spans="1:16" ht="12.75" customHeight="1">
      <c r="A91" s="282" t="s">
        <v>176</v>
      </c>
      <c r="B91" s="265">
        <f>+'7.Balansstanden'!$F$55</f>
        <v>0</v>
      </c>
      <c r="C91" s="265">
        <f>+'7.Balansstanden'!$H$55</f>
        <v>0</v>
      </c>
      <c r="D91" s="320">
        <f t="shared" si="1"/>
        <v>0</v>
      </c>
      <c r="E91" s="265">
        <f>+'5.Verdelingsmatrix lasten'!$AD148</f>
        <v>0</v>
      </c>
      <c r="F91" s="320">
        <f>+'6.Verdelingsmatrix baten'!$AD148</f>
        <v>0</v>
      </c>
      <c r="G91" s="320">
        <f t="shared" si="5"/>
        <v>0</v>
      </c>
      <c r="H91" s="321">
        <f t="shared" si="3"/>
        <v>0</v>
      </c>
      <c r="I91" s="265">
        <f t="shared" si="4"/>
        <v>0</v>
      </c>
      <c r="J91" s="253"/>
      <c r="K91" s="253"/>
      <c r="L91" s="253"/>
      <c r="M91" s="253"/>
      <c r="N91" s="253"/>
      <c r="O91" s="253"/>
      <c r="P91" s="253"/>
    </row>
    <row r="92" spans="1:16" ht="12.75" customHeight="1">
      <c r="A92" s="282" t="s">
        <v>178</v>
      </c>
      <c r="B92" s="265">
        <f>+'7.Balansstanden'!$F$56</f>
        <v>0</v>
      </c>
      <c r="C92" s="265">
        <f>+'7.Balansstanden'!$H$56</f>
        <v>0</v>
      </c>
      <c r="D92" s="320">
        <f t="shared" si="1"/>
        <v>0</v>
      </c>
      <c r="E92" s="265">
        <f>+'5.Verdelingsmatrix lasten'!$AD149</f>
        <v>0</v>
      </c>
      <c r="F92" s="320">
        <f>+'6.Verdelingsmatrix baten'!$AD149</f>
        <v>0</v>
      </c>
      <c r="G92" s="320">
        <f t="shared" si="5"/>
        <v>0</v>
      </c>
      <c r="H92" s="321">
        <f t="shared" si="3"/>
        <v>0</v>
      </c>
      <c r="I92" s="265">
        <f t="shared" si="4"/>
        <v>0</v>
      </c>
      <c r="J92" s="253"/>
      <c r="K92" s="253"/>
      <c r="L92" s="253"/>
      <c r="M92" s="253"/>
      <c r="N92" s="253"/>
      <c r="O92" s="253"/>
      <c r="P92" s="253"/>
    </row>
    <row r="93" spans="1:16" ht="12.75" customHeight="1">
      <c r="A93" s="282" t="s">
        <v>180</v>
      </c>
      <c r="B93" s="265">
        <f>+'7.Balansstanden'!$F$57</f>
        <v>0</v>
      </c>
      <c r="C93" s="265">
        <f>+'7.Balansstanden'!$H$57</f>
        <v>0</v>
      </c>
      <c r="D93" s="320">
        <f t="shared" si="1"/>
        <v>0</v>
      </c>
      <c r="E93" s="265">
        <f>+'5.Verdelingsmatrix lasten'!$AD150</f>
        <v>0</v>
      </c>
      <c r="F93" s="320">
        <f>+'6.Verdelingsmatrix baten'!$AD150</f>
        <v>0</v>
      </c>
      <c r="G93" s="320">
        <f t="shared" si="5"/>
        <v>0</v>
      </c>
      <c r="H93" s="321">
        <f t="shared" si="3"/>
        <v>0</v>
      </c>
      <c r="I93" s="265">
        <f t="shared" si="4"/>
        <v>0</v>
      </c>
      <c r="J93" s="253"/>
      <c r="K93" s="253"/>
      <c r="L93" s="253"/>
      <c r="M93" s="253"/>
      <c r="N93" s="253"/>
      <c r="O93" s="253"/>
      <c r="P93" s="253"/>
    </row>
    <row r="94" spans="1:16" ht="12.75" customHeight="1">
      <c r="A94" s="282" t="s">
        <v>182</v>
      </c>
      <c r="B94" s="265">
        <f>+'7.Balansstanden'!$F$58</f>
        <v>0</v>
      </c>
      <c r="C94" s="265">
        <f>+'7.Balansstanden'!$H$58</f>
        <v>0</v>
      </c>
      <c r="D94" s="320">
        <f t="shared" si="1"/>
        <v>0</v>
      </c>
      <c r="E94" s="265">
        <f>+'5.Verdelingsmatrix lasten'!$AD151</f>
        <v>0</v>
      </c>
      <c r="F94" s="320">
        <f>+'6.Verdelingsmatrix baten'!$AD151</f>
        <v>0</v>
      </c>
      <c r="G94" s="320">
        <f t="shared" si="5"/>
        <v>0</v>
      </c>
      <c r="H94" s="321">
        <f t="shared" si="3"/>
        <v>0</v>
      </c>
      <c r="I94" s="265">
        <f t="shared" si="4"/>
        <v>0</v>
      </c>
      <c r="J94" s="253"/>
      <c r="K94" s="253"/>
      <c r="L94" s="253"/>
      <c r="M94" s="253"/>
      <c r="N94" s="253"/>
      <c r="O94" s="253"/>
      <c r="P94" s="253"/>
    </row>
    <row r="95" spans="1:16" ht="12.75" customHeight="1">
      <c r="A95" s="282" t="s">
        <v>184</v>
      </c>
      <c r="B95" s="265">
        <f>+'7.Balansstanden'!$F$59</f>
        <v>0</v>
      </c>
      <c r="C95" s="265">
        <f>+'7.Balansstanden'!$H$59</f>
        <v>0</v>
      </c>
      <c r="D95" s="320">
        <f t="shared" si="1"/>
        <v>0</v>
      </c>
      <c r="E95" s="265">
        <f>+'5.Verdelingsmatrix lasten'!$AD152</f>
        <v>0</v>
      </c>
      <c r="F95" s="320">
        <f>+'6.Verdelingsmatrix baten'!$AD152</f>
        <v>0</v>
      </c>
      <c r="G95" s="320">
        <f t="shared" si="5"/>
        <v>0</v>
      </c>
      <c r="H95" s="321">
        <f t="shared" si="3"/>
        <v>0</v>
      </c>
      <c r="I95" s="265">
        <f t="shared" si="4"/>
        <v>0</v>
      </c>
      <c r="J95" s="253"/>
      <c r="K95" s="253"/>
      <c r="L95" s="253"/>
      <c r="M95" s="253"/>
      <c r="N95" s="253"/>
      <c r="O95" s="253"/>
      <c r="P95" s="253"/>
    </row>
    <row r="96" spans="1:16" ht="12.75" customHeight="1">
      <c r="A96" s="282" t="s">
        <v>186</v>
      </c>
      <c r="B96" s="265">
        <f>+'7.Balansstanden'!$F$60</f>
        <v>15.242030000000002</v>
      </c>
      <c r="C96" s="265">
        <f>+'7.Balansstanden'!$H$60</f>
        <v>20.24203</v>
      </c>
      <c r="D96" s="320">
        <f t="shared" si="1"/>
        <v>4.9999999999999982</v>
      </c>
      <c r="E96" s="265">
        <f>+'5.Verdelingsmatrix lasten'!$AD153</f>
        <v>1</v>
      </c>
      <c r="F96" s="320">
        <f>+'6.Verdelingsmatrix baten'!$AD153</f>
        <v>6</v>
      </c>
      <c r="G96" s="320">
        <f t="shared" si="5"/>
        <v>5</v>
      </c>
      <c r="H96" s="321">
        <f t="shared" si="3"/>
        <v>1.7763568394002505E-15</v>
      </c>
      <c r="I96" s="265">
        <f t="shared" si="4"/>
        <v>35.484059999999999</v>
      </c>
      <c r="J96" s="253"/>
      <c r="K96" s="253"/>
      <c r="L96" s="253"/>
      <c r="M96" s="253"/>
      <c r="N96" s="253"/>
      <c r="O96" s="253"/>
      <c r="P96" s="253"/>
    </row>
    <row r="97" spans="1:16" ht="12.75" customHeight="1">
      <c r="A97" s="282" t="s">
        <v>190</v>
      </c>
      <c r="B97" s="265">
        <f>+'7.Balansstanden'!$F$63</f>
        <v>0</v>
      </c>
      <c r="C97" s="265">
        <f>+'7.Balansstanden'!$H$63</f>
        <v>0</v>
      </c>
      <c r="D97" s="320">
        <f t="shared" si="1"/>
        <v>0</v>
      </c>
      <c r="E97" s="265">
        <f>+'5.Verdelingsmatrix lasten'!$AD157</f>
        <v>0</v>
      </c>
      <c r="F97" s="320">
        <f>+'6.Verdelingsmatrix baten'!$AD157</f>
        <v>0</v>
      </c>
      <c r="G97" s="320">
        <f t="shared" si="5"/>
        <v>0</v>
      </c>
      <c r="H97" s="321">
        <f t="shared" si="3"/>
        <v>0</v>
      </c>
      <c r="I97" s="265">
        <f t="shared" si="4"/>
        <v>0</v>
      </c>
      <c r="J97" s="253"/>
      <c r="K97" s="253"/>
      <c r="L97" s="253"/>
      <c r="M97" s="253"/>
      <c r="N97" s="253"/>
      <c r="O97" s="253"/>
      <c r="P97" s="253"/>
    </row>
    <row r="98" spans="1:16" ht="12.75" customHeight="1">
      <c r="A98" s="282" t="s">
        <v>192</v>
      </c>
      <c r="B98" s="265">
        <f>+'7.Balansstanden'!$F$64</f>
        <v>0</v>
      </c>
      <c r="C98" s="265">
        <f>+'7.Balansstanden'!$H$64</f>
        <v>0</v>
      </c>
      <c r="D98" s="320">
        <f t="shared" si="1"/>
        <v>0</v>
      </c>
      <c r="E98" s="265">
        <f>+'5.Verdelingsmatrix lasten'!$AD158</f>
        <v>0</v>
      </c>
      <c r="F98" s="320">
        <f>+'6.Verdelingsmatrix baten'!$AD158</f>
        <v>0</v>
      </c>
      <c r="G98" s="320">
        <f t="shared" si="5"/>
        <v>0</v>
      </c>
      <c r="H98" s="321">
        <f t="shared" si="3"/>
        <v>0</v>
      </c>
      <c r="I98" s="265">
        <f t="shared" si="4"/>
        <v>0</v>
      </c>
      <c r="J98" s="253"/>
      <c r="K98" s="253"/>
      <c r="L98" s="253"/>
      <c r="M98" s="253"/>
      <c r="N98" s="253"/>
      <c r="O98" s="253"/>
      <c r="P98" s="253"/>
    </row>
    <row r="99" spans="1:16" ht="12.75" customHeight="1">
      <c r="A99" s="282" t="s">
        <v>194</v>
      </c>
      <c r="B99" s="265">
        <f>+'7.Balansstanden'!$F$65</f>
        <v>208081.02952000001</v>
      </c>
      <c r="C99" s="265">
        <f>+'7.Balansstanden'!$H$65</f>
        <v>214760.41256999999</v>
      </c>
      <c r="D99" s="320">
        <f t="shared" si="1"/>
        <v>6679.3830499999749</v>
      </c>
      <c r="E99" s="265">
        <f>+'5.Verdelingsmatrix lasten'!$AD159</f>
        <v>78632.584769999987</v>
      </c>
      <c r="F99" s="320">
        <f>+'6.Verdelingsmatrix baten'!$AD159</f>
        <v>85311.967819999991</v>
      </c>
      <c r="G99" s="320">
        <f t="shared" si="5"/>
        <v>6679.383050000004</v>
      </c>
      <c r="H99" s="321">
        <f t="shared" si="3"/>
        <v>2.9103830456733704E-11</v>
      </c>
      <c r="I99" s="265">
        <f t="shared" si="4"/>
        <v>422841.44209000003</v>
      </c>
      <c r="J99" s="253"/>
      <c r="K99" s="253"/>
      <c r="L99" s="253"/>
      <c r="M99" s="253"/>
      <c r="N99" s="253"/>
      <c r="O99" s="253"/>
      <c r="P99" s="253"/>
    </row>
    <row r="100" spans="1:16" ht="12.75" customHeight="1" thickBot="1">
      <c r="A100" s="292" t="s">
        <v>196</v>
      </c>
      <c r="B100" s="293">
        <f>+'7.Balansstanden'!$F$66</f>
        <v>225423.37447000001</v>
      </c>
      <c r="C100" s="293">
        <f>+'7.Balansstanden'!$H$66</f>
        <v>244364.46238999997</v>
      </c>
      <c r="D100" s="322">
        <f t="shared" si="1"/>
        <v>18941.087919999962</v>
      </c>
      <c r="E100" s="293">
        <f>+'5.Verdelingsmatrix lasten'!$AD160</f>
        <v>2193.1736599999999</v>
      </c>
      <c r="F100" s="322">
        <f>+'6.Verdelingsmatrix baten'!$AD160</f>
        <v>21134.261579999999</v>
      </c>
      <c r="G100" s="322">
        <f t="shared" si="5"/>
        <v>18941.087919999998</v>
      </c>
      <c r="H100" s="323">
        <f t="shared" si="3"/>
        <v>3.637978807091713E-11</v>
      </c>
      <c r="I100" s="293">
        <f t="shared" si="4"/>
        <v>469787.83685999998</v>
      </c>
      <c r="J100" s="253"/>
      <c r="K100" s="253"/>
      <c r="L100" s="253"/>
      <c r="M100" s="253"/>
      <c r="N100" s="253"/>
      <c r="O100" s="253"/>
      <c r="P100" s="253"/>
    </row>
    <row r="101" spans="1:16" ht="12.75" customHeight="1">
      <c r="A101" s="295" t="s">
        <v>457</v>
      </c>
      <c r="B101" s="324"/>
      <c r="C101" s="325"/>
      <c r="D101" s="326"/>
      <c r="E101" s="325"/>
      <c r="F101" s="325"/>
      <c r="G101" s="327"/>
      <c r="H101" s="324">
        <f>SUM(H74:H100)</f>
        <v>1.0050094090274797E-10</v>
      </c>
      <c r="I101" s="324">
        <f>SUM(I74:I100)</f>
        <v>3405056.6189100002</v>
      </c>
      <c r="J101" s="253"/>
      <c r="K101" s="253"/>
      <c r="L101" s="253"/>
      <c r="M101" s="253"/>
      <c r="N101" s="253"/>
      <c r="O101" s="253"/>
      <c r="P101" s="253"/>
    </row>
    <row r="102" spans="1:16" ht="12.75" customHeight="1">
      <c r="A102" s="301" t="s">
        <v>451</v>
      </c>
      <c r="B102" s="265">
        <f>+H101</f>
        <v>1.0050094090274797E-10</v>
      </c>
      <c r="C102" s="328"/>
      <c r="D102" s="329"/>
      <c r="E102" s="328"/>
      <c r="F102" s="328"/>
      <c r="G102" s="330"/>
      <c r="H102" s="328"/>
      <c r="I102" s="328"/>
      <c r="J102" s="253"/>
      <c r="K102" s="253"/>
      <c r="L102" s="253"/>
      <c r="M102" s="253"/>
      <c r="N102" s="253"/>
      <c r="O102" s="253"/>
      <c r="P102" s="253"/>
    </row>
    <row r="103" spans="1:16" ht="12.75" customHeight="1">
      <c r="A103" s="282" t="s">
        <v>458</v>
      </c>
      <c r="B103" s="265">
        <f>+I101/2</f>
        <v>1702528.3094550001</v>
      </c>
      <c r="C103" s="331"/>
      <c r="D103" s="332"/>
      <c r="E103" s="328"/>
      <c r="F103" s="328"/>
      <c r="G103" s="330"/>
      <c r="H103" s="331"/>
      <c r="I103" s="331"/>
      <c r="J103" s="253"/>
      <c r="K103" s="253"/>
      <c r="L103" s="253"/>
      <c r="M103" s="253"/>
      <c r="N103" s="253"/>
      <c r="O103" s="253"/>
      <c r="P103" s="253"/>
    </row>
    <row r="104" spans="1:16" ht="12.75" customHeight="1">
      <c r="A104" s="282" t="s">
        <v>469</v>
      </c>
      <c r="B104" s="333">
        <f>IF(OR(SUM(B74:B88)=0,SUM(B89:B100)=0),"nvt",+B102/B103)</f>
        <v>5.9030408096367882E-17</v>
      </c>
      <c r="C104" s="331"/>
      <c r="D104" s="332"/>
      <c r="E104" s="328"/>
      <c r="F104" s="328"/>
      <c r="G104" s="330"/>
      <c r="H104" s="331"/>
      <c r="I104" s="331"/>
      <c r="J104" s="253"/>
      <c r="K104" s="253"/>
      <c r="L104" s="253"/>
      <c r="M104" s="253"/>
      <c r="N104" s="253"/>
      <c r="O104" s="253"/>
      <c r="P104" s="253"/>
    </row>
    <row r="105" spans="1:16" ht="12.75" customHeight="1">
      <c r="A105" s="309" t="s">
        <v>453</v>
      </c>
      <c r="B105" s="271" t="str">
        <f>IF(B104="nvt","onvoldoende",IF(B104&lt;=0.01,"voldoende","onvoldoende"))</f>
        <v>voldoende</v>
      </c>
      <c r="C105" s="334"/>
      <c r="D105" s="335"/>
      <c r="E105" s="334"/>
      <c r="F105" s="334"/>
      <c r="G105" s="334"/>
      <c r="H105" s="334"/>
      <c r="I105" s="336"/>
      <c r="J105" s="253"/>
      <c r="K105" s="253"/>
      <c r="L105" s="253"/>
      <c r="M105" s="253"/>
      <c r="N105" s="253"/>
      <c r="O105" s="253"/>
      <c r="P105" s="253"/>
    </row>
    <row r="106" spans="1:16" ht="12.75" customHeight="1">
      <c r="F106" s="6"/>
      <c r="G106" s="253"/>
      <c r="H106" s="253"/>
      <c r="I106" s="253"/>
      <c r="J106" s="253"/>
      <c r="K106" s="253"/>
      <c r="L106" s="253"/>
      <c r="M106" s="253"/>
      <c r="N106" s="253"/>
      <c r="O106" s="253"/>
      <c r="P106" s="253"/>
    </row>
    <row r="107" spans="1:16" ht="12.75" customHeight="1">
      <c r="A107" s="259" t="s">
        <v>470</v>
      </c>
      <c r="F107" s="6"/>
      <c r="G107" s="253"/>
      <c r="H107" s="253"/>
      <c r="I107" s="253"/>
      <c r="J107" s="253"/>
      <c r="K107" s="253"/>
      <c r="L107" s="253"/>
      <c r="M107" s="253"/>
      <c r="N107" s="253"/>
      <c r="O107" s="253"/>
      <c r="P107" s="253"/>
    </row>
    <row r="108" spans="1:16" ht="12.75" customHeight="1">
      <c r="A108" s="337" t="s">
        <v>471</v>
      </c>
      <c r="B108" s="338">
        <f>ABS(+'5.Verdelingsmatrix lasten'!$C$165)</f>
        <v>0</v>
      </c>
      <c r="F108" s="6"/>
      <c r="G108" s="253"/>
      <c r="H108" s="253"/>
      <c r="I108" s="253"/>
      <c r="J108" s="253"/>
      <c r="K108" s="253"/>
      <c r="L108" s="253"/>
      <c r="M108" s="253"/>
      <c r="N108" s="253"/>
      <c r="O108" s="253"/>
      <c r="P108" s="253"/>
    </row>
    <row r="109" spans="1:16" ht="12.75" customHeight="1">
      <c r="A109" s="301" t="s">
        <v>466</v>
      </c>
      <c r="B109" s="339">
        <f>ABS(+'6.Verdelingsmatrix baten'!$C$165)</f>
        <v>0</v>
      </c>
      <c r="F109" s="6"/>
      <c r="G109" s="253"/>
      <c r="H109" s="253"/>
      <c r="I109" s="253"/>
      <c r="J109" s="253"/>
      <c r="K109" s="253"/>
      <c r="L109" s="253"/>
      <c r="M109" s="253"/>
      <c r="N109" s="253"/>
      <c r="O109" s="253"/>
      <c r="P109" s="253"/>
    </row>
    <row r="110" spans="1:16" ht="12.75" customHeight="1">
      <c r="A110" s="301" t="s">
        <v>456</v>
      </c>
      <c r="B110" s="340">
        <f>ABS(B108)+ABS(B109)</f>
        <v>0</v>
      </c>
      <c r="F110" s="6"/>
      <c r="G110" s="253"/>
      <c r="H110" s="253"/>
      <c r="I110" s="253"/>
      <c r="J110" s="253"/>
      <c r="K110" s="253"/>
      <c r="L110" s="253"/>
      <c r="M110" s="253"/>
      <c r="N110" s="253"/>
      <c r="O110" s="253"/>
      <c r="P110" s="253"/>
    </row>
    <row r="111" spans="1:16" ht="12.75" customHeight="1">
      <c r="A111" s="341" t="s">
        <v>472</v>
      </c>
      <c r="B111" s="307">
        <f>+$B$110/$C$24</f>
        <v>0</v>
      </c>
      <c r="F111" s="6"/>
      <c r="G111" s="253"/>
      <c r="H111" s="253"/>
      <c r="I111" s="253"/>
      <c r="J111" s="253"/>
      <c r="K111" s="253"/>
      <c r="L111" s="253"/>
      <c r="M111" s="253"/>
      <c r="N111" s="253"/>
      <c r="O111" s="253"/>
      <c r="P111" s="253"/>
    </row>
    <row r="112" spans="1:16" ht="12.75" customHeight="1">
      <c r="A112" s="342" t="s">
        <v>453</v>
      </c>
      <c r="B112" s="271" t="str">
        <f>IF(B111&lt;=0.01,"voldoende","onvoldoende")</f>
        <v>voldoende</v>
      </c>
      <c r="F112" s="6"/>
      <c r="G112" s="253"/>
      <c r="H112" s="253"/>
      <c r="I112" s="253"/>
      <c r="J112" s="253"/>
      <c r="K112" s="253"/>
      <c r="L112" s="253"/>
      <c r="M112" s="253"/>
      <c r="N112" s="253"/>
      <c r="O112" s="253"/>
      <c r="P112" s="253"/>
    </row>
    <row r="113" spans="1:18" ht="12.75" customHeight="1">
      <c r="F113" s="6"/>
      <c r="G113" s="253"/>
      <c r="H113" s="253"/>
      <c r="I113" s="253"/>
      <c r="J113" s="253"/>
      <c r="K113" s="253"/>
      <c r="L113" s="253"/>
      <c r="M113" s="253"/>
      <c r="N113" s="253"/>
      <c r="O113" s="253"/>
      <c r="P113" s="253"/>
    </row>
    <row r="114" spans="1:18" s="11" customFormat="1" ht="13.5" customHeight="1">
      <c r="A114" s="259" t="s">
        <v>473</v>
      </c>
      <c r="B114" s="6"/>
      <c r="C114" s="6"/>
      <c r="D114" s="6"/>
      <c r="E114" s="6"/>
      <c r="F114" s="258"/>
      <c r="G114" s="343"/>
      <c r="H114" s="343"/>
      <c r="I114" s="343"/>
      <c r="J114" s="343"/>
      <c r="K114" s="343"/>
      <c r="L114" s="343"/>
      <c r="M114" s="343"/>
      <c r="N114" s="343"/>
      <c r="O114" s="343"/>
      <c r="P114" s="343"/>
    </row>
    <row r="115" spans="1:18" s="11" customFormat="1" ht="13.5" customHeight="1">
      <c r="A115" s="344"/>
      <c r="B115" s="345" t="s">
        <v>465</v>
      </c>
      <c r="C115" s="345" t="s">
        <v>466</v>
      </c>
      <c r="D115" s="345" t="s">
        <v>474</v>
      </c>
      <c r="E115" s="346" t="s">
        <v>475</v>
      </c>
      <c r="F115" s="258"/>
      <c r="G115" s="343"/>
      <c r="H115" s="343"/>
      <c r="I115" s="343"/>
      <c r="J115" s="343"/>
      <c r="K115" s="343"/>
      <c r="L115" s="343"/>
      <c r="M115" s="343"/>
      <c r="N115" s="343"/>
      <c r="O115" s="343"/>
      <c r="P115" s="343"/>
    </row>
    <row r="116" spans="1:18" s="11" customFormat="1" ht="13.5" customHeight="1">
      <c r="A116" s="347" t="s">
        <v>45</v>
      </c>
      <c r="B116" s="320">
        <f>+'5.Verdelingsmatrix lasten'!$S165</f>
        <v>4392.0686699999997</v>
      </c>
      <c r="C116" s="320">
        <f>+'6.Verdelingsmatrix baten'!$S165</f>
        <v>4392.0686699999997</v>
      </c>
      <c r="D116" s="320">
        <f>ABS(B116-C116)</f>
        <v>0</v>
      </c>
      <c r="E116" s="320">
        <f>ABS(B116)+ABS(C116)</f>
        <v>8784.1373399999993</v>
      </c>
      <c r="F116" s="258"/>
      <c r="G116" s="343"/>
      <c r="J116" s="343"/>
      <c r="K116" s="343"/>
      <c r="L116" s="343"/>
      <c r="M116" s="343"/>
      <c r="N116" s="343"/>
      <c r="O116" s="343"/>
      <c r="P116" s="343"/>
    </row>
    <row r="117" spans="1:18" s="11" customFormat="1" ht="13.5" customHeight="1">
      <c r="A117" s="347" t="s">
        <v>264</v>
      </c>
      <c r="B117" s="320">
        <f>+'5.Verdelingsmatrix lasten'!$AB165</f>
        <v>0</v>
      </c>
      <c r="C117" s="320">
        <f>+'6.Verdelingsmatrix baten'!$AB165</f>
        <v>0</v>
      </c>
      <c r="D117" s="320">
        <f>ABS(B117-C117)</f>
        <v>0</v>
      </c>
      <c r="E117" s="320">
        <f>ABS(B117)+ABS(C117)</f>
        <v>0</v>
      </c>
      <c r="F117" s="258"/>
      <c r="G117" s="343"/>
      <c r="J117" s="343"/>
      <c r="K117" s="343"/>
      <c r="L117" s="343"/>
      <c r="M117" s="343"/>
      <c r="N117" s="343"/>
      <c r="O117" s="343"/>
      <c r="P117" s="343"/>
    </row>
    <row r="118" spans="1:18" s="11" customFormat="1" ht="13.5" customHeight="1">
      <c r="A118" s="347" t="s">
        <v>265</v>
      </c>
      <c r="B118" s="320">
        <f>+'5.Verdelingsmatrix lasten'!$AC165</f>
        <v>0</v>
      </c>
      <c r="C118" s="320">
        <f>+'6.Verdelingsmatrix baten'!$AC165</f>
        <v>0</v>
      </c>
      <c r="D118" s="320">
        <f>ABS(B118-C118)</f>
        <v>0</v>
      </c>
      <c r="E118" s="320">
        <f>ABS(B118)+ABS(C118)</f>
        <v>0</v>
      </c>
      <c r="F118" s="258"/>
      <c r="G118" s="343"/>
      <c r="J118" s="343"/>
      <c r="K118" s="343"/>
      <c r="L118" s="343"/>
      <c r="M118" s="343"/>
      <c r="N118" s="343"/>
      <c r="O118" s="343"/>
      <c r="P118" s="343"/>
    </row>
    <row r="119" spans="1:18" s="11" customFormat="1" ht="13.5" customHeight="1">
      <c r="A119" s="347"/>
      <c r="B119" s="320"/>
      <c r="C119" s="320"/>
      <c r="D119" s="320"/>
      <c r="E119" s="320"/>
      <c r="F119" s="258"/>
      <c r="G119" s="343"/>
      <c r="J119" s="343"/>
      <c r="K119" s="343"/>
      <c r="L119" s="343"/>
      <c r="M119" s="343"/>
      <c r="N119" s="343"/>
      <c r="O119" s="343"/>
      <c r="P119" s="343"/>
    </row>
    <row r="120" spans="1:18" s="11" customFormat="1" ht="13.5" customHeight="1">
      <c r="A120" s="347"/>
      <c r="B120" s="320"/>
      <c r="C120" s="320"/>
      <c r="D120" s="320"/>
      <c r="E120" s="320"/>
      <c r="F120" s="258"/>
    </row>
    <row r="121" spans="1:18" s="11" customFormat="1" ht="13.5" customHeight="1" thickBot="1">
      <c r="A121" s="347"/>
      <c r="B121" s="320"/>
      <c r="C121" s="320"/>
      <c r="D121" s="320"/>
      <c r="E121" s="320"/>
      <c r="F121" s="258"/>
    </row>
    <row r="122" spans="1:18" s="11" customFormat="1" ht="12.75" customHeight="1">
      <c r="A122" s="348" t="s">
        <v>476</v>
      </c>
      <c r="B122" s="324"/>
      <c r="C122" s="324"/>
      <c r="D122" s="324">
        <f>SUM(D116:D121)</f>
        <v>0</v>
      </c>
      <c r="E122" s="324">
        <f>SUM(E116:E121)</f>
        <v>8784.1373399999993</v>
      </c>
      <c r="F122" s="258"/>
      <c r="G122" s="6"/>
      <c r="H122" s="6"/>
      <c r="I122" s="6"/>
      <c r="J122" s="6"/>
      <c r="K122" s="6"/>
      <c r="L122" s="6"/>
      <c r="M122" s="6"/>
      <c r="N122" s="6"/>
      <c r="O122" s="6"/>
      <c r="P122" s="6"/>
      <c r="Q122" s="6"/>
      <c r="R122" s="6"/>
    </row>
    <row r="123" spans="1:18" s="11" customFormat="1" ht="12.75" customHeight="1">
      <c r="A123" s="347" t="s">
        <v>451</v>
      </c>
      <c r="B123" s="320">
        <f>+D122</f>
        <v>0</v>
      </c>
      <c r="C123" s="349"/>
      <c r="D123" s="349"/>
      <c r="E123" s="349"/>
      <c r="F123" s="258"/>
      <c r="G123" s="6"/>
      <c r="H123" s="6"/>
      <c r="I123" s="6"/>
      <c r="J123" s="6"/>
      <c r="K123" s="6"/>
      <c r="L123" s="6"/>
      <c r="M123" s="6"/>
      <c r="N123" s="6"/>
      <c r="O123" s="6"/>
      <c r="P123" s="6"/>
      <c r="Q123" s="6"/>
      <c r="R123" s="6"/>
    </row>
    <row r="124" spans="1:18" s="11" customFormat="1" ht="12.75" customHeight="1">
      <c r="A124" s="347" t="s">
        <v>458</v>
      </c>
      <c r="B124" s="320">
        <f>+C24</f>
        <v>341647</v>
      </c>
      <c r="C124" s="349"/>
      <c r="D124" s="349"/>
      <c r="E124" s="349"/>
      <c r="F124" s="258"/>
      <c r="G124" s="6"/>
      <c r="H124" s="6"/>
      <c r="I124" s="6"/>
      <c r="J124" s="6"/>
      <c r="K124" s="6"/>
      <c r="L124" s="6"/>
      <c r="M124" s="6"/>
      <c r="N124" s="6"/>
      <c r="O124" s="6"/>
      <c r="P124" s="6"/>
      <c r="Q124" s="6"/>
      <c r="R124" s="6"/>
    </row>
    <row r="125" spans="1:18" s="11" customFormat="1" ht="12.75" customHeight="1">
      <c r="A125" s="347" t="s">
        <v>477</v>
      </c>
      <c r="B125" s="349">
        <f>IF(B124=0,0,+B123/B124)</f>
        <v>0</v>
      </c>
      <c r="C125" s="349"/>
      <c r="D125" s="349"/>
      <c r="E125" s="349"/>
      <c r="F125" s="258"/>
      <c r="G125" s="6"/>
      <c r="H125" s="6"/>
      <c r="I125" s="6"/>
      <c r="J125" s="6"/>
      <c r="K125" s="6"/>
      <c r="L125" s="6"/>
      <c r="M125" s="6"/>
      <c r="N125" s="6"/>
      <c r="O125" s="6"/>
      <c r="P125" s="6"/>
      <c r="Q125" s="6"/>
      <c r="R125" s="6"/>
    </row>
    <row r="126" spans="1:18" s="11" customFormat="1" ht="12.75" customHeight="1">
      <c r="A126" s="350" t="s">
        <v>453</v>
      </c>
      <c r="B126" s="271" t="str">
        <f>IF(B125&lt;=0.01,"voldoende","onvoldoende")</f>
        <v>voldoende</v>
      </c>
      <c r="C126" s="351"/>
      <c r="D126" s="351"/>
      <c r="E126" s="351"/>
      <c r="F126" s="258"/>
      <c r="G126" s="6"/>
      <c r="H126" s="6"/>
      <c r="I126" s="6"/>
      <c r="J126" s="6"/>
      <c r="K126" s="6"/>
      <c r="L126" s="6"/>
      <c r="M126" s="6"/>
      <c r="N126" s="6"/>
      <c r="O126" s="6"/>
      <c r="P126" s="6"/>
      <c r="Q126" s="6"/>
      <c r="R126" s="6"/>
    </row>
    <row r="127" spans="1:18" s="11" customFormat="1" ht="12.75" customHeight="1">
      <c r="A127" s="387"/>
      <c r="B127" s="387"/>
      <c r="C127" s="387"/>
      <c r="D127" s="387"/>
      <c r="E127" s="352"/>
      <c r="F127" s="258"/>
      <c r="G127" s="6"/>
      <c r="H127" s="6"/>
      <c r="I127" s="6"/>
      <c r="J127" s="6"/>
      <c r="K127" s="6"/>
      <c r="L127" s="6"/>
      <c r="M127" s="6"/>
      <c r="N127" s="6"/>
      <c r="O127" s="6"/>
      <c r="P127" s="6"/>
      <c r="Q127" s="6"/>
      <c r="R127" s="6"/>
    </row>
    <row r="128" spans="1:18" s="11" customFormat="1" ht="12.75" customHeight="1">
      <c r="A128" s="387"/>
      <c r="B128" s="387"/>
      <c r="C128" s="387"/>
      <c r="D128" s="387"/>
      <c r="E128" s="352"/>
      <c r="F128" s="258"/>
      <c r="G128" s="6"/>
      <c r="H128" s="6"/>
      <c r="I128" s="6"/>
      <c r="J128" s="6"/>
      <c r="K128" s="6"/>
      <c r="L128" s="6"/>
      <c r="M128" s="6"/>
      <c r="N128" s="6"/>
      <c r="O128" s="6"/>
      <c r="P128" s="6"/>
      <c r="Q128" s="6"/>
      <c r="R128" s="6"/>
    </row>
  </sheetData>
  <mergeCells count="5">
    <mergeCell ref="I10:J18"/>
    <mergeCell ref="A3:D3"/>
    <mergeCell ref="A5:D5"/>
    <mergeCell ref="A7:D7"/>
    <mergeCell ref="F10:H10"/>
  </mergeCells>
  <phoneticPr fontId="0" type="noConversion"/>
  <conditionalFormatting sqref="A121">
    <cfRule type="expression" dxfId="1" priority="1" stopIfTrue="1">
      <formula>$F$11=1</formula>
    </cfRule>
  </conditionalFormatting>
  <conditionalFormatting sqref="B121:E121">
    <cfRule type="expression" dxfId="0" priority="2" stopIfTrue="1">
      <formula>$F$11=1</formula>
    </cfRule>
  </conditionalFormatting>
  <pageMargins left="0.36" right="0.23" top="0.98425196850393704" bottom="0.98425196850393704" header="0.51181102362204722" footer="0.51181102362204722"/>
  <pageSetup paperSize="9" scale="60"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9</vt:i4>
      </vt:variant>
      <vt:variant>
        <vt:lpstr>Benoemde bereiken</vt:lpstr>
      </vt:variant>
      <vt:variant>
        <vt:i4>7</vt:i4>
      </vt:variant>
    </vt:vector>
  </HeadingPairs>
  <TitlesOfParts>
    <vt:vector size="16" baseType="lpstr">
      <vt:lpstr>1.Aanschrijfbrief</vt:lpstr>
      <vt:lpstr>2.Adressering</vt:lpstr>
      <vt:lpstr>3.Toelichting</vt:lpstr>
      <vt:lpstr>4.Informatie</vt:lpstr>
      <vt:lpstr>5.Verdelingsmatrix lasten</vt:lpstr>
      <vt:lpstr>6.Verdelingsmatrix baten</vt:lpstr>
      <vt:lpstr>7.Balansstanden</vt:lpstr>
      <vt:lpstr>8.Akkoordverklaring</vt:lpstr>
      <vt:lpstr>9.Eindoordeel</vt:lpstr>
      <vt:lpstr>'2.Adressering'!Afdrukbereik</vt:lpstr>
      <vt:lpstr>'3.Toelichting'!Afdrukbereik</vt:lpstr>
      <vt:lpstr>'4.Informatie'!Afdrukbereik</vt:lpstr>
      <vt:lpstr>'5.Verdelingsmatrix lasten'!Afdrukbereik</vt:lpstr>
      <vt:lpstr>'6.Verdelingsmatrix baten'!Afdrukbereik</vt:lpstr>
      <vt:lpstr>'8.Akkoordverklaring'!Afdrukbereik</vt:lpstr>
      <vt:lpstr>'9.Eindoordeel'!Afdrukbereik</vt:lpstr>
    </vt:vector>
  </TitlesOfParts>
  <Company>Bureau Kredo - CBS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iv3 provincie</dc:title>
  <dc:creator>Bureau Kredo</dc:creator>
  <cp:lastModifiedBy>cma207</cp:lastModifiedBy>
  <cp:lastPrinted>2013-07-22T13:24:44Z</cp:lastPrinted>
  <dcterms:created xsi:type="dcterms:W3CDTF">2003-06-19T13:24:40Z</dcterms:created>
  <dcterms:modified xsi:type="dcterms:W3CDTF">2013-07-23T05:58:33Z</dcterms:modified>
</cp:coreProperties>
</file>