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2345" yWindow="-15" windowWidth="12315" windowHeight="13260" tabRatio="830"/>
  </bookViews>
  <sheets>
    <sheet name="4.Informatie" sheetId="23" r:id="rId1"/>
    <sheet name="5.Verdelingsmatrix lasten" sheetId="24" r:id="rId2"/>
    <sheet name="6.Verdelingsmatrix baten" sheetId="25" r:id="rId3"/>
    <sheet name="7.Balansstanden" sheetId="28" r:id="rId4"/>
    <sheet name="8.Akkoordverklaring" sheetId="30" r:id="rId5"/>
    <sheet name="9.Eindoordeel" sheetId="37" r:id="rId6"/>
  </sheets>
  <definedNames>
    <definedName name="_xlnm.Print_Area" localSheetId="0">'4.Informatie'!$A$1:$J$38</definedName>
    <definedName name="_xlnm.Print_Area" localSheetId="1">'5.Verdelingsmatrix lasten'!$A$1:$AD$170</definedName>
    <definedName name="_xlnm.Print_Area" localSheetId="2">'6.Verdelingsmatrix baten'!$A$1:$AD$170</definedName>
    <definedName name="_xlnm.Print_Area" localSheetId="4">'8.Akkoordverklaring'!$A$1:$C$35</definedName>
    <definedName name="_xlnm.Print_Area" localSheetId="5">'9.Eindoordeel'!$A$1:$J$126</definedName>
    <definedName name="AS2DocOpenMode" hidden="1">"AS2DocumentEdit"</definedName>
  </definedNames>
  <calcPr calcId="145621"/>
</workbook>
</file>

<file path=xl/calcChain.xml><?xml version="1.0" encoding="utf-8"?>
<calcChain xmlns="http://schemas.openxmlformats.org/spreadsheetml/2006/main">
  <c r="AD165" i="25" l="1"/>
  <c r="S110" i="25"/>
  <c r="S26" i="24"/>
  <c r="H39" i="28" l="1"/>
  <c r="H66" i="28"/>
  <c r="H65" i="28"/>
  <c r="H60" i="28"/>
  <c r="H40" i="28"/>
  <c r="H38" i="28"/>
  <c r="H36" i="28"/>
  <c r="H35" i="28"/>
  <c r="H25" i="28"/>
  <c r="H24" i="28"/>
  <c r="H22" i="28"/>
  <c r="H18" i="28"/>
  <c r="AC77" i="24"/>
  <c r="AC76" i="24"/>
  <c r="AC71" i="24"/>
  <c r="AC70" i="24"/>
  <c r="AC69" i="24"/>
  <c r="AC67" i="24"/>
  <c r="AC66" i="24"/>
  <c r="AC65" i="24"/>
  <c r="AC64" i="24"/>
  <c r="AC63" i="24"/>
  <c r="AC59" i="24"/>
  <c r="AC58" i="24"/>
  <c r="AC57" i="24"/>
  <c r="AC56" i="24"/>
  <c r="AC52" i="24"/>
  <c r="AC51" i="24"/>
  <c r="AC46" i="24"/>
  <c r="AC45" i="24"/>
  <c r="AC42" i="24"/>
  <c r="AC40" i="24"/>
  <c r="AC32" i="24"/>
  <c r="AC31" i="24"/>
  <c r="AC27" i="24"/>
  <c r="AC26" i="24"/>
  <c r="AC24" i="24"/>
  <c r="AC23" i="24"/>
  <c r="AC17" i="24"/>
  <c r="AC13" i="24"/>
  <c r="AC12" i="24"/>
  <c r="AC11" i="24"/>
  <c r="AC10" i="24"/>
  <c r="AC9" i="24"/>
  <c r="AC8" i="24"/>
  <c r="AC7" i="24"/>
  <c r="AC6" i="24"/>
  <c r="AC99" i="24"/>
  <c r="AC110" i="24"/>
  <c r="AA160" i="24"/>
  <c r="AA159" i="24"/>
  <c r="AA134" i="24"/>
  <c r="AA131" i="24"/>
  <c r="X159" i="24"/>
  <c r="T132" i="24"/>
  <c r="S76" i="24"/>
  <c r="S66" i="24"/>
  <c r="S64" i="24"/>
  <c r="S59" i="24"/>
  <c r="S57" i="24"/>
  <c r="S52" i="24"/>
  <c r="S51" i="24"/>
  <c r="S45" i="24"/>
  <c r="S42" i="24"/>
  <c r="S40" i="24"/>
  <c r="S31" i="24"/>
  <c r="S27" i="24"/>
  <c r="S24" i="24"/>
  <c r="S23" i="24"/>
  <c r="S12" i="24"/>
  <c r="S7" i="24"/>
  <c r="S6" i="24"/>
  <c r="S82" i="24"/>
  <c r="S99" i="24"/>
  <c r="S128" i="24"/>
  <c r="S110" i="24"/>
  <c r="S145" i="24"/>
  <c r="S144" i="24"/>
  <c r="S142" i="24"/>
  <c r="S141" i="24"/>
  <c r="S90" i="24"/>
  <c r="S70" i="24"/>
  <c r="S65" i="24"/>
  <c r="S58" i="24"/>
  <c r="S86" i="24"/>
  <c r="S83" i="24"/>
  <c r="R82" i="24"/>
  <c r="Q66" i="24"/>
  <c r="Q57" i="24"/>
  <c r="Q51" i="24"/>
  <c r="P59" i="24"/>
  <c r="P57" i="24"/>
  <c r="P52" i="24"/>
  <c r="P51" i="24"/>
  <c r="O66" i="24"/>
  <c r="O65" i="24"/>
  <c r="O59" i="24"/>
  <c r="O57" i="24"/>
  <c r="O56" i="24"/>
  <c r="O40" i="24"/>
  <c r="O12" i="24"/>
  <c r="N67" i="24"/>
  <c r="N63" i="24"/>
  <c r="N57" i="24"/>
  <c r="N51" i="24"/>
  <c r="J66" i="24"/>
  <c r="J65" i="24"/>
  <c r="J64" i="24"/>
  <c r="J63" i="24"/>
  <c r="J59" i="24"/>
  <c r="J57" i="24"/>
  <c r="J56" i="24"/>
  <c r="J52" i="24"/>
  <c r="J51" i="24"/>
  <c r="J40" i="24"/>
  <c r="J26" i="24"/>
  <c r="J24" i="24"/>
  <c r="J13" i="24"/>
  <c r="J99" i="24"/>
  <c r="N71" i="25"/>
  <c r="N45" i="25"/>
  <c r="N42" i="25"/>
  <c r="N40" i="25"/>
  <c r="N27" i="25"/>
  <c r="N23" i="25"/>
  <c r="AC99" i="25"/>
  <c r="AA160" i="25"/>
  <c r="AA159" i="25"/>
  <c r="AA131" i="25"/>
  <c r="X159" i="25"/>
  <c r="T136" i="25"/>
  <c r="T132" i="25"/>
  <c r="S76" i="25"/>
  <c r="S66" i="25"/>
  <c r="S57" i="25"/>
  <c r="S52" i="25"/>
  <c r="S45" i="25"/>
  <c r="S31" i="25"/>
  <c r="S24" i="25"/>
  <c r="S23" i="25"/>
  <c r="S13" i="25"/>
  <c r="S99" i="25"/>
  <c r="S42" i="25"/>
  <c r="S12" i="25"/>
  <c r="S145" i="25"/>
  <c r="S90" i="25"/>
  <c r="S142" i="25"/>
  <c r="S141" i="25"/>
  <c r="S83" i="25"/>
  <c r="S122" i="25"/>
  <c r="S112" i="25"/>
  <c r="S109" i="25"/>
  <c r="R82" i="25"/>
  <c r="N63" i="25"/>
  <c r="L13" i="25"/>
  <c r="L99" i="25"/>
  <c r="K110" i="25"/>
  <c r="F24" i="25"/>
  <c r="P23" i="24" l="1"/>
  <c r="AA135" i="24"/>
  <c r="Y153" i="24"/>
  <c r="Y120" i="24"/>
  <c r="V121" i="24"/>
  <c r="T136" i="24"/>
  <c r="R83" i="24"/>
  <c r="Q77" i="24"/>
  <c r="Q76" i="24"/>
  <c r="Q70" i="24"/>
  <c r="Q63" i="24"/>
  <c r="Q59" i="24"/>
  <c r="Q52" i="24"/>
  <c r="Q27" i="24"/>
  <c r="P77" i="24"/>
  <c r="P76" i="24"/>
  <c r="P66" i="24"/>
  <c r="P40" i="24"/>
  <c r="P31" i="24"/>
  <c r="P27" i="24"/>
  <c r="P26" i="24"/>
  <c r="P128" i="24"/>
  <c r="O77" i="24"/>
  <c r="O76" i="24"/>
  <c r="O71" i="24"/>
  <c r="O70" i="24" l="1"/>
  <c r="O69" i="24"/>
  <c r="O67" i="24"/>
  <c r="O64" i="24"/>
  <c r="O63" i="24"/>
  <c r="O52" i="24"/>
  <c r="O51" i="24"/>
  <c r="O31" i="24"/>
  <c r="O27" i="24"/>
  <c r="O23" i="24"/>
  <c r="O17" i="24"/>
  <c r="O13" i="24"/>
  <c r="O8" i="24"/>
  <c r="O7" i="24"/>
  <c r="O6" i="24"/>
  <c r="O145" i="24"/>
  <c r="O99" i="24"/>
  <c r="N77" i="24" l="1"/>
  <c r="N76" i="24"/>
  <c r="N71" i="24"/>
  <c r="N69" i="24"/>
  <c r="N66" i="24"/>
  <c r="N59" i="24"/>
  <c r="N52" i="24"/>
  <c r="N42" i="24"/>
  <c r="N40" i="24"/>
  <c r="N31" i="24"/>
  <c r="N27" i="24"/>
  <c r="N26" i="24"/>
  <c r="N23" i="24"/>
  <c r="N17" i="24"/>
  <c r="N12" i="24"/>
  <c r="N9" i="24"/>
  <c r="N99" i="24"/>
  <c r="M59" i="24"/>
  <c r="M27" i="24"/>
  <c r="L76" i="24"/>
  <c r="L52" i="24"/>
  <c r="L31" i="24"/>
  <c r="L26" i="24"/>
  <c r="L24" i="24"/>
  <c r="L13" i="24"/>
  <c r="L99" i="24"/>
  <c r="L128" i="24"/>
  <c r="L110" i="24"/>
  <c r="K76" i="24"/>
  <c r="K52" i="24"/>
  <c r="K24" i="24"/>
  <c r="K128" i="24"/>
  <c r="K110" i="24"/>
  <c r="J77" i="24"/>
  <c r="J76" i="24"/>
  <c r="J71" i="24"/>
  <c r="J46" i="24"/>
  <c r="J45" i="24"/>
  <c r="J42" i="24"/>
  <c r="J32" i="24"/>
  <c r="J31" i="24"/>
  <c r="J27" i="24"/>
  <c r="J23" i="24"/>
  <c r="J17" i="24"/>
  <c r="J12" i="24"/>
  <c r="J11" i="24"/>
  <c r="J9" i="24"/>
  <c r="J7" i="24"/>
  <c r="J6" i="24"/>
  <c r="J145" i="24"/>
  <c r="J128" i="24"/>
  <c r="J110" i="24"/>
  <c r="J109" i="24"/>
  <c r="I77" i="24"/>
  <c r="I76" i="24"/>
  <c r="I45" i="24"/>
  <c r="I31" i="24"/>
  <c r="I24" i="24"/>
  <c r="I17" i="24"/>
  <c r="I13" i="24"/>
  <c r="I12" i="24"/>
  <c r="I99" i="24"/>
  <c r="I128" i="24"/>
  <c r="I110" i="24"/>
  <c r="I109" i="24"/>
  <c r="H76" i="24"/>
  <c r="H51" i="24"/>
  <c r="H24" i="24"/>
  <c r="H99" i="24"/>
  <c r="H128" i="24"/>
  <c r="H110" i="24"/>
  <c r="H109" i="24"/>
  <c r="G26" i="24"/>
  <c r="G99" i="24"/>
  <c r="G110" i="24"/>
  <c r="F24" i="24"/>
  <c r="F110" i="24"/>
  <c r="E99" i="24"/>
  <c r="D6" i="24"/>
  <c r="D99" i="24"/>
  <c r="O40" i="25"/>
  <c r="AA134" i="25"/>
  <c r="Y153" i="25"/>
  <c r="Y120" i="25"/>
  <c r="Y118" i="25"/>
  <c r="V121" i="25"/>
  <c r="R76" i="25"/>
  <c r="R70" i="25"/>
  <c r="R66" i="25"/>
  <c r="R58" i="25"/>
  <c r="R52" i="25"/>
  <c r="R31" i="25"/>
  <c r="R83" i="25"/>
  <c r="Q59" i="25"/>
  <c r="Q52" i="25"/>
  <c r="Q23" i="25"/>
  <c r="Q110" i="25"/>
  <c r="P77" i="25"/>
  <c r="P76" i="25"/>
  <c r="P52" i="25"/>
  <c r="P23" i="25"/>
  <c r="P13" i="25"/>
  <c r="P128" i="25"/>
  <c r="P110" i="25"/>
  <c r="O76" i="25"/>
  <c r="O52" i="25"/>
  <c r="O51" i="25"/>
  <c r="O45" i="25"/>
  <c r="O42" i="25"/>
  <c r="O26" i="25"/>
  <c r="O24" i="25"/>
  <c r="O13" i="25"/>
  <c r="O84" i="25"/>
  <c r="O99" i="25"/>
  <c r="O110" i="25"/>
  <c r="N76" i="25"/>
  <c r="N66" i="25"/>
  <c r="N57" i="25"/>
  <c r="N52" i="25"/>
  <c r="N51" i="25"/>
  <c r="N31" i="25"/>
  <c r="N26" i="25"/>
  <c r="N13" i="25"/>
  <c r="N9" i="25"/>
  <c r="N84" i="25"/>
  <c r="N99" i="25"/>
  <c r="N110" i="25"/>
  <c r="M58" i="25"/>
  <c r="M57" i="25"/>
  <c r="M86" i="25"/>
  <c r="L76" i="25"/>
  <c r="L56" i="25"/>
  <c r="L51" i="25"/>
  <c r="L45" i="25"/>
  <c r="L40" i="25"/>
  <c r="L31" i="25"/>
  <c r="L26" i="25"/>
  <c r="L24" i="25"/>
  <c r="L23" i="25"/>
  <c r="L12" i="25"/>
  <c r="L11" i="25"/>
  <c r="L7" i="25"/>
  <c r="L128" i="25"/>
  <c r="L110" i="25"/>
  <c r="K76" i="25"/>
  <c r="K52" i="25"/>
  <c r="K26" i="25"/>
  <c r="K24" i="25"/>
  <c r="K128" i="25"/>
  <c r="J76" i="25"/>
  <c r="J52" i="25"/>
  <c r="J26" i="25"/>
  <c r="J13" i="25"/>
  <c r="J99" i="25"/>
  <c r="J128" i="25"/>
  <c r="J110" i="25"/>
  <c r="I99" i="25"/>
  <c r="G76" i="25"/>
  <c r="G128" i="25"/>
  <c r="G113" i="25"/>
  <c r="G110" i="25"/>
  <c r="F76" i="25"/>
  <c r="F46" i="25"/>
  <c r="F45" i="25"/>
  <c r="F31" i="25"/>
  <c r="F26" i="25"/>
  <c r="F13" i="25"/>
  <c r="E85" i="25"/>
  <c r="F18" i="28" l="1"/>
  <c r="F66" i="28"/>
  <c r="F65" i="28"/>
  <c r="F60" i="28"/>
  <c r="F40" i="28"/>
  <c r="F38" i="28"/>
  <c r="F36" i="28"/>
  <c r="F35" i="28"/>
  <c r="F25" i="28"/>
  <c r="F24" i="28"/>
  <c r="F22" i="28"/>
  <c r="N53" i="25" l="1"/>
  <c r="A1" i="30" l="1"/>
  <c r="AA14" i="24"/>
  <c r="AA20" i="24"/>
  <c r="AA28" i="24"/>
  <c r="AA37" i="24"/>
  <c r="AA79" i="24"/>
  <c r="AA72" i="24"/>
  <c r="AA60" i="24"/>
  <c r="AA53" i="24"/>
  <c r="AA47" i="24"/>
  <c r="T92" i="24"/>
  <c r="U92" i="24"/>
  <c r="V92" i="24"/>
  <c r="R92" i="24"/>
  <c r="R79" i="24"/>
  <c r="R72" i="24"/>
  <c r="R60" i="24"/>
  <c r="R53" i="24"/>
  <c r="R47" i="24"/>
  <c r="R37" i="24"/>
  <c r="R28" i="24"/>
  <c r="R20" i="24"/>
  <c r="R14" i="24"/>
  <c r="I5" i="23"/>
  <c r="F69" i="28"/>
  <c r="B1" i="28"/>
  <c r="F98" i="37"/>
  <c r="F90" i="37"/>
  <c r="G90" i="37" s="1"/>
  <c r="F94" i="37"/>
  <c r="F89" i="37"/>
  <c r="E84" i="37"/>
  <c r="E88" i="37"/>
  <c r="G88" i="37" s="1"/>
  <c r="E75" i="37"/>
  <c r="E79" i="37"/>
  <c r="B62" i="37"/>
  <c r="C62" i="37"/>
  <c r="D62" i="37"/>
  <c r="E62" i="37"/>
  <c r="B63" i="37"/>
  <c r="C63" i="37"/>
  <c r="D63" i="37"/>
  <c r="E63" i="37"/>
  <c r="B64" i="37"/>
  <c r="C64" i="37"/>
  <c r="D64" i="37"/>
  <c r="E64" i="37"/>
  <c r="F64" i="37" s="1"/>
  <c r="E61" i="37"/>
  <c r="D61" i="37"/>
  <c r="C61" i="37"/>
  <c r="B61" i="37"/>
  <c r="B54" i="37"/>
  <c r="C54" i="37"/>
  <c r="D54" i="37"/>
  <c r="E54" i="37"/>
  <c r="B55" i="37"/>
  <c r="C55" i="37"/>
  <c r="D55" i="37"/>
  <c r="E55" i="37"/>
  <c r="B56" i="37"/>
  <c r="C56" i="37"/>
  <c r="D56" i="37"/>
  <c r="E56" i="37"/>
  <c r="F56" i="37" s="1"/>
  <c r="B57" i="37"/>
  <c r="C57" i="37"/>
  <c r="D57" i="37"/>
  <c r="E57" i="37"/>
  <c r="B58" i="37"/>
  <c r="C58" i="37"/>
  <c r="D58" i="37"/>
  <c r="E58" i="37"/>
  <c r="B59" i="37"/>
  <c r="C59" i="37"/>
  <c r="D59" i="37"/>
  <c r="E59" i="37"/>
  <c r="B60" i="37"/>
  <c r="C60" i="37"/>
  <c r="D60" i="37"/>
  <c r="E60" i="37"/>
  <c r="F60" i="37" s="1"/>
  <c r="E53" i="37"/>
  <c r="D53" i="37"/>
  <c r="C53" i="37"/>
  <c r="B53" i="37"/>
  <c r="B47" i="37"/>
  <c r="C47" i="37"/>
  <c r="D47" i="37"/>
  <c r="E47" i="37"/>
  <c r="F47" i="37" s="1"/>
  <c r="B48" i="37"/>
  <c r="C48" i="37"/>
  <c r="D48" i="37"/>
  <c r="E48" i="37"/>
  <c r="F48" i="37" s="1"/>
  <c r="B49" i="37"/>
  <c r="C49" i="37"/>
  <c r="D49" i="37"/>
  <c r="E49" i="37"/>
  <c r="B50" i="37"/>
  <c r="C50" i="37"/>
  <c r="D50" i="37"/>
  <c r="E50" i="37"/>
  <c r="B51" i="37"/>
  <c r="C51" i="37"/>
  <c r="D51" i="37"/>
  <c r="E51" i="37"/>
  <c r="F51" i="37" s="1"/>
  <c r="B52" i="37"/>
  <c r="C52" i="37"/>
  <c r="D52" i="37"/>
  <c r="E52" i="37"/>
  <c r="E46" i="37"/>
  <c r="D46" i="37"/>
  <c r="C46" i="37"/>
  <c r="B46" i="37"/>
  <c r="B39" i="37"/>
  <c r="C39" i="37"/>
  <c r="D39" i="37"/>
  <c r="E39" i="37"/>
  <c r="F39" i="37" s="1"/>
  <c r="B40" i="37"/>
  <c r="C40" i="37"/>
  <c r="D40" i="37"/>
  <c r="E40" i="37"/>
  <c r="F40" i="37" s="1"/>
  <c r="B41" i="37"/>
  <c r="C41" i="37"/>
  <c r="D41" i="37"/>
  <c r="E41" i="37"/>
  <c r="B42" i="37"/>
  <c r="C42" i="37"/>
  <c r="D42" i="37"/>
  <c r="E42" i="37"/>
  <c r="B43" i="37"/>
  <c r="C43" i="37"/>
  <c r="D43" i="37"/>
  <c r="E43" i="37"/>
  <c r="F43" i="37" s="1"/>
  <c r="B44" i="37"/>
  <c r="C44" i="37"/>
  <c r="D44" i="37"/>
  <c r="E44" i="37"/>
  <c r="B45" i="37"/>
  <c r="C45" i="37"/>
  <c r="D45" i="37"/>
  <c r="E45" i="37"/>
  <c r="E38" i="37"/>
  <c r="D38" i="37"/>
  <c r="C38" i="37"/>
  <c r="B38" i="37"/>
  <c r="V123" i="24"/>
  <c r="V123" i="25"/>
  <c r="B24" i="37"/>
  <c r="C100" i="37"/>
  <c r="B100" i="37"/>
  <c r="C99" i="37"/>
  <c r="I99" i="37" s="1"/>
  <c r="B99" i="37"/>
  <c r="C98" i="37"/>
  <c r="D98" i="37" s="1"/>
  <c r="B98" i="37"/>
  <c r="C97" i="37"/>
  <c r="B97" i="37"/>
  <c r="C96" i="37"/>
  <c r="I96" i="37" s="1"/>
  <c r="B96" i="37"/>
  <c r="C95" i="37"/>
  <c r="D95" i="37" s="1"/>
  <c r="B95" i="37"/>
  <c r="C94" i="37"/>
  <c r="B94" i="37"/>
  <c r="I94" i="37" s="1"/>
  <c r="C93" i="37"/>
  <c r="I93" i="37" s="1"/>
  <c r="B93" i="37"/>
  <c r="C92" i="37"/>
  <c r="B92" i="37"/>
  <c r="C91" i="37"/>
  <c r="D91" i="37" s="1"/>
  <c r="B91" i="37"/>
  <c r="C90" i="37"/>
  <c r="B90" i="37"/>
  <c r="I90" i="37" s="1"/>
  <c r="C89" i="37"/>
  <c r="B89" i="37"/>
  <c r="C88" i="37"/>
  <c r="B88" i="37"/>
  <c r="D88" i="37" s="1"/>
  <c r="C87" i="37"/>
  <c r="D87" i="37" s="1"/>
  <c r="B87" i="37"/>
  <c r="C86" i="37"/>
  <c r="B86" i="37"/>
  <c r="I86" i="37" s="1"/>
  <c r="C85" i="37"/>
  <c r="I85" i="37" s="1"/>
  <c r="B85" i="37"/>
  <c r="C84" i="37"/>
  <c r="B84" i="37"/>
  <c r="C83" i="37"/>
  <c r="D83" i="37" s="1"/>
  <c r="B83" i="37"/>
  <c r="C82" i="37"/>
  <c r="B82" i="37"/>
  <c r="C81" i="37"/>
  <c r="B81" i="37"/>
  <c r="C80" i="37"/>
  <c r="B80" i="37"/>
  <c r="C79" i="37"/>
  <c r="D79" i="37" s="1"/>
  <c r="B79" i="37"/>
  <c r="C78" i="37"/>
  <c r="B78" i="37"/>
  <c r="C77" i="37"/>
  <c r="I77" i="37" s="1"/>
  <c r="B77" i="37"/>
  <c r="C76" i="37"/>
  <c r="B76" i="37"/>
  <c r="C75" i="37"/>
  <c r="D75" i="37" s="1"/>
  <c r="B75" i="37"/>
  <c r="C74" i="37"/>
  <c r="B74" i="37"/>
  <c r="I79" i="37"/>
  <c r="F44" i="37"/>
  <c r="F52" i="37"/>
  <c r="F55" i="37"/>
  <c r="F59" i="37"/>
  <c r="B3" i="23"/>
  <c r="H70" i="28"/>
  <c r="H69" i="28"/>
  <c r="F70" i="28"/>
  <c r="C161" i="25"/>
  <c r="D161" i="25"/>
  <c r="E161" i="25"/>
  <c r="F161" i="25"/>
  <c r="G161" i="25"/>
  <c r="H161" i="25"/>
  <c r="I161" i="25"/>
  <c r="J161" i="25"/>
  <c r="K161" i="25"/>
  <c r="L161" i="25"/>
  <c r="M161" i="25"/>
  <c r="N161" i="25"/>
  <c r="O161" i="25"/>
  <c r="P161" i="25"/>
  <c r="Q161" i="25"/>
  <c r="R161" i="25"/>
  <c r="S161" i="25"/>
  <c r="T161" i="25"/>
  <c r="U161" i="25"/>
  <c r="V161" i="25"/>
  <c r="W161" i="25"/>
  <c r="X161" i="25"/>
  <c r="Y161" i="25"/>
  <c r="Z161" i="25"/>
  <c r="AA161" i="25"/>
  <c r="AB161" i="25"/>
  <c r="AC161" i="25"/>
  <c r="E163" i="25"/>
  <c r="AC163" i="25"/>
  <c r="AD160" i="25"/>
  <c r="F100" i="37" s="1"/>
  <c r="AD159" i="25"/>
  <c r="F99" i="37" s="1"/>
  <c r="AD158" i="25"/>
  <c r="AD157" i="25"/>
  <c r="F97" i="37" s="1"/>
  <c r="AD153" i="25"/>
  <c r="F96" i="37" s="1"/>
  <c r="AD152" i="25"/>
  <c r="F95" i="37" s="1"/>
  <c r="AD151" i="25"/>
  <c r="AD150" i="25"/>
  <c r="F93" i="37" s="1"/>
  <c r="AD149" i="25"/>
  <c r="F92" i="37" s="1"/>
  <c r="AD148" i="25"/>
  <c r="F91" i="37" s="1"/>
  <c r="AD147" i="25"/>
  <c r="AD146" i="25"/>
  <c r="AD145" i="25"/>
  <c r="AD144" i="25"/>
  <c r="AD143" i="25"/>
  <c r="AD142" i="25"/>
  <c r="AD141" i="25"/>
  <c r="AD137" i="25"/>
  <c r="F88" i="37" s="1"/>
  <c r="AD136" i="25"/>
  <c r="F87" i="37" s="1"/>
  <c r="AD135" i="25"/>
  <c r="F86" i="37" s="1"/>
  <c r="AD134" i="25"/>
  <c r="F85" i="37" s="1"/>
  <c r="AD133" i="25"/>
  <c r="F84" i="37" s="1"/>
  <c r="AD132" i="25"/>
  <c r="F83" i="37" s="1"/>
  <c r="AD131" i="25"/>
  <c r="F82" i="37" s="1"/>
  <c r="AD130" i="25"/>
  <c r="AD129" i="25"/>
  <c r="AD128" i="25"/>
  <c r="AD127" i="25"/>
  <c r="AD126" i="25"/>
  <c r="AD122" i="25"/>
  <c r="AD121" i="25"/>
  <c r="F81" i="37" s="1"/>
  <c r="AD120" i="25"/>
  <c r="F80" i="37" s="1"/>
  <c r="AD119" i="25"/>
  <c r="F79" i="37" s="1"/>
  <c r="G79" i="37" s="1"/>
  <c r="H79" i="37" s="1"/>
  <c r="AD118" i="25"/>
  <c r="F78" i="37" s="1"/>
  <c r="AD117" i="25"/>
  <c r="F77" i="37" s="1"/>
  <c r="AD116" i="25"/>
  <c r="F76" i="37" s="1"/>
  <c r="AD115" i="25"/>
  <c r="F75" i="37" s="1"/>
  <c r="G75" i="37" s="1"/>
  <c r="AD114" i="25"/>
  <c r="F74" i="37" s="1"/>
  <c r="AD113" i="25"/>
  <c r="AD112" i="25"/>
  <c r="AD111" i="25"/>
  <c r="AD110" i="25"/>
  <c r="AD109" i="25"/>
  <c r="AD108" i="25"/>
  <c r="AD107" i="25"/>
  <c r="AD106" i="25"/>
  <c r="AD105" i="25"/>
  <c r="AD99" i="25"/>
  <c r="AD98" i="25"/>
  <c r="AD91" i="25"/>
  <c r="AD90" i="25"/>
  <c r="AD89" i="25"/>
  <c r="AD88" i="25"/>
  <c r="AD87" i="25"/>
  <c r="AD86" i="25"/>
  <c r="AD85" i="25"/>
  <c r="AD84" i="25"/>
  <c r="AD83" i="25"/>
  <c r="AD82" i="25"/>
  <c r="AD78" i="25"/>
  <c r="AD77" i="25"/>
  <c r="AD76" i="25"/>
  <c r="AD75" i="25"/>
  <c r="AD71" i="25"/>
  <c r="AD70" i="25"/>
  <c r="AD69" i="25"/>
  <c r="AD68" i="25"/>
  <c r="AD67" i="25"/>
  <c r="AD66" i="25"/>
  <c r="AD65" i="25"/>
  <c r="AD64" i="25"/>
  <c r="AD63" i="25"/>
  <c r="AD59" i="25"/>
  <c r="AD58" i="25"/>
  <c r="AD57" i="25"/>
  <c r="AD56" i="25"/>
  <c r="AD52" i="25"/>
  <c r="AD51" i="25"/>
  <c r="AD50" i="25"/>
  <c r="AD46" i="25"/>
  <c r="AD45" i="25"/>
  <c r="AD44" i="25"/>
  <c r="AD43" i="25"/>
  <c r="AD42" i="25"/>
  <c r="AD41" i="25"/>
  <c r="AD40" i="25"/>
  <c r="AD36" i="25"/>
  <c r="AD35" i="25"/>
  <c r="AD34" i="25"/>
  <c r="AD33" i="25"/>
  <c r="AD32" i="25"/>
  <c r="AD31" i="25"/>
  <c r="AD27" i="25"/>
  <c r="AD26" i="25"/>
  <c r="AD25" i="25"/>
  <c r="AD24" i="25"/>
  <c r="AD23" i="25"/>
  <c r="AD19" i="25"/>
  <c r="AD18" i="25"/>
  <c r="AD17" i="25"/>
  <c r="AD13" i="25"/>
  <c r="AD12" i="25"/>
  <c r="AD11" i="25"/>
  <c r="AD10" i="25"/>
  <c r="AD9" i="25"/>
  <c r="AD8" i="25"/>
  <c r="AD7" i="25"/>
  <c r="AD6" i="25"/>
  <c r="C14" i="25"/>
  <c r="C20" i="25"/>
  <c r="C28" i="25"/>
  <c r="C37" i="25"/>
  <c r="C47" i="25"/>
  <c r="C53" i="25"/>
  <c r="C60" i="25"/>
  <c r="C72" i="25"/>
  <c r="C79" i="25"/>
  <c r="C92" i="25"/>
  <c r="C100" i="25"/>
  <c r="C123" i="25"/>
  <c r="C138" i="25"/>
  <c r="C154" i="25"/>
  <c r="AD160" i="24"/>
  <c r="E100" i="37" s="1"/>
  <c r="AD159" i="24"/>
  <c r="E99" i="37" s="1"/>
  <c r="AD158" i="24"/>
  <c r="E98" i="37" s="1"/>
  <c r="G98" i="37" s="1"/>
  <c r="AD157" i="24"/>
  <c r="E97" i="37" s="1"/>
  <c r="AD153" i="24"/>
  <c r="E96" i="37" s="1"/>
  <c r="AD152" i="24"/>
  <c r="E95" i="37" s="1"/>
  <c r="G95" i="37" s="1"/>
  <c r="AD151" i="24"/>
  <c r="E94" i="37" s="1"/>
  <c r="AD150" i="24"/>
  <c r="E93" i="37" s="1"/>
  <c r="G93" i="37" s="1"/>
  <c r="AD149" i="24"/>
  <c r="E92" i="37" s="1"/>
  <c r="AD148" i="24"/>
  <c r="E91" i="37" s="1"/>
  <c r="G91" i="37" s="1"/>
  <c r="AD147" i="24"/>
  <c r="E90" i="37" s="1"/>
  <c r="AD146" i="24"/>
  <c r="E89" i="37" s="1"/>
  <c r="G89" i="37" s="1"/>
  <c r="AD145" i="24"/>
  <c r="AD144" i="24"/>
  <c r="AD143" i="24"/>
  <c r="AD142" i="24"/>
  <c r="AD141" i="24"/>
  <c r="AD137" i="24"/>
  <c r="AD136" i="24"/>
  <c r="E87" i="37" s="1"/>
  <c r="AD135" i="24"/>
  <c r="E86" i="37" s="1"/>
  <c r="AD134" i="24"/>
  <c r="E85" i="37" s="1"/>
  <c r="AD133" i="24"/>
  <c r="AD132" i="24"/>
  <c r="E83" i="37" s="1"/>
  <c r="AD131" i="24"/>
  <c r="E82" i="37" s="1"/>
  <c r="AD130" i="24"/>
  <c r="AD129" i="24"/>
  <c r="AD128" i="24"/>
  <c r="AD127" i="24"/>
  <c r="AD126" i="24"/>
  <c r="AD122" i="24"/>
  <c r="AD121" i="24"/>
  <c r="E81" i="37" s="1"/>
  <c r="AD120" i="24"/>
  <c r="E80" i="37" s="1"/>
  <c r="AD119" i="24"/>
  <c r="AD118" i="24"/>
  <c r="E78" i="37" s="1"/>
  <c r="AD117" i="24"/>
  <c r="E77" i="37" s="1"/>
  <c r="AD116" i="24"/>
  <c r="E76" i="37" s="1"/>
  <c r="AD115" i="24"/>
  <c r="AD114" i="24"/>
  <c r="E74" i="37" s="1"/>
  <c r="G74" i="37" s="1"/>
  <c r="AD113" i="24"/>
  <c r="AD112" i="24"/>
  <c r="AD111" i="24"/>
  <c r="AD110" i="24"/>
  <c r="AD109" i="24"/>
  <c r="AD108" i="24"/>
  <c r="AD107" i="24"/>
  <c r="AD106" i="24"/>
  <c r="AD105" i="24"/>
  <c r="AD99" i="24"/>
  <c r="AD98" i="24"/>
  <c r="AD91" i="24"/>
  <c r="AD90" i="24"/>
  <c r="AD89" i="24"/>
  <c r="AD88" i="24"/>
  <c r="AD87" i="24"/>
  <c r="AD86" i="24"/>
  <c r="AD85" i="24"/>
  <c r="AD84" i="24"/>
  <c r="AD83" i="24"/>
  <c r="AD82" i="24"/>
  <c r="AD78" i="24"/>
  <c r="AD77" i="24"/>
  <c r="AD76" i="24"/>
  <c r="AD75" i="24"/>
  <c r="AD71" i="24"/>
  <c r="AD70" i="24"/>
  <c r="AD69" i="24"/>
  <c r="AD68" i="24"/>
  <c r="AD67" i="24"/>
  <c r="AD66" i="24"/>
  <c r="AD65" i="24"/>
  <c r="AD64" i="24"/>
  <c r="AD63" i="24"/>
  <c r="AD59" i="24"/>
  <c r="AD58" i="24"/>
  <c r="AD57" i="24"/>
  <c r="AD56" i="24"/>
  <c r="AD52" i="24"/>
  <c r="AD51" i="24"/>
  <c r="AD50" i="24"/>
  <c r="AD46" i="24"/>
  <c r="AD45" i="24"/>
  <c r="AD44" i="24"/>
  <c r="AD43" i="24"/>
  <c r="AD42" i="24"/>
  <c r="AD41" i="24"/>
  <c r="AD40" i="24"/>
  <c r="AD36" i="24"/>
  <c r="AD35" i="24"/>
  <c r="AD34" i="24"/>
  <c r="AD33" i="24"/>
  <c r="AD32" i="24"/>
  <c r="AD31" i="24"/>
  <c r="AD27" i="24"/>
  <c r="AD26" i="24"/>
  <c r="AD25" i="24"/>
  <c r="AD24" i="24"/>
  <c r="AD23" i="24"/>
  <c r="AD19" i="24"/>
  <c r="AD18" i="24"/>
  <c r="AD17" i="24"/>
  <c r="AD13" i="24"/>
  <c r="AD12" i="24"/>
  <c r="AD11" i="24"/>
  <c r="AD10" i="24"/>
  <c r="AD9" i="24"/>
  <c r="AD8" i="24"/>
  <c r="AD7" i="24"/>
  <c r="AD6" i="24"/>
  <c r="C14" i="24"/>
  <c r="C20" i="24"/>
  <c r="C28" i="24"/>
  <c r="C37" i="24"/>
  <c r="C47" i="24"/>
  <c r="C53" i="24"/>
  <c r="C60" i="24"/>
  <c r="C72" i="24"/>
  <c r="C79" i="24"/>
  <c r="C92" i="24"/>
  <c r="C100" i="24"/>
  <c r="C123" i="24"/>
  <c r="C138" i="24"/>
  <c r="C163" i="24" s="1"/>
  <c r="C154" i="24"/>
  <c r="C161" i="24"/>
  <c r="D92" i="25"/>
  <c r="E92" i="25"/>
  <c r="F92" i="25"/>
  <c r="G92" i="25"/>
  <c r="H92" i="25"/>
  <c r="I92" i="25"/>
  <c r="J92" i="25"/>
  <c r="K92" i="25"/>
  <c r="L92" i="25"/>
  <c r="M92" i="25"/>
  <c r="N92" i="25"/>
  <c r="O92" i="25"/>
  <c r="P92" i="25"/>
  <c r="Q92" i="25"/>
  <c r="R92" i="25"/>
  <c r="S92" i="25"/>
  <c r="T92" i="25"/>
  <c r="U92" i="25"/>
  <c r="V92" i="25"/>
  <c r="W92" i="25"/>
  <c r="X92" i="25"/>
  <c r="Y92" i="25"/>
  <c r="Z92" i="25"/>
  <c r="AA92" i="25"/>
  <c r="AB92" i="25"/>
  <c r="AC92" i="25"/>
  <c r="D92" i="24"/>
  <c r="E92" i="24"/>
  <c r="F92" i="24"/>
  <c r="G92" i="24"/>
  <c r="H92" i="24"/>
  <c r="I92" i="24"/>
  <c r="J92" i="24"/>
  <c r="K92" i="24"/>
  <c r="L92" i="24"/>
  <c r="M92" i="24"/>
  <c r="N92" i="24"/>
  <c r="O92" i="24"/>
  <c r="P92" i="24"/>
  <c r="Q92" i="24"/>
  <c r="S92" i="24"/>
  <c r="W92" i="24"/>
  <c r="X92" i="24"/>
  <c r="Y92" i="24"/>
  <c r="Z92" i="24"/>
  <c r="AA92" i="24"/>
  <c r="AB92" i="24"/>
  <c r="AC92" i="24"/>
  <c r="D94" i="25"/>
  <c r="D165" i="25" s="1"/>
  <c r="D154" i="25"/>
  <c r="E154" i="25"/>
  <c r="F154" i="25"/>
  <c r="G154" i="25"/>
  <c r="H154" i="25"/>
  <c r="I154" i="25"/>
  <c r="J154" i="25"/>
  <c r="K154" i="25"/>
  <c r="L154" i="25"/>
  <c r="M154" i="25"/>
  <c r="N154" i="25"/>
  <c r="O154" i="25"/>
  <c r="P154" i="25"/>
  <c r="Q154" i="25"/>
  <c r="R154" i="25"/>
  <c r="S154" i="25"/>
  <c r="T154" i="25"/>
  <c r="U154" i="25"/>
  <c r="V154" i="25"/>
  <c r="W154" i="25"/>
  <c r="X154" i="25"/>
  <c r="Y154" i="25"/>
  <c r="Z154" i="25"/>
  <c r="AA154" i="25"/>
  <c r="AB154" i="25"/>
  <c r="AC154" i="25"/>
  <c r="D138" i="25"/>
  <c r="E138" i="25"/>
  <c r="F138" i="25"/>
  <c r="G138" i="25"/>
  <c r="H138" i="25"/>
  <c r="I138" i="25"/>
  <c r="J138" i="25"/>
  <c r="K138" i="25"/>
  <c r="L138" i="25"/>
  <c r="M138" i="25"/>
  <c r="N138" i="25"/>
  <c r="O138" i="25"/>
  <c r="P138" i="25"/>
  <c r="Q138" i="25"/>
  <c r="R138" i="25"/>
  <c r="S138" i="25"/>
  <c r="T138" i="25"/>
  <c r="U138" i="25"/>
  <c r="V138" i="25"/>
  <c r="W138" i="25"/>
  <c r="X138" i="25"/>
  <c r="Y138" i="25"/>
  <c r="Z138" i="25"/>
  <c r="Z163" i="25" s="1"/>
  <c r="AA138" i="25"/>
  <c r="AB138" i="25"/>
  <c r="AC138" i="25"/>
  <c r="D123" i="25"/>
  <c r="D163" i="25" s="1"/>
  <c r="E123" i="25"/>
  <c r="F123" i="25"/>
  <c r="G123" i="25"/>
  <c r="H123" i="25"/>
  <c r="I123" i="25"/>
  <c r="J123" i="25"/>
  <c r="K123" i="25"/>
  <c r="L123" i="25"/>
  <c r="M123" i="25"/>
  <c r="N123" i="25"/>
  <c r="O123" i="25"/>
  <c r="O163" i="25" s="1"/>
  <c r="P123" i="25"/>
  <c r="Q123" i="25"/>
  <c r="R123" i="25"/>
  <c r="S123" i="25"/>
  <c r="S163" i="25" s="1"/>
  <c r="T123" i="25"/>
  <c r="U123" i="25"/>
  <c r="W123" i="25"/>
  <c r="X123" i="25"/>
  <c r="Y123" i="25"/>
  <c r="Z123" i="25"/>
  <c r="AA123" i="25"/>
  <c r="AB123" i="25"/>
  <c r="AC123" i="25"/>
  <c r="D100" i="25"/>
  <c r="E100" i="25"/>
  <c r="F100" i="25"/>
  <c r="G100" i="25"/>
  <c r="H100" i="25"/>
  <c r="I100" i="25"/>
  <c r="J100" i="25"/>
  <c r="K100" i="25"/>
  <c r="L100" i="25"/>
  <c r="M100" i="25"/>
  <c r="N100" i="25"/>
  <c r="O100" i="25"/>
  <c r="P100" i="25"/>
  <c r="Q100" i="25"/>
  <c r="R100" i="25"/>
  <c r="S100" i="25"/>
  <c r="T100" i="25"/>
  <c r="U100" i="25"/>
  <c r="V100" i="25"/>
  <c r="W100" i="25"/>
  <c r="X100" i="25"/>
  <c r="Y100" i="25"/>
  <c r="Z100" i="25"/>
  <c r="AA100" i="25"/>
  <c r="AB100" i="25"/>
  <c r="AC100" i="25"/>
  <c r="D79" i="25"/>
  <c r="E79" i="25"/>
  <c r="F79" i="25"/>
  <c r="G79" i="25"/>
  <c r="H79" i="25"/>
  <c r="I79" i="25"/>
  <c r="J79" i="25"/>
  <c r="K79" i="25"/>
  <c r="L79" i="25"/>
  <c r="M79" i="25"/>
  <c r="N79" i="25"/>
  <c r="O79" i="25"/>
  <c r="P79" i="25"/>
  <c r="Q79" i="25"/>
  <c r="R79" i="25"/>
  <c r="S79" i="25"/>
  <c r="T79" i="25"/>
  <c r="U79" i="25"/>
  <c r="V79" i="25"/>
  <c r="W79" i="25"/>
  <c r="X79" i="25"/>
  <c r="Y79" i="25"/>
  <c r="Z79" i="25"/>
  <c r="AA79" i="25"/>
  <c r="AB79" i="25"/>
  <c r="AC79" i="25"/>
  <c r="D72" i="25"/>
  <c r="E72" i="25"/>
  <c r="F72" i="25"/>
  <c r="G72" i="25"/>
  <c r="H72" i="25"/>
  <c r="I72" i="25"/>
  <c r="J72" i="25"/>
  <c r="K72" i="25"/>
  <c r="L72" i="25"/>
  <c r="M72" i="25"/>
  <c r="N72" i="25"/>
  <c r="O72" i="25"/>
  <c r="P72" i="25"/>
  <c r="Q72" i="25"/>
  <c r="R72" i="25"/>
  <c r="S72" i="25"/>
  <c r="T72" i="25"/>
  <c r="U72" i="25"/>
  <c r="V72" i="25"/>
  <c r="W72" i="25"/>
  <c r="X72" i="25"/>
  <c r="Y72" i="25"/>
  <c r="Z72" i="25"/>
  <c r="AA72" i="25"/>
  <c r="AB72" i="25"/>
  <c r="AC72" i="25"/>
  <c r="D60" i="25"/>
  <c r="E60" i="25"/>
  <c r="F60" i="25"/>
  <c r="G60" i="25"/>
  <c r="H60" i="25"/>
  <c r="I60" i="25"/>
  <c r="J60" i="25"/>
  <c r="K60" i="25"/>
  <c r="L60" i="25"/>
  <c r="M60" i="25"/>
  <c r="N60" i="25"/>
  <c r="O60" i="25"/>
  <c r="P60" i="25"/>
  <c r="Q60" i="25"/>
  <c r="R60" i="25"/>
  <c r="S60" i="25"/>
  <c r="T60" i="25"/>
  <c r="U60" i="25"/>
  <c r="V60" i="25"/>
  <c r="W60" i="25"/>
  <c r="X60" i="25"/>
  <c r="Y60" i="25"/>
  <c r="Z60" i="25"/>
  <c r="AA60" i="25"/>
  <c r="AB60" i="25"/>
  <c r="AC60" i="25"/>
  <c r="D53" i="25"/>
  <c r="E53" i="25"/>
  <c r="F53" i="25"/>
  <c r="G53" i="25"/>
  <c r="H53" i="25"/>
  <c r="I53" i="25"/>
  <c r="J53" i="25"/>
  <c r="K53" i="25"/>
  <c r="L53" i="25"/>
  <c r="M53" i="25"/>
  <c r="O53" i="25"/>
  <c r="P53" i="25"/>
  <c r="Q53" i="25"/>
  <c r="R53" i="25"/>
  <c r="S53" i="25"/>
  <c r="T53" i="25"/>
  <c r="U53" i="25"/>
  <c r="V53" i="25"/>
  <c r="W53" i="25"/>
  <c r="X53" i="25"/>
  <c r="Y53" i="25"/>
  <c r="Z53" i="25"/>
  <c r="AA53" i="25"/>
  <c r="AB53" i="25"/>
  <c r="AC53" i="25"/>
  <c r="D47" i="25"/>
  <c r="E47" i="25"/>
  <c r="F47" i="25"/>
  <c r="G47" i="25"/>
  <c r="H47" i="25"/>
  <c r="I47" i="25"/>
  <c r="J47" i="25"/>
  <c r="K47" i="25"/>
  <c r="L47" i="25"/>
  <c r="M47" i="25"/>
  <c r="N47" i="25"/>
  <c r="O47" i="25"/>
  <c r="P47" i="25"/>
  <c r="Q47" i="25"/>
  <c r="R47" i="25"/>
  <c r="S47" i="25"/>
  <c r="T47" i="25"/>
  <c r="U47" i="25"/>
  <c r="V47" i="25"/>
  <c r="W47" i="25"/>
  <c r="X47" i="25"/>
  <c r="Y47" i="25"/>
  <c r="Z47" i="25"/>
  <c r="AA47" i="25"/>
  <c r="AB47" i="25"/>
  <c r="AC47" i="25"/>
  <c r="D37" i="25"/>
  <c r="E37" i="25"/>
  <c r="F37" i="25"/>
  <c r="G37" i="25"/>
  <c r="H37" i="25"/>
  <c r="I37" i="25"/>
  <c r="J37" i="25"/>
  <c r="K37" i="25"/>
  <c r="L37" i="25"/>
  <c r="M37" i="25"/>
  <c r="N37" i="25"/>
  <c r="O37" i="25"/>
  <c r="P37" i="25"/>
  <c r="Q37" i="25"/>
  <c r="R37" i="25"/>
  <c r="S37" i="25"/>
  <c r="T37" i="25"/>
  <c r="U37" i="25"/>
  <c r="V37" i="25"/>
  <c r="W37" i="25"/>
  <c r="X37" i="25"/>
  <c r="Y37" i="25"/>
  <c r="Z37" i="25"/>
  <c r="AA37" i="25"/>
  <c r="AB37" i="25"/>
  <c r="AC37" i="25"/>
  <c r="D28" i="25"/>
  <c r="E28" i="25"/>
  <c r="F28" i="25"/>
  <c r="G28" i="25"/>
  <c r="H28" i="25"/>
  <c r="I28" i="25"/>
  <c r="J28" i="25"/>
  <c r="K28" i="25"/>
  <c r="L28" i="25"/>
  <c r="M28" i="25"/>
  <c r="N28" i="25"/>
  <c r="O28" i="25"/>
  <c r="P28" i="25"/>
  <c r="Q28" i="25"/>
  <c r="R28" i="25"/>
  <c r="S28" i="25"/>
  <c r="T28" i="25"/>
  <c r="U28" i="25"/>
  <c r="V28" i="25"/>
  <c r="W28" i="25"/>
  <c r="X28" i="25"/>
  <c r="Y28" i="25"/>
  <c r="Z28" i="25"/>
  <c r="AA28" i="25"/>
  <c r="AB28" i="25"/>
  <c r="AC28" i="25"/>
  <c r="D20" i="25"/>
  <c r="AD20" i="25" s="1"/>
  <c r="E20" i="25"/>
  <c r="F20" i="25"/>
  <c r="G20" i="25"/>
  <c r="H20" i="25"/>
  <c r="I20" i="25"/>
  <c r="J20" i="25"/>
  <c r="K20" i="25"/>
  <c r="L20" i="25"/>
  <c r="M20" i="25"/>
  <c r="N20" i="25"/>
  <c r="O20" i="25"/>
  <c r="P20" i="25"/>
  <c r="Q20" i="25"/>
  <c r="R20" i="25"/>
  <c r="S20" i="25"/>
  <c r="T20" i="25"/>
  <c r="U20" i="25"/>
  <c r="V20" i="25"/>
  <c r="W20" i="25"/>
  <c r="X20" i="25"/>
  <c r="Y20" i="25"/>
  <c r="Z20" i="25"/>
  <c r="AA20" i="25"/>
  <c r="AB20" i="25"/>
  <c r="AC20" i="25"/>
  <c r="D14" i="25"/>
  <c r="E14" i="25"/>
  <c r="E94" i="25" s="1"/>
  <c r="E165" i="25" s="1"/>
  <c r="F14" i="25"/>
  <c r="G14" i="25"/>
  <c r="H14" i="25"/>
  <c r="I14" i="25"/>
  <c r="J14" i="25"/>
  <c r="K14" i="25"/>
  <c r="L14" i="25"/>
  <c r="M14" i="25"/>
  <c r="N14" i="25"/>
  <c r="O14" i="25"/>
  <c r="P14" i="25"/>
  <c r="Q14" i="25"/>
  <c r="R14" i="25"/>
  <c r="S14" i="25"/>
  <c r="T14" i="25"/>
  <c r="U14" i="25"/>
  <c r="U94" i="25" s="1"/>
  <c r="V14" i="25"/>
  <c r="V94" i="25" s="1"/>
  <c r="W14" i="25"/>
  <c r="X14" i="25"/>
  <c r="Y14" i="25"/>
  <c r="Y94" i="25" s="1"/>
  <c r="Z14" i="25"/>
  <c r="Z94" i="25" s="1"/>
  <c r="AA14" i="25"/>
  <c r="AA94" i="25" s="1"/>
  <c r="AB14" i="25"/>
  <c r="AC14" i="25"/>
  <c r="AC94" i="25" s="1"/>
  <c r="AC165" i="25" s="1"/>
  <c r="C118" i="37" s="1"/>
  <c r="AA123" i="24"/>
  <c r="T123" i="24"/>
  <c r="AC138" i="24"/>
  <c r="AB138" i="24"/>
  <c r="Z123" i="24"/>
  <c r="D161" i="24"/>
  <c r="E161" i="24"/>
  <c r="F161" i="24"/>
  <c r="G161" i="24"/>
  <c r="H161" i="24"/>
  <c r="I161" i="24"/>
  <c r="J161" i="24"/>
  <c r="K161" i="24"/>
  <c r="L161" i="24"/>
  <c r="M161" i="24"/>
  <c r="N161" i="24"/>
  <c r="O161" i="24"/>
  <c r="P161" i="24"/>
  <c r="Q161" i="24"/>
  <c r="R161" i="24"/>
  <c r="S161" i="24"/>
  <c r="T161" i="24"/>
  <c r="U161" i="24"/>
  <c r="V161" i="24"/>
  <c r="W161" i="24"/>
  <c r="X161" i="24"/>
  <c r="Y161" i="24"/>
  <c r="Z161" i="24"/>
  <c r="AA161" i="24"/>
  <c r="AB161" i="24"/>
  <c r="AC161" i="24"/>
  <c r="D154" i="24"/>
  <c r="E154" i="24"/>
  <c r="F154" i="24"/>
  <c r="G154" i="24"/>
  <c r="H154" i="24"/>
  <c r="I154" i="24"/>
  <c r="J154" i="24"/>
  <c r="K154" i="24"/>
  <c r="L154" i="24"/>
  <c r="M154" i="24"/>
  <c r="N154" i="24"/>
  <c r="N163" i="24" s="1"/>
  <c r="O154" i="24"/>
  <c r="O163" i="24" s="1"/>
  <c r="P154" i="24"/>
  <c r="Q154" i="24"/>
  <c r="R154" i="24"/>
  <c r="R163" i="24" s="1"/>
  <c r="S154" i="24"/>
  <c r="T154" i="24"/>
  <c r="U154" i="24"/>
  <c r="V154" i="24"/>
  <c r="W154" i="24"/>
  <c r="X154" i="24"/>
  <c r="Y154" i="24"/>
  <c r="Z154" i="24"/>
  <c r="AA154" i="24"/>
  <c r="AB154" i="24"/>
  <c r="AC154" i="24"/>
  <c r="D138" i="24"/>
  <c r="E138" i="24"/>
  <c r="F138" i="24"/>
  <c r="G138" i="24"/>
  <c r="H138" i="24"/>
  <c r="I138" i="24"/>
  <c r="J138" i="24"/>
  <c r="K138" i="24"/>
  <c r="L138" i="24"/>
  <c r="M138" i="24"/>
  <c r="N138" i="24"/>
  <c r="O138" i="24"/>
  <c r="P138" i="24"/>
  <c r="Q138" i="24"/>
  <c r="R138" i="24"/>
  <c r="S138" i="24"/>
  <c r="T138" i="24"/>
  <c r="T163" i="24" s="1"/>
  <c r="U138" i="24"/>
  <c r="V138" i="24"/>
  <c r="W138" i="24"/>
  <c r="X138" i="24"/>
  <c r="X163" i="24" s="1"/>
  <c r="Y138" i="24"/>
  <c r="Z138" i="24"/>
  <c r="AA138" i="24"/>
  <c r="D123" i="24"/>
  <c r="D163" i="24" s="1"/>
  <c r="E123" i="24"/>
  <c r="E163" i="24" s="1"/>
  <c r="F123" i="24"/>
  <c r="G123" i="24"/>
  <c r="H123" i="24"/>
  <c r="H163" i="24" s="1"/>
  <c r="I123" i="24"/>
  <c r="I163" i="24" s="1"/>
  <c r="J123" i="24"/>
  <c r="K123" i="24"/>
  <c r="L123" i="24"/>
  <c r="L163" i="24" s="1"/>
  <c r="M123" i="24"/>
  <c r="M163" i="24" s="1"/>
  <c r="N123" i="24"/>
  <c r="O123" i="24"/>
  <c r="P123" i="24"/>
  <c r="P163" i="24" s="1"/>
  <c r="Q123" i="24"/>
  <c r="Q163" i="24" s="1"/>
  <c r="R123" i="24"/>
  <c r="S123" i="24"/>
  <c r="U123" i="24"/>
  <c r="U163" i="24" s="1"/>
  <c r="W123" i="24"/>
  <c r="X123" i="24"/>
  <c r="Y123" i="24"/>
  <c r="AB123" i="24"/>
  <c r="AC123" i="24"/>
  <c r="AC163" i="24" s="1"/>
  <c r="D100" i="24"/>
  <c r="E100" i="24"/>
  <c r="F100" i="24"/>
  <c r="G100" i="24"/>
  <c r="H100" i="24"/>
  <c r="I100" i="24"/>
  <c r="J100" i="24"/>
  <c r="K100" i="24"/>
  <c r="L100" i="24"/>
  <c r="M100" i="24"/>
  <c r="N100" i="24"/>
  <c r="O100" i="24"/>
  <c r="P100" i="24"/>
  <c r="Q100" i="24"/>
  <c r="R100" i="24"/>
  <c r="S100" i="24"/>
  <c r="T100" i="24"/>
  <c r="U100" i="24"/>
  <c r="V100" i="24"/>
  <c r="W100" i="24"/>
  <c r="X100" i="24"/>
  <c r="Y100" i="24"/>
  <c r="Z100" i="24"/>
  <c r="AA100" i="24"/>
  <c r="AB100" i="24"/>
  <c r="AC100" i="24"/>
  <c r="D79" i="24"/>
  <c r="E79" i="24"/>
  <c r="F79" i="24"/>
  <c r="G79" i="24"/>
  <c r="H79" i="24"/>
  <c r="I79" i="24"/>
  <c r="J79" i="24"/>
  <c r="K79" i="24"/>
  <c r="L79" i="24"/>
  <c r="M79" i="24"/>
  <c r="N79" i="24"/>
  <c r="O79" i="24"/>
  <c r="P79" i="24"/>
  <c r="Q79" i="24"/>
  <c r="S79" i="24"/>
  <c r="T79" i="24"/>
  <c r="U79" i="24"/>
  <c r="V79" i="24"/>
  <c r="W79" i="24"/>
  <c r="X79" i="24"/>
  <c r="Y79" i="24"/>
  <c r="Z79" i="24"/>
  <c r="AB79" i="24"/>
  <c r="AC79" i="24"/>
  <c r="D72" i="24"/>
  <c r="E72" i="24"/>
  <c r="F72" i="24"/>
  <c r="G72" i="24"/>
  <c r="H72" i="24"/>
  <c r="I72" i="24"/>
  <c r="J72" i="24"/>
  <c r="K72" i="24"/>
  <c r="L72" i="24"/>
  <c r="M72" i="24"/>
  <c r="N72" i="24"/>
  <c r="O72" i="24"/>
  <c r="P72" i="24"/>
  <c r="Q72" i="24"/>
  <c r="S72" i="24"/>
  <c r="T72" i="24"/>
  <c r="U72" i="24"/>
  <c r="V72" i="24"/>
  <c r="W72" i="24"/>
  <c r="X72" i="24"/>
  <c r="Y72" i="24"/>
  <c r="Z72" i="24"/>
  <c r="AB72" i="24"/>
  <c r="AC72" i="24"/>
  <c r="D60" i="24"/>
  <c r="E60" i="24"/>
  <c r="F60" i="24"/>
  <c r="G60" i="24"/>
  <c r="H60" i="24"/>
  <c r="I60" i="24"/>
  <c r="J60" i="24"/>
  <c r="K60" i="24"/>
  <c r="L60" i="24"/>
  <c r="M60" i="24"/>
  <c r="N60" i="24"/>
  <c r="O60" i="24"/>
  <c r="P60" i="24"/>
  <c r="Q60" i="24"/>
  <c r="S60" i="24"/>
  <c r="T60" i="24"/>
  <c r="U60" i="24"/>
  <c r="V60" i="24"/>
  <c r="W60" i="24"/>
  <c r="X60" i="24"/>
  <c r="Y60" i="24"/>
  <c r="Z60" i="24"/>
  <c r="AB60" i="24"/>
  <c r="AC60" i="24"/>
  <c r="D53" i="24"/>
  <c r="E53" i="24"/>
  <c r="F53" i="24"/>
  <c r="G53" i="24"/>
  <c r="H53" i="24"/>
  <c r="I53" i="24"/>
  <c r="J53" i="24"/>
  <c r="K53" i="24"/>
  <c r="L53" i="24"/>
  <c r="M53" i="24"/>
  <c r="N53" i="24"/>
  <c r="O53" i="24"/>
  <c r="P53" i="24"/>
  <c r="Q53" i="24"/>
  <c r="S53" i="24"/>
  <c r="T53" i="24"/>
  <c r="U53" i="24"/>
  <c r="V53" i="24"/>
  <c r="W53" i="24"/>
  <c r="X53" i="24"/>
  <c r="Y53" i="24"/>
  <c r="Z53" i="24"/>
  <c r="AB53" i="24"/>
  <c r="AC53" i="24"/>
  <c r="D47" i="24"/>
  <c r="E47" i="24"/>
  <c r="F47" i="24"/>
  <c r="G47" i="24"/>
  <c r="H47" i="24"/>
  <c r="I47" i="24"/>
  <c r="J47" i="24"/>
  <c r="K47" i="24"/>
  <c r="L47" i="24"/>
  <c r="M47" i="24"/>
  <c r="N47" i="24"/>
  <c r="O47" i="24"/>
  <c r="P47" i="24"/>
  <c r="Q47" i="24"/>
  <c r="S47" i="24"/>
  <c r="T47" i="24"/>
  <c r="U47" i="24"/>
  <c r="V47" i="24"/>
  <c r="W47" i="24"/>
  <c r="X47" i="24"/>
  <c r="Y47" i="24"/>
  <c r="Z47" i="24"/>
  <c r="AB47" i="24"/>
  <c r="AC47" i="24"/>
  <c r="D37" i="24"/>
  <c r="E37" i="24"/>
  <c r="F37" i="24"/>
  <c r="G37" i="24"/>
  <c r="H37" i="24"/>
  <c r="I37" i="24"/>
  <c r="J37" i="24"/>
  <c r="K37" i="24"/>
  <c r="L37" i="24"/>
  <c r="M37" i="24"/>
  <c r="N37" i="24"/>
  <c r="O37" i="24"/>
  <c r="P37" i="24"/>
  <c r="Q37" i="24"/>
  <c r="S37" i="24"/>
  <c r="T37" i="24"/>
  <c r="U37" i="24"/>
  <c r="V37" i="24"/>
  <c r="W37" i="24"/>
  <c r="X37" i="24"/>
  <c r="Y37" i="24"/>
  <c r="Z37" i="24"/>
  <c r="AB37" i="24"/>
  <c r="AC37" i="24"/>
  <c r="D28" i="24"/>
  <c r="E28" i="24"/>
  <c r="F28" i="24"/>
  <c r="G28" i="24"/>
  <c r="H28" i="24"/>
  <c r="I28" i="24"/>
  <c r="J28" i="24"/>
  <c r="K28" i="24"/>
  <c r="L28" i="24"/>
  <c r="M28" i="24"/>
  <c r="N28" i="24"/>
  <c r="O28" i="24"/>
  <c r="P28" i="24"/>
  <c r="Q28" i="24"/>
  <c r="S28" i="24"/>
  <c r="T28" i="24"/>
  <c r="U28" i="24"/>
  <c r="V28" i="24"/>
  <c r="W28" i="24"/>
  <c r="X28" i="24"/>
  <c r="Y28" i="24"/>
  <c r="Z28" i="24"/>
  <c r="AB28" i="24"/>
  <c r="AC28" i="24"/>
  <c r="D20" i="24"/>
  <c r="E20" i="24"/>
  <c r="F20" i="24"/>
  <c r="G20" i="24"/>
  <c r="H20" i="24"/>
  <c r="I20" i="24"/>
  <c r="J20" i="24"/>
  <c r="K20" i="24"/>
  <c r="L20" i="24"/>
  <c r="M20" i="24"/>
  <c r="N20" i="24"/>
  <c r="O20" i="24"/>
  <c r="P20" i="24"/>
  <c r="Q20" i="24"/>
  <c r="S20" i="24"/>
  <c r="T20" i="24"/>
  <c r="U20" i="24"/>
  <c r="V20" i="24"/>
  <c r="W20" i="24"/>
  <c r="X20" i="24"/>
  <c r="Y20" i="24"/>
  <c r="Z20" i="24"/>
  <c r="AB20" i="24"/>
  <c r="AC20" i="24"/>
  <c r="D14" i="24"/>
  <c r="D94" i="24" s="1"/>
  <c r="E14" i="24"/>
  <c r="E94" i="24" s="1"/>
  <c r="F14" i="24"/>
  <c r="G14" i="24"/>
  <c r="G94" i="24" s="1"/>
  <c r="H14" i="24"/>
  <c r="I14" i="24"/>
  <c r="I94" i="24" s="1"/>
  <c r="J14" i="24"/>
  <c r="J94" i="24" s="1"/>
  <c r="K14" i="24"/>
  <c r="K94" i="24" s="1"/>
  <c r="L14" i="24"/>
  <c r="M14" i="24"/>
  <c r="M94" i="24" s="1"/>
  <c r="N14" i="24"/>
  <c r="O14" i="24"/>
  <c r="O94" i="24" s="1"/>
  <c r="P14" i="24"/>
  <c r="Q14" i="24"/>
  <c r="Q94" i="24" s="1"/>
  <c r="S14" i="24"/>
  <c r="S94" i="24" s="1"/>
  <c r="T14" i="24"/>
  <c r="U14" i="24"/>
  <c r="U94" i="24" s="1"/>
  <c r="V14" i="24"/>
  <c r="V94" i="24" s="1"/>
  <c r="W14" i="24"/>
  <c r="W94" i="24" s="1"/>
  <c r="X14" i="24"/>
  <c r="X94" i="24" s="1"/>
  <c r="Y14" i="24"/>
  <c r="Y94" i="24" s="1"/>
  <c r="Z14" i="24"/>
  <c r="Z94" i="24" s="1"/>
  <c r="AB14" i="24"/>
  <c r="AB94" i="24" s="1"/>
  <c r="AC14" i="24"/>
  <c r="AC94" i="24" s="1"/>
  <c r="A1" i="25"/>
  <c r="A1" i="24"/>
  <c r="I78" i="37" l="1"/>
  <c r="AC165" i="24"/>
  <c r="B118" i="37" s="1"/>
  <c r="D118" i="37" s="1"/>
  <c r="AA163" i="24"/>
  <c r="H75" i="37"/>
  <c r="H88" i="37"/>
  <c r="F63" i="37"/>
  <c r="G77" i="37"/>
  <c r="F38" i="37"/>
  <c r="F46" i="37"/>
  <c r="F53" i="37"/>
  <c r="F61" i="37"/>
  <c r="G163" i="24"/>
  <c r="G78" i="37"/>
  <c r="P163" i="25"/>
  <c r="H163" i="25"/>
  <c r="K163" i="25"/>
  <c r="G84" i="37"/>
  <c r="W94" i="25"/>
  <c r="Y163" i="24"/>
  <c r="Y165" i="24" s="1"/>
  <c r="V163" i="24"/>
  <c r="V165" i="24" s="1"/>
  <c r="I82" i="37"/>
  <c r="AD161" i="25"/>
  <c r="G81" i="37"/>
  <c r="G94" i="25"/>
  <c r="S163" i="24"/>
  <c r="S165" i="24" s="1"/>
  <c r="B116" i="37" s="1"/>
  <c r="K163" i="24"/>
  <c r="K165" i="24" s="1"/>
  <c r="F163" i="24"/>
  <c r="I98" i="37"/>
  <c r="G86" i="37"/>
  <c r="Z165" i="25"/>
  <c r="Q163" i="25"/>
  <c r="I163" i="25"/>
  <c r="X163" i="25"/>
  <c r="R94" i="25"/>
  <c r="J94" i="25"/>
  <c r="F94" i="25"/>
  <c r="M94" i="25"/>
  <c r="I94" i="25"/>
  <c r="H94" i="25"/>
  <c r="H165" i="25" s="1"/>
  <c r="K94" i="25"/>
  <c r="W163" i="24"/>
  <c r="G87" i="37"/>
  <c r="H87" i="37" s="1"/>
  <c r="M165" i="24"/>
  <c r="E165" i="24"/>
  <c r="Q165" i="24"/>
  <c r="I165" i="24"/>
  <c r="P94" i="24"/>
  <c r="P165" i="24" s="1"/>
  <c r="L94" i="24"/>
  <c r="L165" i="24" s="1"/>
  <c r="H94" i="24"/>
  <c r="H165" i="24" s="1"/>
  <c r="R94" i="24"/>
  <c r="R165" i="24" s="1"/>
  <c r="F94" i="24"/>
  <c r="F165" i="24" s="1"/>
  <c r="D96" i="37"/>
  <c r="D80" i="37"/>
  <c r="I74" i="37"/>
  <c r="D90" i="37"/>
  <c r="H90" i="37" s="1"/>
  <c r="D99" i="37"/>
  <c r="D94" i="37"/>
  <c r="D86" i="37"/>
  <c r="D78" i="37"/>
  <c r="H78" i="37" s="1"/>
  <c r="I88" i="37"/>
  <c r="D82" i="37"/>
  <c r="G82" i="37"/>
  <c r="G99" i="37"/>
  <c r="X165" i="24"/>
  <c r="G83" i="37"/>
  <c r="H83" i="37" s="1"/>
  <c r="N94" i="24"/>
  <c r="N165" i="24" s="1"/>
  <c r="AD60" i="24"/>
  <c r="AD154" i="24"/>
  <c r="J163" i="24"/>
  <c r="J165" i="24" s="1"/>
  <c r="AD79" i="24"/>
  <c r="AD47" i="24"/>
  <c r="AD37" i="24"/>
  <c r="AD28" i="24"/>
  <c r="AD53" i="24"/>
  <c r="G165" i="24"/>
  <c r="G100" i="37"/>
  <c r="AA163" i="25"/>
  <c r="AA165" i="25" s="1"/>
  <c r="Y163" i="25"/>
  <c r="Y165" i="25" s="1"/>
  <c r="T163" i="25"/>
  <c r="S94" i="25"/>
  <c r="S165" i="25" s="1"/>
  <c r="C116" i="37" s="1"/>
  <c r="Q94" i="25"/>
  <c r="AD53" i="25"/>
  <c r="O94" i="25"/>
  <c r="O165" i="25" s="1"/>
  <c r="N94" i="25"/>
  <c r="AD72" i="25"/>
  <c r="AD37" i="25"/>
  <c r="L163" i="25"/>
  <c r="AD138" i="25"/>
  <c r="AD79" i="25"/>
  <c r="AD47" i="25"/>
  <c r="AD100" i="25"/>
  <c r="AD92" i="25"/>
  <c r="O165" i="24"/>
  <c r="H95" i="37"/>
  <c r="AB165" i="24"/>
  <c r="B117" i="37" s="1"/>
  <c r="AD20" i="24"/>
  <c r="AD138" i="24"/>
  <c r="H98" i="37"/>
  <c r="H91" i="37"/>
  <c r="U165" i="24"/>
  <c r="AD14" i="24"/>
  <c r="AB163" i="24"/>
  <c r="U163" i="25"/>
  <c r="U165" i="25" s="1"/>
  <c r="M163" i="25"/>
  <c r="AD123" i="24"/>
  <c r="D93" i="37"/>
  <c r="H93" i="37" s="1"/>
  <c r="H86" i="37"/>
  <c r="I87" i="37"/>
  <c r="I75" i="37"/>
  <c r="D76" i="37"/>
  <c r="I76" i="37"/>
  <c r="D84" i="37"/>
  <c r="H84" i="37" s="1"/>
  <c r="I84" i="37"/>
  <c r="D92" i="37"/>
  <c r="I92" i="37"/>
  <c r="D100" i="37"/>
  <c r="I100" i="37"/>
  <c r="V163" i="25"/>
  <c r="V165" i="25" s="1"/>
  <c r="D165" i="24"/>
  <c r="AD92" i="24"/>
  <c r="G85" i="37"/>
  <c r="I81" i="37"/>
  <c r="D81" i="37"/>
  <c r="I89" i="37"/>
  <c r="D89" i="37"/>
  <c r="H89" i="37" s="1"/>
  <c r="I97" i="37"/>
  <c r="D97" i="37"/>
  <c r="T94" i="24"/>
  <c r="T165" i="24" s="1"/>
  <c r="AD100" i="24"/>
  <c r="AD72" i="24"/>
  <c r="C94" i="25"/>
  <c r="D85" i="37"/>
  <c r="I95" i="37"/>
  <c r="I83" i="37"/>
  <c r="W165" i="24"/>
  <c r="AA94" i="24"/>
  <c r="Z163" i="24"/>
  <c r="Z165" i="24" s="1"/>
  <c r="AB94" i="25"/>
  <c r="X94" i="25"/>
  <c r="T94" i="25"/>
  <c r="P94" i="25"/>
  <c r="P165" i="25" s="1"/>
  <c r="L94" i="25"/>
  <c r="AB163" i="25"/>
  <c r="G163" i="25"/>
  <c r="C94" i="24"/>
  <c r="G94" i="37"/>
  <c r="G97" i="37"/>
  <c r="C163" i="25"/>
  <c r="AD123" i="25"/>
  <c r="AD14" i="25"/>
  <c r="D77" i="37"/>
  <c r="D74" i="37"/>
  <c r="H74" i="37" s="1"/>
  <c r="I91" i="37"/>
  <c r="I80" i="37"/>
  <c r="W163" i="25"/>
  <c r="W165" i="25" s="1"/>
  <c r="R163" i="25"/>
  <c r="N163" i="25"/>
  <c r="J163" i="25"/>
  <c r="F163" i="25"/>
  <c r="AD161" i="24"/>
  <c r="G76" i="37"/>
  <c r="G80" i="37"/>
  <c r="G92" i="37"/>
  <c r="G96" i="37"/>
  <c r="AD154" i="25"/>
  <c r="AD60" i="25"/>
  <c r="AD28" i="25"/>
  <c r="F45" i="37"/>
  <c r="F42" i="37"/>
  <c r="F41" i="37"/>
  <c r="F50" i="37"/>
  <c r="F49" i="37"/>
  <c r="F58" i="37"/>
  <c r="F57" i="37"/>
  <c r="F54" i="37"/>
  <c r="F62" i="37"/>
  <c r="E118" i="37" l="1"/>
  <c r="AA165" i="24"/>
  <c r="H77" i="37"/>
  <c r="H94" i="37"/>
  <c r="F65" i="37"/>
  <c r="B66" i="37" s="1"/>
  <c r="H92" i="37"/>
  <c r="K165" i="25"/>
  <c r="X165" i="25"/>
  <c r="I165" i="25"/>
  <c r="G165" i="25"/>
  <c r="H81" i="37"/>
  <c r="T165" i="25"/>
  <c r="R165" i="25"/>
  <c r="H100" i="37"/>
  <c r="Q165" i="25"/>
  <c r="F165" i="25"/>
  <c r="N165" i="25"/>
  <c r="J165" i="25"/>
  <c r="M165" i="25"/>
  <c r="H82" i="37"/>
  <c r="H96" i="37"/>
  <c r="H80" i="37"/>
  <c r="H99" i="37"/>
  <c r="I101" i="37"/>
  <c r="B103" i="37" s="1"/>
  <c r="H85" i="37"/>
  <c r="L165" i="25"/>
  <c r="AD94" i="24"/>
  <c r="C165" i="24"/>
  <c r="AD163" i="24"/>
  <c r="A24" i="37"/>
  <c r="C24" i="37" s="1"/>
  <c r="B124" i="37" s="1"/>
  <c r="E116" i="37"/>
  <c r="D116" i="37"/>
  <c r="H76" i="37"/>
  <c r="AD163" i="25"/>
  <c r="C165" i="25"/>
  <c r="AD94" i="25"/>
  <c r="AB165" i="25"/>
  <c r="H97" i="37"/>
  <c r="B30" i="37" l="1"/>
  <c r="H101" i="37"/>
  <c r="B102" i="37" s="1"/>
  <c r="B104" i="37" s="1"/>
  <c r="B68" i="37"/>
  <c r="B13" i="37" s="1"/>
  <c r="B29" i="37"/>
  <c r="C117" i="37"/>
  <c r="B108" i="37"/>
  <c r="AD165" i="24"/>
  <c r="B109" i="37"/>
  <c r="B31" i="37" l="1"/>
  <c r="B32" i="37" s="1"/>
  <c r="B105" i="37"/>
  <c r="C14" i="37" s="1"/>
  <c r="G14" i="37" s="1"/>
  <c r="B14" i="37"/>
  <c r="B69" i="37"/>
  <c r="C13" i="37" s="1"/>
  <c r="G13" i="37" s="1"/>
  <c r="B12" i="37"/>
  <c r="B33" i="37"/>
  <c r="C12" i="37" s="1"/>
  <c r="G12" i="37" s="1"/>
  <c r="D117" i="37"/>
  <c r="D122" i="37" s="1"/>
  <c r="B123" i="37" s="1"/>
  <c r="B125" i="37" s="1"/>
  <c r="E117" i="37"/>
  <c r="E122" i="37" s="1"/>
  <c r="B110" i="37"/>
  <c r="B111" i="37" s="1"/>
  <c r="B126" i="37" l="1"/>
  <c r="C16" i="37" s="1"/>
  <c r="G16" i="37" s="1"/>
  <c r="B16" i="37"/>
  <c r="B15" i="37"/>
  <c r="B112" i="37"/>
  <c r="C15" i="37" s="1"/>
  <c r="G15" i="37" s="1"/>
  <c r="G18" i="37" l="1"/>
  <c r="C18" i="37" s="1"/>
</calcChain>
</file>

<file path=xl/comments1.xml><?xml version="1.0" encoding="utf-8"?>
<comments xmlns="http://schemas.openxmlformats.org/spreadsheetml/2006/main">
  <authors>
    <author>Administrator</author>
  </authors>
  <commentList>
    <comment ref="M2" authorId="0">
      <text>
        <r>
          <rPr>
            <b/>
            <sz val="8"/>
            <color indexed="81"/>
            <rFont val="Tahoma"/>
            <family val="2"/>
          </rPr>
          <t>Administrator:</t>
        </r>
        <r>
          <rPr>
            <sz val="8"/>
            <color indexed="81"/>
            <rFont val="Tahoma"/>
            <family val="2"/>
          </rPr>
          <t xml:space="preserve">
tot de winsten behoren ook de exploitatieoverschotten van bedrijven. Deze worden ten gunste van de functie gebracht (zie bijlage 2)</t>
        </r>
      </text>
    </comment>
  </commentList>
</comments>
</file>

<file path=xl/sharedStrings.xml><?xml version="1.0" encoding="utf-8"?>
<sst xmlns="http://schemas.openxmlformats.org/spreadsheetml/2006/main" count="944" uniqueCount="481">
  <si>
    <t>Invuller:</t>
  </si>
  <si>
    <t>Kostenplaatsen en balansmutaties bij begroting niet verplicht!</t>
  </si>
  <si>
    <t>De verstrekte informatie geeft naar ons oordeel een getrouw beeld. Daarbij is meer in het bijzonder het volgende van toepassing:</t>
  </si>
  <si>
    <t xml:space="preserve">De functionele indeling van baten en lasten is overeenkomstig de toelichting in de Ministeriële regeling informatie voor derden van 6 februari 2003. </t>
  </si>
  <si>
    <t>Er is sinds de vorige rapportage informatie voor derden geen belangrijke wijziging doorgevoerd in de organisatie en systemen voor het opstellen van de informatie.</t>
  </si>
  <si>
    <t>Aan het Centraal Bureau voor de Statistiek</t>
  </si>
  <si>
    <t>-</t>
  </si>
  <si>
    <t>Vragenlijst</t>
  </si>
  <si>
    <t>Informatie voor derden (iv3) volgens het BBV</t>
  </si>
  <si>
    <t>Jaar</t>
  </si>
  <si>
    <t>Periode</t>
  </si>
  <si>
    <t>LET OP DE PERIODE!</t>
  </si>
  <si>
    <t>Naam:</t>
  </si>
  <si>
    <t>Afdeling:</t>
  </si>
  <si>
    <t>Functie:</t>
  </si>
  <si>
    <t>Telefoon:</t>
  </si>
  <si>
    <t>E-mail:</t>
  </si>
  <si>
    <t>Datum:</t>
  </si>
  <si>
    <t>Ruimte voor toelichting</t>
  </si>
  <si>
    <t>0.0</t>
  </si>
  <si>
    <t>1.1</t>
  </si>
  <si>
    <t>1.2</t>
  </si>
  <si>
    <t>2.1</t>
  </si>
  <si>
    <t>2.2</t>
  </si>
  <si>
    <t>2.3</t>
  </si>
  <si>
    <t>3.0</t>
  </si>
  <si>
    <t>3.1</t>
  </si>
  <si>
    <t>4.1.1</t>
  </si>
  <si>
    <t>4.1.2</t>
  </si>
  <si>
    <t>5.1</t>
  </si>
  <si>
    <t>5.2</t>
  </si>
  <si>
    <t>5.3</t>
  </si>
  <si>
    <t>5.4</t>
  </si>
  <si>
    <t>5.5</t>
  </si>
  <si>
    <t>5.6</t>
  </si>
  <si>
    <t>6.0</t>
  </si>
  <si>
    <t>6.1</t>
  </si>
  <si>
    <t>Functies</t>
  </si>
  <si>
    <t>Categorieën</t>
  </si>
  <si>
    <t>Loonbetalingen en sociale premies</t>
  </si>
  <si>
    <t>Sociale uitkeringen personeel</t>
  </si>
  <si>
    <t>Betaalde pachten en erfpachten</t>
  </si>
  <si>
    <t>Aankopen niet duurzame goederen en diensten</t>
  </si>
  <si>
    <t>Kortlopende effecten m.u.v. aandelen</t>
  </si>
  <si>
    <t>Financiële derivaten</t>
  </si>
  <si>
    <t>Kortlopende leningen</t>
  </si>
  <si>
    <t>Langlopende leningen</t>
  </si>
  <si>
    <t>Aandelen en overige deelnemingen</t>
  </si>
  <si>
    <t>Handelskredieten en transitorische posten</t>
  </si>
  <si>
    <t>Overige verrekeningen</t>
  </si>
  <si>
    <t>Hoofdfunctie 0</t>
  </si>
  <si>
    <t>ALGEMEEN BESTUUR</t>
  </si>
  <si>
    <t>Totaal hoofdfunctie 0</t>
  </si>
  <si>
    <t>Hoofdfunctie 1</t>
  </si>
  <si>
    <t>OPENBARE ORDE EN VEILIGHEID</t>
  </si>
  <si>
    <t>Openbare orde en veiligheid</t>
  </si>
  <si>
    <t>Totaal hoofdfunctie 1</t>
  </si>
  <si>
    <t>Hoofdfunctie 2</t>
  </si>
  <si>
    <t>Totaal hoofdfunctie 2</t>
  </si>
  <si>
    <t>Hoofdfunctie 3</t>
  </si>
  <si>
    <t>Totaal hoofdfunctie 3</t>
  </si>
  <si>
    <t>Hoofdfunctie 4</t>
  </si>
  <si>
    <t>Totaal hoofdfunctie 4</t>
  </si>
  <si>
    <t>Hoofdfunctie 5</t>
  </si>
  <si>
    <t>Totaal hoofdfunctie 5</t>
  </si>
  <si>
    <t>Hoofdfunctie 6</t>
  </si>
  <si>
    <t>Totaal hoofdfunctie 6</t>
  </si>
  <si>
    <t>Hoofdfunctie 7</t>
  </si>
  <si>
    <t>Totaal hoofdfunctie 7</t>
  </si>
  <si>
    <t>Hoofdfunctie 8</t>
  </si>
  <si>
    <t>RUIMTELIJKE ORDENING EN VOLKSHUISVESTING</t>
  </si>
  <si>
    <t>Ruimtelijke ordening</t>
  </si>
  <si>
    <t>Totaal hoofdfunctie 8</t>
  </si>
  <si>
    <t>Hoofdfunctie 9</t>
  </si>
  <si>
    <t>FINANCIERING EN ALGEMENE DEKKINGSMIDDELEN</t>
  </si>
  <si>
    <t>Geldleningen en uitzettingen korter dan 1 jaar</t>
  </si>
  <si>
    <t>Overige financiële middelen</t>
  </si>
  <si>
    <t>Geldleningen en uitzettingen langer of gelijk aan 1 jaar</t>
  </si>
  <si>
    <t>Saldo van kostenplaatsen</t>
  </si>
  <si>
    <t>Saldo van de rekening van baten en lasten voor bestemming</t>
  </si>
  <si>
    <t>Saldo van de rekening van baten en lasten na bestemming</t>
  </si>
  <si>
    <t>Totaal hoofdfunctie 9</t>
  </si>
  <si>
    <t>Kostenplaatsen</t>
  </si>
  <si>
    <t>Kostenplaats kapitaallasten</t>
  </si>
  <si>
    <t>Overige kostenplaatsen</t>
  </si>
  <si>
    <t>Totaal Kostenplaatsen</t>
  </si>
  <si>
    <t>Balansmutaties</t>
  </si>
  <si>
    <t>Vaste Activa</t>
  </si>
  <si>
    <t>A111</t>
  </si>
  <si>
    <t>Immateriële vaste activa: Kosten verbonden aan sluiten geldlening en saldo agio/disagio</t>
  </si>
  <si>
    <t>A112</t>
  </si>
  <si>
    <t>Immateriële vaste activa: Kosten onderzoek en ontwikkeling voor een bepaald actief</t>
  </si>
  <si>
    <t>A121</t>
  </si>
  <si>
    <t>Materiële vaste activa: Gronden en terreinen</t>
  </si>
  <si>
    <t>A122</t>
  </si>
  <si>
    <t>Materiële vaste activa: Woonruimten</t>
  </si>
  <si>
    <t>A123</t>
  </si>
  <si>
    <t>Materiële vaste activa: Bedrijfsgebouwen</t>
  </si>
  <si>
    <t>A124</t>
  </si>
  <si>
    <t>Materiële vaste activa: Grond-, weg- en waterbouwkundige werken</t>
  </si>
  <si>
    <t>A125</t>
  </si>
  <si>
    <t>Materiële vaste activa: Vervoermiddelen</t>
  </si>
  <si>
    <t>A126</t>
  </si>
  <si>
    <t>Materiële vaste activa: Machines, apparaten en installaties</t>
  </si>
  <si>
    <t>A129</t>
  </si>
  <si>
    <t>Materiële vaste activa: Overig</t>
  </si>
  <si>
    <t>A1311</t>
  </si>
  <si>
    <t>Financiële vaste activa: Kapitaalverstrekking aan deelnemingen</t>
  </si>
  <si>
    <t>A1312</t>
  </si>
  <si>
    <t>Financiële vaste activa: Kapitaalverstrekking aan gemeenschappelijke regelingen</t>
  </si>
  <si>
    <t>A1313</t>
  </si>
  <si>
    <t>Financiële vaste activa: Kapitaalverstrekking aan overige verbonden partijen</t>
  </si>
  <si>
    <t>A1321</t>
  </si>
  <si>
    <t>Financiële vaste activa: Leningen aan woningbouwcorporaties</t>
  </si>
  <si>
    <t>A1322</t>
  </si>
  <si>
    <t>Financiële vaste activa: Leningen aan deelnemingen</t>
  </si>
  <si>
    <t>A1323</t>
  </si>
  <si>
    <t>Financiële vaste activa: Leningen aan overige verbonden partijen</t>
  </si>
  <si>
    <t>A1331</t>
  </si>
  <si>
    <t>Financiële vaste activa: Overige langlopende leningen</t>
  </si>
  <si>
    <t>A1332</t>
  </si>
  <si>
    <t>Financiële vaste activa: Overige uitzettingen met looptijd ≥ 1 jaar</t>
  </si>
  <si>
    <t>A1333</t>
  </si>
  <si>
    <t>Financiële vaste activa: Bijdragen aan activa in eigendom van derden</t>
  </si>
  <si>
    <t>Totaal Vaste Activa</t>
  </si>
  <si>
    <t>Vlottende Activa</t>
  </si>
  <si>
    <t>A211</t>
  </si>
  <si>
    <t>Voorraden: Niet in exploitatie bouwgronden</t>
  </si>
  <si>
    <t>A212</t>
  </si>
  <si>
    <t>Voorraden: Overige grond- en hulpstoffen</t>
  </si>
  <si>
    <t>A213</t>
  </si>
  <si>
    <t>Voorraden: Onderhanden werk (incl. bouwgronden in exploitatie)</t>
  </si>
  <si>
    <t>A214</t>
  </si>
  <si>
    <t>Voorraden: Gereed product en handelsgoederen</t>
  </si>
  <si>
    <t>A215</t>
  </si>
  <si>
    <t>Voorraden: Vooruitbetalingen</t>
  </si>
  <si>
    <t>A221</t>
  </si>
  <si>
    <t>Uitzettingen: Vorderingen op openbare lichamen</t>
  </si>
  <si>
    <t>A222</t>
  </si>
  <si>
    <t>Uitzettingen: Verstrekte kasgeldleningen</t>
  </si>
  <si>
    <t>A223</t>
  </si>
  <si>
    <t>Uitzettingen: Rekening courant verhoudingen niet-financiële instellingen</t>
  </si>
  <si>
    <t>A224</t>
  </si>
  <si>
    <t>Uitzettingen: Overige vorderingen</t>
  </si>
  <si>
    <t>A225</t>
  </si>
  <si>
    <t>Uitzettingen: Overige uitzettingen</t>
  </si>
  <si>
    <t>A23</t>
  </si>
  <si>
    <t>Liquide middelen (kas, bank en giro)</t>
  </si>
  <si>
    <t>A29</t>
  </si>
  <si>
    <t>Overlopende activa</t>
  </si>
  <si>
    <t>Totaal Vlottende Activa</t>
  </si>
  <si>
    <t>Vaste Passiva</t>
  </si>
  <si>
    <t>P111</t>
  </si>
  <si>
    <t>Eigen vermogen: Algemene reserve</t>
  </si>
  <si>
    <t>P112</t>
  </si>
  <si>
    <t>Eigen vermogen: Bestemmingsreserve</t>
  </si>
  <si>
    <t>P113</t>
  </si>
  <si>
    <t>Eigen vermogen: Overige bestemmingsreserves</t>
  </si>
  <si>
    <t>P114</t>
  </si>
  <si>
    <t>Eigen vermogen: Saldo van rekening</t>
  </si>
  <si>
    <t>P12</t>
  </si>
  <si>
    <t>Voorzieningen</t>
  </si>
  <si>
    <t>P131</t>
  </si>
  <si>
    <t>Vaste schuld: Obligatieleningen</t>
  </si>
  <si>
    <t>P132</t>
  </si>
  <si>
    <t>Vaste schuld: Onderhandse leningen van binnenlandse pensioenfondsen en verzekeraars</t>
  </si>
  <si>
    <t>P133</t>
  </si>
  <si>
    <t>Vaste schuld: Onderhandse leningen van binnenlandse banken en overige financiële instellingen</t>
  </si>
  <si>
    <t>P134</t>
  </si>
  <si>
    <t>Vaste schuld: Onderhandse leningen van binnenlandse bedrijven</t>
  </si>
  <si>
    <t>P135</t>
  </si>
  <si>
    <t>Vaste schuld: Onderhandse leningen van overige binnenlandse sectoren</t>
  </si>
  <si>
    <t>P136</t>
  </si>
  <si>
    <t>Vaste schuld: Onderhandse leningen van buitenlandse instellingen, …</t>
  </si>
  <si>
    <t>P137</t>
  </si>
  <si>
    <t>Vaste schuld: Door derden belegde gelden</t>
  </si>
  <si>
    <t>P138</t>
  </si>
  <si>
    <t>Waarborgsommen</t>
  </si>
  <si>
    <t>Totaal Vaste Passiva</t>
  </si>
  <si>
    <t>Vlottende Passiva</t>
  </si>
  <si>
    <t>P211</t>
  </si>
  <si>
    <t>Vlottende schuld: Kasgeldleningen o/g</t>
  </si>
  <si>
    <t>P212</t>
  </si>
  <si>
    <t>Vlottende schuld: Bank- en girosaldi</t>
  </si>
  <si>
    <t>P213</t>
  </si>
  <si>
    <t>Vlottende schuld: Overig</t>
  </si>
  <si>
    <t>P29</t>
  </si>
  <si>
    <t>Overlopende passiva</t>
  </si>
  <si>
    <t>Totaal Vlottende Passiva</t>
  </si>
  <si>
    <t>Totaal Balansmutaties</t>
  </si>
  <si>
    <t xml:space="preserve">Totaal lastencategorieën </t>
  </si>
  <si>
    <t>De functies worden toegelicht bij bijlage 1, de categorieën bij bijlage 2 en de kostenplaatsen en balansmutaties in het Besluit begroting en verantwoording provincies en gemeenten</t>
  </si>
  <si>
    <t>3.4</t>
  </si>
  <si>
    <t>4.0.1</t>
  </si>
  <si>
    <t>4.0.2</t>
  </si>
  <si>
    <t>4.0.3</t>
  </si>
  <si>
    <t>Huren</t>
  </si>
  <si>
    <t>Overige goederen en diensten</t>
  </si>
  <si>
    <t>Belastingen op producenten</t>
  </si>
  <si>
    <t>Belasting op inkomen van gezinnen</t>
  </si>
  <si>
    <t xml:space="preserve">Totaal batencategorieën </t>
  </si>
  <si>
    <t>Code</t>
  </si>
  <si>
    <t>ACTIVA</t>
  </si>
  <si>
    <t>Bedragen x € 1000,-</t>
  </si>
  <si>
    <t>Vaste activa</t>
  </si>
  <si>
    <t>Financiële vaste activa</t>
  </si>
  <si>
    <t>Kapitaalverstrekking aan deelnemingen</t>
  </si>
  <si>
    <t>Kapitaalverstrekking aan gemeenschappelijke regelingen</t>
  </si>
  <si>
    <t>Kapitaalverstrekking aan overige verbonden partijen</t>
  </si>
  <si>
    <t>Leningen aan woningbouwcorporaties</t>
  </si>
  <si>
    <t>Leningen aan deelnemingen</t>
  </si>
  <si>
    <t>Leningen aan overige verbonden partijen</t>
  </si>
  <si>
    <t>Overige langlopende leningen</t>
  </si>
  <si>
    <t>Overige uitzettingen met looptijd ≥ 1 jaar</t>
  </si>
  <si>
    <t>Uitzettingen</t>
  </si>
  <si>
    <t>Verstrekte kasgeldleningen</t>
  </si>
  <si>
    <t>Rekening courant verhoudingen niet-financiële instellingen</t>
  </si>
  <si>
    <t>Overige vorderingen</t>
  </si>
  <si>
    <t>Overige uitzettingen</t>
  </si>
  <si>
    <t>PASSIVA</t>
  </si>
  <si>
    <t>Vaste schuld</t>
  </si>
  <si>
    <t>Obligatieleningen</t>
  </si>
  <si>
    <t>Onderhandse leningen van overige binnenlandse sectoren</t>
  </si>
  <si>
    <t>Onderhandse leningen van buitenlandse instellingen, …</t>
  </si>
  <si>
    <t>Door derden belegde gelden</t>
  </si>
  <si>
    <t>Vlottende schuld</t>
  </si>
  <si>
    <t>Kasgeldleningen o/g</t>
  </si>
  <si>
    <t>Bank- en girosaldi</t>
  </si>
  <si>
    <t>Overige vlottende schulden</t>
  </si>
  <si>
    <r>
      <t>* Grijze cellen: combinaties die</t>
    </r>
    <r>
      <rPr>
        <i/>
        <sz val="11"/>
        <rFont val="Arial"/>
        <family val="2"/>
      </rPr>
      <t xml:space="preserve"> vrijwel niet voorkomen</t>
    </r>
  </si>
  <si>
    <r>
      <t xml:space="preserve">* Lege cellen:  combinaties die </t>
    </r>
    <r>
      <rPr>
        <i/>
        <sz val="11"/>
        <rFont val="Arial"/>
        <family val="2"/>
      </rPr>
      <t>wel kunnen</t>
    </r>
    <r>
      <rPr>
        <sz val="11"/>
        <rFont val="Arial"/>
        <family val="2"/>
      </rPr>
      <t xml:space="preserve"> voorkomen, invullen indien van toepassing</t>
    </r>
  </si>
  <si>
    <t>Provincienaam</t>
  </si>
  <si>
    <t>Provincienummer</t>
  </si>
  <si>
    <t>De commissaris,                                            De secretaris,</t>
  </si>
  <si>
    <t>2.0.1</t>
  </si>
  <si>
    <t>2.0.2</t>
  </si>
  <si>
    <t>2.3.1</t>
  </si>
  <si>
    <t>2.3.2</t>
  </si>
  <si>
    <t>5.0</t>
  </si>
  <si>
    <t>7.1</t>
  </si>
  <si>
    <t>7.2</t>
  </si>
  <si>
    <t>7.3</t>
  </si>
  <si>
    <t>7.4</t>
  </si>
  <si>
    <t>7.5</t>
  </si>
  <si>
    <t>7.6</t>
  </si>
  <si>
    <t>7.7</t>
  </si>
  <si>
    <t>7.8</t>
  </si>
  <si>
    <t>8.1</t>
  </si>
  <si>
    <t>8.2</t>
  </si>
  <si>
    <t>Aankoop grond</t>
  </si>
  <si>
    <t xml:space="preserve">Overige aankopen onroerende zaken </t>
  </si>
  <si>
    <t>Uitbestede investeringen</t>
  </si>
  <si>
    <t>Aankoop van duurzame roerende zaken</t>
  </si>
  <si>
    <t>Belastingen</t>
  </si>
  <si>
    <t>Subsidies aan producenten</t>
  </si>
  <si>
    <t>Inkomensoverdrachten aan overheden</t>
  </si>
  <si>
    <t>Overige inkomesover-drachten</t>
  </si>
  <si>
    <t>Vermogensover-drachten aan overheden</t>
  </si>
  <si>
    <t>Rente</t>
  </si>
  <si>
    <t>Administratieve boekingen</t>
  </si>
  <si>
    <t>Chartaal geld en deposito's</t>
  </si>
  <si>
    <t>Langlopende effecten m.u.v. aandelen</t>
  </si>
  <si>
    <t>Verrekening voor investeringsprojecten</t>
  </si>
  <si>
    <t>1.0</t>
  </si>
  <si>
    <t>Provinciale staten</t>
  </si>
  <si>
    <t>Gedeputeerde staten</t>
  </si>
  <si>
    <t>Kabinetszaken</t>
  </si>
  <si>
    <t>1.3</t>
  </si>
  <si>
    <t>Bestuurlijke organisatie</t>
  </si>
  <si>
    <t>1.4</t>
  </si>
  <si>
    <t>Financieel toezicht op de gemeenten</t>
  </si>
  <si>
    <t>1.5</t>
  </si>
  <si>
    <t>Uitvoering van overige wettelijke regelingen</t>
  </si>
  <si>
    <t>1.6</t>
  </si>
  <si>
    <t>Overige zaken betreffende algemeen bestuur</t>
  </si>
  <si>
    <t>1.7</t>
  </si>
  <si>
    <t xml:space="preserve">Overige baten en lasten </t>
  </si>
  <si>
    <t>2.0</t>
  </si>
  <si>
    <t>Openbare orde en veiligheid, algemeen</t>
  </si>
  <si>
    <t>Overige beschermende maatregelen</t>
  </si>
  <si>
    <t>VERKEER EN VERVOER</t>
  </si>
  <si>
    <t>Verkeer en vervoer, algemeen</t>
  </si>
  <si>
    <t>Landwegen</t>
  </si>
  <si>
    <t>3.2</t>
  </si>
  <si>
    <t>Boot- en veerdiensten</t>
  </si>
  <si>
    <t>3.3</t>
  </si>
  <si>
    <t>Waterwegen</t>
  </si>
  <si>
    <t>Vervoer</t>
  </si>
  <si>
    <t>WATERHUISHOUDING</t>
  </si>
  <si>
    <t>4.0</t>
  </si>
  <si>
    <t>Waterhuishouding, algemeen</t>
  </si>
  <si>
    <t>4.1</t>
  </si>
  <si>
    <t>Waterschapsaangelegenheden</t>
  </si>
  <si>
    <t>4.2</t>
  </si>
  <si>
    <t>Waterkeringen</t>
  </si>
  <si>
    <t>4.3</t>
  </si>
  <si>
    <t>Kwantitatief beheer oppervlaktewater</t>
  </si>
  <si>
    <t>4.4</t>
  </si>
  <si>
    <t>Kwantitatief beheer grondwater</t>
  </si>
  <si>
    <t>4.5</t>
  </si>
  <si>
    <t>Landaanwinning</t>
  </si>
  <si>
    <t>MILIEUBEHEER</t>
  </si>
  <si>
    <t>Milieubeheer, algemeen</t>
  </si>
  <si>
    <t>Kwalitatief beheer oppervlaktewater</t>
  </si>
  <si>
    <t>Kwalitatief beheer grondwater en bodem</t>
  </si>
  <si>
    <t>Bestrijding luchtverontreiniging</t>
  </si>
  <si>
    <t>Bestrijding geluidhinder</t>
  </si>
  <si>
    <t>Vergunningverlening en handhaving</t>
  </si>
  <si>
    <t>Ontgrondingen</t>
  </si>
  <si>
    <t>RECREATIE EN NATUUR</t>
  </si>
  <si>
    <t>Recreatie en natuur, algemeen</t>
  </si>
  <si>
    <t>Recreatie</t>
  </si>
  <si>
    <t>6.2</t>
  </si>
  <si>
    <t>Natuur</t>
  </si>
  <si>
    <t xml:space="preserve">ECONOMISCHE EN AGRARISCHE ZAKEN </t>
  </si>
  <si>
    <t>7.0</t>
  </si>
  <si>
    <t>Algemene economische aangelegenheden</t>
  </si>
  <si>
    <t>Bevordering economische activiteiten</t>
  </si>
  <si>
    <t>Nutsvoorzieningen</t>
  </si>
  <si>
    <t>Agrarische aangelegenheden</t>
  </si>
  <si>
    <t>WELZIJN</t>
  </si>
  <si>
    <t>8.0</t>
  </si>
  <si>
    <t>Welzijn, algemeen</t>
  </si>
  <si>
    <t>Educatie</t>
  </si>
  <si>
    <t>Lichamelijke vorming en sport</t>
  </si>
  <si>
    <t>8.3</t>
  </si>
  <si>
    <t>Kunst en oudheidkunde</t>
  </si>
  <si>
    <t>8.4</t>
  </si>
  <si>
    <t>Sociaal-cultureel werk en ontwikkeling</t>
  </si>
  <si>
    <t>8.5</t>
  </si>
  <si>
    <t>Maatschappelijke voorzieningen</t>
  </si>
  <si>
    <t>8.6</t>
  </si>
  <si>
    <t>Volksgezondheid</t>
  </si>
  <si>
    <t>8.7</t>
  </si>
  <si>
    <t>Ouderenzorg</t>
  </si>
  <si>
    <t>8.8</t>
  </si>
  <si>
    <t>Jeugdhulpverlening</t>
  </si>
  <si>
    <t>9.0</t>
  </si>
  <si>
    <t>Ruimtelijke ordening en volkshuisvesting, algemeen</t>
  </si>
  <si>
    <t>9.1</t>
  </si>
  <si>
    <t>9.2</t>
  </si>
  <si>
    <t>Volkshuisvesting</t>
  </si>
  <si>
    <t>9.3</t>
  </si>
  <si>
    <t>Stedelijke vernieuwing</t>
  </si>
  <si>
    <t>0.1</t>
  </si>
  <si>
    <t>0.2</t>
  </si>
  <si>
    <t>Algemene uitkering provinciefonds</t>
  </si>
  <si>
    <t>0.3</t>
  </si>
  <si>
    <t>Eigen middelen</t>
  </si>
  <si>
    <t>0.4</t>
  </si>
  <si>
    <t>0.5</t>
  </si>
  <si>
    <t>Algemene baten en lasten / onvoorzien</t>
  </si>
  <si>
    <t>0.6</t>
  </si>
  <si>
    <t>0.7</t>
  </si>
  <si>
    <t>0.8</t>
  </si>
  <si>
    <t>Mutaties reserves die verband houden met de hoofdfuncties</t>
  </si>
  <si>
    <t>0.9</t>
  </si>
  <si>
    <t>Totaal hoofdfuncties</t>
  </si>
  <si>
    <t>Vlottende schuld: Bank en girosaldi</t>
  </si>
  <si>
    <t>1.0.1</t>
  </si>
  <si>
    <t>1.0.2</t>
  </si>
  <si>
    <t>2.2.1</t>
  </si>
  <si>
    <t>2.2.2</t>
  </si>
  <si>
    <t>Leges en andere rechten</t>
  </si>
  <si>
    <t>Verkoop grond</t>
  </si>
  <si>
    <t>Overige verkopen onroerende zaken</t>
  </si>
  <si>
    <t>Verkoop van duurzame roerende zaken</t>
  </si>
  <si>
    <t>Pachten en erfpachten</t>
  </si>
  <si>
    <t>Dividenden en winsten</t>
  </si>
  <si>
    <t>Inkomensoverdrachten van overheden</t>
  </si>
  <si>
    <t>Overige inkomens-overdrachten</t>
  </si>
  <si>
    <t>Vermogensover-drachten van overheden</t>
  </si>
  <si>
    <t>Overige vermogensover-drachten</t>
  </si>
  <si>
    <t>De functies worden toegelicht bij bijlage 1, de categorieën bij bijlage 2 en de kostenplaatsen en balansmutaties in het Besluit begroting en verantwoording  provincies en gemeenten</t>
  </si>
  <si>
    <t>Onderhandse leningen van binnenlandse pensioenfondsen en verzekeraars</t>
  </si>
  <si>
    <t>Onderhandse leningen van binnenlandse banken en overige financiële instellingen</t>
  </si>
  <si>
    <t>Onderhandse leningen van binnenlandse bedrijven</t>
  </si>
  <si>
    <t>Bestandsnaam:</t>
  </si>
  <si>
    <t>Het college van Gedeputeerde Staten,</t>
  </si>
  <si>
    <t>Overige vermogens-overdrachten</t>
  </si>
  <si>
    <t>Totaal functies, kostenplaatsen en balansmutaties</t>
  </si>
  <si>
    <t>Immateriële vaste activa</t>
  </si>
  <si>
    <t>Kosten verbonden aan sluiten geldlening en saldo agio/disagio</t>
  </si>
  <si>
    <t>Kosten onderzoek en ontwikkeling voor een bepaald actief</t>
  </si>
  <si>
    <t>Materiële vaste activa</t>
  </si>
  <si>
    <t>Gronden en terreinen</t>
  </si>
  <si>
    <t>Woonruimten</t>
  </si>
  <si>
    <t>Bedrijfsgebouwen</t>
  </si>
  <si>
    <t>Grond-, weg- en waterbouwkundige werken</t>
  </si>
  <si>
    <t>Vervoermiddelen</t>
  </si>
  <si>
    <t>Machines, apparaten en installaties</t>
  </si>
  <si>
    <t>Overig</t>
  </si>
  <si>
    <t>Bijdragen aan activa van derden</t>
  </si>
  <si>
    <t>Voorraden</t>
  </si>
  <si>
    <t>Niet in exploitatie bouwgronden</t>
  </si>
  <si>
    <t>Overige grond- en hulpstoffen</t>
  </si>
  <si>
    <t>Onderhanden werk (incl. bouwgronden in exploitatie)</t>
  </si>
  <si>
    <t>Gereed product en handelsgoederen</t>
  </si>
  <si>
    <t>Vooruitbetalingen</t>
  </si>
  <si>
    <t xml:space="preserve">Eigen vermogen </t>
  </si>
  <si>
    <t>Algemene reserve</t>
  </si>
  <si>
    <t>Bestemmingsreserve</t>
  </si>
  <si>
    <t>Overige bestemmingsreserves</t>
  </si>
  <si>
    <t>Saldo van rekening</t>
  </si>
  <si>
    <t>Totalen</t>
  </si>
  <si>
    <t>Totaal Activa</t>
  </si>
  <si>
    <t>Totaal Passiva</t>
  </si>
  <si>
    <t>Activa</t>
  </si>
  <si>
    <t>Passiva</t>
  </si>
  <si>
    <t>Niet in te delen lasten</t>
  </si>
  <si>
    <t>De toedeling van de baten en lasten over de producten is overeenkomstig de definities van het handboek administratieve organisatie en interne controle van de provincie.</t>
  </si>
  <si>
    <t>Eindoordeel</t>
  </si>
  <si>
    <t>Hulpgegevens</t>
  </si>
  <si>
    <t xml:space="preserve">Uitkomsten:                                                                                              </t>
  </si>
  <si>
    <t>procenten</t>
  </si>
  <si>
    <t>waardering</t>
  </si>
  <si>
    <t>1. saldo niet-financiële rekening - saldo financiële rekening</t>
  </si>
  <si>
    <t>2. gebruik juiste categorieën op financiële balans</t>
  </si>
  <si>
    <t>3. ontwikkeling balansstanden - mutaties in de matrix</t>
  </si>
  <si>
    <t>4. categorie 0.0</t>
  </si>
  <si>
    <t>5. verrekencategorieën</t>
  </si>
  <si>
    <t>Eindoordeel:</t>
  </si>
  <si>
    <t>REFERENTIEWAARDE</t>
  </si>
  <si>
    <t>lastenjaartotaal</t>
  </si>
  <si>
    <t>kwartaal</t>
  </si>
  <si>
    <t>jaartotaal</t>
  </si>
  <si>
    <t>TOETSEN</t>
  </si>
  <si>
    <t>toets 1</t>
  </si>
  <si>
    <t>afwijking</t>
  </si>
  <si>
    <t>Afwijking_1 (%)</t>
  </si>
  <si>
    <t>oordeel</t>
  </si>
  <si>
    <t>toets 2</t>
  </si>
  <si>
    <t>Post</t>
  </si>
  <si>
    <t>som</t>
  </si>
  <si>
    <t xml:space="preserve">totaal </t>
  </si>
  <si>
    <t>noemer</t>
  </si>
  <si>
    <t>Afwijking_2 (%)</t>
  </si>
  <si>
    <t>toets 3</t>
  </si>
  <si>
    <t>post</t>
  </si>
  <si>
    <t>primo</t>
  </si>
  <si>
    <t>ultimo</t>
  </si>
  <si>
    <t>ult-prim</t>
  </si>
  <si>
    <t>lasten</t>
  </si>
  <si>
    <t>baten</t>
  </si>
  <si>
    <t>saldo</t>
  </si>
  <si>
    <t>teller</t>
  </si>
  <si>
    <t>Afwijking_3 (%)</t>
  </si>
  <si>
    <t>toets 4</t>
  </si>
  <si>
    <t xml:space="preserve">lasten </t>
  </si>
  <si>
    <t>Afwijking_4 (%)</t>
  </si>
  <si>
    <t>toets 5</t>
  </si>
  <si>
    <t>|(L-B)|</t>
  </si>
  <si>
    <t>|L|+|B|</t>
  </si>
  <si>
    <t>totaal</t>
  </si>
  <si>
    <t>Afwijking_5 (%)</t>
  </si>
  <si>
    <t>Deze hulpgegevens zijn noodzakelijk voor bepaling van het eindoordeel. Niet wijzigen a.u.b.</t>
  </si>
  <si>
    <t>EMU-saldo berekend uit de niet-financiële rekening (cat. 1 t/m 5, plus 8.1)</t>
  </si>
  <si>
    <t>totaal lasten cat 1 t/m 5</t>
  </si>
  <si>
    <t>L0 t/m 5</t>
  </si>
  <si>
    <t>L6.0+8.1</t>
  </si>
  <si>
    <t>B6.0+8.1</t>
  </si>
  <si>
    <t>Let op: deze hoeft niet gelijk te zijn aan de officiële, bij het ministerie van BZK geregistreerde, contactpersoon voor de communicatie over de aanlevering van de Iv3 (zie tabblad 3.Toelichting, Informatie provincie)</t>
  </si>
  <si>
    <t>0 = begroting, 1 - 4 = kwartalen, 5 = jaarrekening</t>
  </si>
  <si>
    <t>Deze post hoeft niet te worden ingevuld bij de kwartaalrapportage.</t>
  </si>
  <si>
    <t>Vorderingen op openbare lichamen</t>
  </si>
  <si>
    <t>Overzicht berekeningen voor toetsen plausibiliteitoordeel</t>
  </si>
  <si>
    <t>Zoals beschreven in de Iv3-circulaire van 29 juni 2009 wordt de Iv3-levering beoordeeld op plausibiliteit. Hiervoor zijn door de toezichthouder (het ministerie van BZK) vijf toetsen vastgesteld. De berekening van deze toetsen is hieronder weergegeven. Deze berekening kunt u toepassen op het ingevulde Excelbestand.</t>
  </si>
  <si>
    <t xml:space="preserve">Voor een exacte beschrijving van de hieronder uitgewerkte toetsen verwijzen wij u naar het bijbehorende document op de website van bureau Kredo (www.cbs.nl/kredo) </t>
  </si>
  <si>
    <t xml:space="preserve">Onderstaande is onder voorbehoud van eventuele typefouten en wijzigingen. Het definitieve eindoordeel stelt het CBS vast. Dit definitieve eindoordeel wordt door het CBS binnen enkele werkdagen na inzending naar de officiële contactpersoon voor de Iv3-leveringen gestuurd. </t>
  </si>
  <si>
    <t>B0 t/m 5</t>
  </si>
  <si>
    <t>kp_kpl</t>
  </si>
  <si>
    <t>kp_ovg</t>
  </si>
  <si>
    <r>
      <t xml:space="preserve">Conform het Besluit begroting en verantwoording provincies en gemeenten, in het bijzonder artikel 74 en de Ministeriële regeling informatie voor derden van 6 februari 2003 sturen wij u de vereiste informatie voor het </t>
    </r>
    <r>
      <rPr>
        <u/>
        <sz val="10"/>
        <rFont val="Arial"/>
        <family val="2"/>
      </rPr>
      <t xml:space="preserve">     </t>
    </r>
    <r>
      <rPr>
        <sz val="10"/>
        <rFont val="Arial"/>
        <family val="2"/>
      </rPr>
      <t xml:space="preserve"> kwartaal van het jaar </t>
    </r>
    <r>
      <rPr>
        <u/>
        <sz val="10"/>
        <rFont val="Arial"/>
        <family val="2"/>
      </rPr>
      <t xml:space="preserve">     </t>
    </r>
    <r>
      <rPr>
        <sz val="10"/>
        <rFont val="Arial"/>
        <family val="2"/>
      </rPr>
      <t xml:space="preserve">. Het betreffende bestand met de naam </t>
    </r>
    <r>
      <rPr>
        <u/>
        <sz val="10"/>
        <rFont val="Arial"/>
        <family val="2"/>
      </rPr>
      <t xml:space="preserve">           </t>
    </r>
    <r>
      <rPr>
        <sz val="10"/>
        <rFont val="Arial"/>
        <family val="2"/>
      </rPr>
      <t xml:space="preserve"> en deze akkoordverklaring treft u in dezelfde zip-file aan.</t>
    </r>
  </si>
  <si>
    <t>EMU-saldo berekend uit de financiële rekening (categorie 7)</t>
  </si>
  <si>
    <t>Provincie Groningen</t>
  </si>
  <si>
    <t>G.A. Veldman-Perdok</t>
  </si>
  <si>
    <t>Financiën &amp; Control</t>
  </si>
  <si>
    <t>Financieel beleidsmedewerkster</t>
  </si>
  <si>
    <t>050 3164261</t>
  </si>
  <si>
    <t>g.a.veldman.perdok@provinciegroningen.nl</t>
  </si>
  <si>
    <t>0001</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</si>
</sst>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
    <numFmt numFmtId="165" formatCode="dd/mm/yyyy"/>
    <numFmt numFmtId="166" formatCode="dd/m/yyyy"/>
    <numFmt numFmtId="167" formatCode="d\ mmmm\ yyyy"/>
    <numFmt numFmtId="168" formatCode="d\ mmmm"/>
    <numFmt numFmtId="169" formatCode="_([$€]* #,##0.00_);_([$€]* \(#,##0.00\);_([$€]* &quot;-&quot;??_);_(@_)"/>
  </numFmts>
  <fonts count="43">
    <font>
      <sz val="10"/>
      <name val="Arial"/>
    </font>
    <font>
      <sz val="10"/>
      <name val="Arial"/>
      <family val="2"/>
    </font>
    <font>
      <b/>
      <sz val="11"/>
      <name val="Arial"/>
      <family val="2"/>
    </font>
    <font>
      <u/>
      <sz val="10"/>
      <color indexed="12"/>
      <name val="Arial"/>
      <family val="2"/>
    </font>
    <font>
      <b/>
      <sz val="10"/>
      <name val="Arial"/>
      <family val="2"/>
    </font>
    <font>
      <sz val="10"/>
      <name val="Arial"/>
      <family val="2"/>
    </font>
    <font>
      <b/>
      <sz val="10"/>
      <color indexed="10"/>
      <name val="Arial"/>
      <family val="2"/>
    </font>
    <font>
      <sz val="8"/>
      <name val="Arial"/>
      <family val="2"/>
    </font>
    <font>
      <sz val="6"/>
      <name val="Arial"/>
      <family val="2"/>
    </font>
    <font>
      <sz val="10"/>
      <color indexed="10"/>
      <name val="Arial"/>
      <family val="2"/>
    </font>
    <font>
      <b/>
      <i/>
      <sz val="10"/>
      <name val="Arial"/>
      <family val="2"/>
    </font>
    <font>
      <i/>
      <sz val="10"/>
      <name val="Arial"/>
      <family val="2"/>
    </font>
    <font>
      <sz val="10"/>
      <color indexed="8"/>
      <name val="Arial"/>
      <family val="2"/>
    </font>
    <font>
      <sz val="14"/>
      <name val="Arial"/>
      <family val="2"/>
    </font>
    <font>
      <b/>
      <sz val="9"/>
      <color indexed="9"/>
      <name val="Arial"/>
      <family val="2"/>
    </font>
    <font>
      <b/>
      <sz val="8"/>
      <name val="Arial"/>
      <family val="2"/>
    </font>
    <font>
      <b/>
      <i/>
      <sz val="9"/>
      <color indexed="10"/>
      <name val="Arial"/>
      <family val="2"/>
    </font>
    <font>
      <b/>
      <sz val="10"/>
      <color indexed="9"/>
      <name val="Arial"/>
      <family val="2"/>
    </font>
    <font>
      <b/>
      <sz val="14"/>
      <name val="Arial"/>
      <family val="2"/>
    </font>
    <font>
      <sz val="11"/>
      <name val="Arial"/>
      <family val="2"/>
    </font>
    <font>
      <b/>
      <sz val="12"/>
      <name val="Arial"/>
      <family val="2"/>
    </font>
    <font>
      <sz val="11"/>
      <name val="Arial"/>
      <family val="2"/>
    </font>
    <font>
      <b/>
      <sz val="11"/>
      <color indexed="8"/>
      <name val="Arial"/>
      <family val="2"/>
    </font>
    <font>
      <i/>
      <sz val="11"/>
      <name val="Arial"/>
      <family val="2"/>
    </font>
    <font>
      <sz val="11"/>
      <color indexed="9"/>
      <name val="Arial"/>
      <family val="2"/>
    </font>
    <font>
      <b/>
      <sz val="11"/>
      <color indexed="9"/>
      <name val="Arial"/>
      <family val="2"/>
    </font>
    <font>
      <b/>
      <sz val="9"/>
      <name val="Arial"/>
      <family val="2"/>
    </font>
    <font>
      <b/>
      <i/>
      <sz val="9"/>
      <name val="Arial"/>
      <family val="2"/>
    </font>
    <font>
      <sz val="8"/>
      <name val="Arial"/>
      <family val="2"/>
    </font>
    <font>
      <b/>
      <sz val="10"/>
      <name val="Arial"/>
      <family val="2"/>
    </font>
    <font>
      <b/>
      <sz val="10"/>
      <color indexed="8"/>
      <name val="Arial"/>
      <family val="2"/>
    </font>
    <font>
      <sz val="11"/>
      <color indexed="22"/>
      <name val="Arial"/>
      <family val="2"/>
    </font>
    <font>
      <b/>
      <sz val="8"/>
      <color indexed="81"/>
      <name val="Tahoma"/>
      <family val="2"/>
    </font>
    <font>
      <sz val="8"/>
      <color indexed="81"/>
      <name val="Tahoma"/>
      <family val="2"/>
    </font>
    <font>
      <b/>
      <sz val="8"/>
      <color indexed="17"/>
      <name val="Arial"/>
      <family val="2"/>
    </font>
    <font>
      <b/>
      <i/>
      <sz val="9"/>
      <color indexed="8"/>
      <name val="Arial"/>
      <family val="2"/>
    </font>
    <font>
      <sz val="9"/>
      <name val="Arial"/>
      <family val="2"/>
    </font>
    <font>
      <b/>
      <sz val="16"/>
      <name val="Arial"/>
      <family val="2"/>
    </font>
    <font>
      <sz val="12"/>
      <name val="Arial"/>
      <family val="2"/>
    </font>
    <font>
      <sz val="10"/>
      <color indexed="9"/>
      <name val="Arial"/>
      <family val="2"/>
    </font>
    <font>
      <sz val="8"/>
      <color indexed="10"/>
      <name val="Arial"/>
      <family val="2"/>
    </font>
    <font>
      <u/>
      <sz val="10"/>
      <name val="Arial"/>
      <family val="2"/>
    </font>
    <font>
      <sz val="11"/>
      <color rgb="FFFF0000"/>
      <name val="Arial"/>
      <family val="2"/>
    </font>
  </fonts>
  <fills count="9">
    <fill>
      <patternFill patternType="none"/>
    </fill>
    <fill>
      <patternFill patternType="gray125"/>
    </fill>
    <fill>
      <patternFill patternType="solid">
        <fgColor indexed="23"/>
        <bgColor indexed="64"/>
      </patternFill>
    </fill>
    <fill>
      <patternFill patternType="solid">
        <fgColor indexed="22"/>
        <bgColor indexed="64"/>
      </patternFill>
    </fill>
    <fill>
      <patternFill patternType="solid">
        <fgColor indexed="55"/>
        <bgColor indexed="64"/>
      </patternFill>
    </fill>
    <fill>
      <patternFill patternType="solid">
        <fgColor indexed="41"/>
        <bgColor indexed="64"/>
      </patternFill>
    </fill>
    <fill>
      <patternFill patternType="solid">
        <fgColor indexed="8"/>
        <bgColor indexed="64"/>
      </patternFill>
    </fill>
    <fill>
      <patternFill patternType="solid">
        <fgColor indexed="9"/>
        <bgColor indexed="64"/>
      </patternFill>
    </fill>
    <fill>
      <patternFill patternType="solid">
        <fgColor indexed="13"/>
        <bgColor indexed="64"/>
      </patternFill>
    </fill>
  </fills>
  <borders count="91">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diagonalDown="1">
      <left/>
      <right style="medium">
        <color indexed="64"/>
      </right>
      <top style="thin">
        <color indexed="64"/>
      </top>
      <bottom style="medium">
        <color indexed="64"/>
      </bottom>
      <diagonal style="thin">
        <color indexed="64"/>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thin">
        <color indexed="22"/>
      </bottom>
      <diagonal/>
    </border>
    <border>
      <left/>
      <right/>
      <top style="thin">
        <color indexed="22"/>
      </top>
      <bottom/>
      <diagonal/>
    </border>
    <border>
      <left style="medium">
        <color indexed="64"/>
      </left>
      <right/>
      <top/>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medium">
        <color indexed="64"/>
      </left>
      <right style="thin">
        <color indexed="64"/>
      </right>
      <top style="thin">
        <color indexed="64"/>
      </top>
      <bottom/>
      <diagonal/>
    </border>
    <border>
      <left/>
      <right/>
      <top style="thin">
        <color indexed="64"/>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style="medium">
        <color indexed="64"/>
      </top>
      <bottom style="medium">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bottom/>
      <diagonal/>
    </border>
    <border>
      <left style="medium">
        <color indexed="64"/>
      </left>
      <right style="medium">
        <color indexed="64"/>
      </right>
      <top style="thin">
        <color indexed="64"/>
      </top>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right style="medium">
        <color indexed="64"/>
      </right>
      <top style="medium">
        <color indexed="64"/>
      </top>
      <bottom style="medium">
        <color indexed="64"/>
      </bottom>
      <diagonal/>
    </border>
    <border>
      <left style="thin">
        <color indexed="22"/>
      </left>
      <right style="thin">
        <color indexed="22"/>
      </right>
      <top style="thin">
        <color indexed="22"/>
      </top>
      <bottom/>
      <diagonal/>
    </border>
    <border>
      <left/>
      <right/>
      <top/>
      <bottom style="medium">
        <color indexed="64"/>
      </bottom>
      <diagonal/>
    </border>
    <border>
      <left style="thin">
        <color indexed="22"/>
      </left>
      <right style="thin">
        <color indexed="22"/>
      </right>
      <top style="thin">
        <color indexed="22"/>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bottom style="medium">
        <color indexed="64"/>
      </bottom>
      <diagonal/>
    </border>
    <border>
      <left/>
      <right/>
      <top style="thick">
        <color indexed="22"/>
      </top>
      <bottom/>
      <diagonal/>
    </border>
    <border>
      <left style="thin">
        <color indexed="64"/>
      </left>
      <right style="thin">
        <color indexed="64"/>
      </right>
      <top style="thin">
        <color indexed="64"/>
      </top>
      <bottom style="hair">
        <color indexed="22"/>
      </bottom>
      <diagonal/>
    </border>
    <border>
      <left style="thin">
        <color indexed="64"/>
      </left>
      <right style="thin">
        <color indexed="64"/>
      </right>
      <top style="hair">
        <color indexed="22"/>
      </top>
      <bottom style="hair">
        <color indexed="22"/>
      </bottom>
      <diagonal/>
    </border>
    <border>
      <left style="thin">
        <color indexed="64"/>
      </left>
      <right style="thin">
        <color indexed="64"/>
      </right>
      <top style="hair">
        <color indexed="22"/>
      </top>
      <bottom style="thin">
        <color indexed="64"/>
      </bottom>
      <diagonal/>
    </border>
    <border>
      <left/>
      <right style="thin">
        <color indexed="64"/>
      </right>
      <top style="thin">
        <color indexed="64"/>
      </top>
      <bottom style="hair">
        <color indexed="22"/>
      </bottom>
      <diagonal/>
    </border>
    <border>
      <left/>
      <right style="thin">
        <color indexed="64"/>
      </right>
      <top style="hair">
        <color indexed="22"/>
      </top>
      <bottom style="hair">
        <color indexed="22"/>
      </bottom>
      <diagonal/>
    </border>
    <border>
      <left style="thin">
        <color indexed="64"/>
      </left>
      <right style="thin">
        <color indexed="64"/>
      </right>
      <top style="hair">
        <color indexed="22"/>
      </top>
      <bottom style="medium">
        <color indexed="64"/>
      </bottom>
      <diagonal/>
    </border>
    <border>
      <left/>
      <right style="thin">
        <color indexed="64"/>
      </right>
      <top style="hair">
        <color indexed="22"/>
      </top>
      <bottom style="medium">
        <color indexed="64"/>
      </bottom>
      <diagonal/>
    </border>
    <border>
      <left style="thin">
        <color indexed="64"/>
      </left>
      <right style="thin">
        <color indexed="64"/>
      </right>
      <top style="medium">
        <color indexed="64"/>
      </top>
      <bottom style="hair">
        <color indexed="22"/>
      </bottom>
      <diagonal/>
    </border>
    <border>
      <left style="thin">
        <color indexed="64"/>
      </left>
      <right style="thin">
        <color indexed="64"/>
      </right>
      <top style="hair">
        <color indexed="22"/>
      </top>
      <bottom/>
      <diagonal/>
    </border>
    <border>
      <left style="thin">
        <color indexed="64"/>
      </left>
      <right style="thin">
        <color indexed="64"/>
      </right>
      <top style="medium">
        <color indexed="64"/>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right/>
      <top style="thin">
        <color indexed="22"/>
      </top>
      <bottom style="thin">
        <color indexed="22"/>
      </bottom>
      <diagonal/>
    </border>
    <border>
      <left/>
      <right/>
      <top/>
      <bottom style="thin">
        <color indexed="22"/>
      </bottom>
      <diagonal/>
    </border>
    <border>
      <left style="thin">
        <color indexed="22"/>
      </left>
      <right/>
      <top style="thick">
        <color indexed="22"/>
      </top>
      <bottom style="thin">
        <color indexed="22"/>
      </bottom>
      <diagonal/>
    </border>
    <border>
      <left/>
      <right style="thin">
        <color indexed="22"/>
      </right>
      <top style="thick">
        <color indexed="22"/>
      </top>
      <bottom style="thin">
        <color indexed="22"/>
      </bottom>
      <diagonal/>
    </border>
    <border>
      <left style="thin">
        <color indexed="22"/>
      </left>
      <right/>
      <top style="thin">
        <color indexed="22"/>
      </top>
      <bottom style="thin">
        <color indexed="22"/>
      </bottom>
      <diagonal/>
    </border>
    <border>
      <left/>
      <right style="thin">
        <color indexed="22"/>
      </right>
      <top style="thin">
        <color indexed="22"/>
      </top>
      <bottom style="thin">
        <color indexed="22"/>
      </bottom>
      <diagonal/>
    </border>
    <border>
      <left/>
      <right style="medium">
        <color indexed="64"/>
      </right>
      <top style="thin">
        <color indexed="64"/>
      </top>
      <bottom style="medium">
        <color indexed="64"/>
      </bottom>
      <diagonal/>
    </border>
  </borders>
  <cellStyleXfs count="5">
    <xf numFmtId="0" fontId="0" fillId="0" borderId="0"/>
    <xf numFmtId="169" fontId="12" fillId="0" borderId="0" applyFont="0" applyFill="0" applyBorder="0" applyAlignment="0" applyProtection="0"/>
    <xf numFmtId="0" fontId="3" fillId="0" borderId="0" applyNumberFormat="0" applyFill="0" applyBorder="0" applyAlignment="0" applyProtection="0">
      <alignment vertical="top"/>
      <protection locked="0"/>
    </xf>
    <xf numFmtId="9" fontId="1" fillId="0" borderId="0" applyFont="0" applyFill="0" applyBorder="0" applyAlignment="0" applyProtection="0"/>
    <xf numFmtId="0" fontId="12" fillId="0" borderId="0"/>
  </cellStyleXfs>
  <cellXfs count="456">
    <xf numFmtId="0" fontId="0" fillId="0" borderId="0" xfId="0"/>
    <xf numFmtId="0" fontId="7" fillId="0" borderId="0" xfId="0" applyFont="1" applyProtection="1"/>
    <xf numFmtId="49" fontId="5" fillId="0" borderId="0" xfId="0" applyNumberFormat="1" applyFont="1" applyAlignment="1" applyProtection="1">
      <alignment wrapText="1"/>
    </xf>
    <xf numFmtId="0" fontId="5" fillId="0" borderId="0" xfId="0" applyNumberFormat="1" applyFont="1" applyAlignment="1" applyProtection="1">
      <alignment wrapText="1"/>
    </xf>
    <xf numFmtId="0" fontId="5" fillId="0" borderId="0" xfId="0" applyNumberFormat="1" applyFont="1" applyAlignment="1" applyProtection="1">
      <alignment horizontal="left" wrapText="1"/>
    </xf>
    <xf numFmtId="49" fontId="8" fillId="0" borderId="0" xfId="0" applyNumberFormat="1" applyFont="1" applyAlignment="1" applyProtection="1">
      <alignment wrapText="1"/>
    </xf>
    <xf numFmtId="0" fontId="5" fillId="0" borderId="0" xfId="0" applyFont="1"/>
    <xf numFmtId="0" fontId="4" fillId="0" borderId="0" xfId="0" applyFont="1" applyAlignment="1">
      <alignment horizontal="right"/>
    </xf>
    <xf numFmtId="49" fontId="13" fillId="2" borderId="0" xfId="0" applyNumberFormat="1" applyFont="1" applyFill="1"/>
    <xf numFmtId="49" fontId="13" fillId="0" borderId="0" xfId="0" applyNumberFormat="1" applyFont="1"/>
    <xf numFmtId="49" fontId="13" fillId="0" borderId="0" xfId="0" applyNumberFormat="1" applyFont="1" applyBorder="1"/>
    <xf numFmtId="49" fontId="13" fillId="0" borderId="0" xfId="0" applyNumberFormat="1" applyFont="1" applyBorder="1" applyAlignment="1">
      <alignment horizontal="left"/>
    </xf>
    <xf numFmtId="0" fontId="7" fillId="3" borderId="0" xfId="0" applyFont="1" applyFill="1" applyProtection="1"/>
    <xf numFmtId="0" fontId="4" fillId="3" borderId="0" xfId="0" applyFont="1" applyFill="1" applyAlignment="1" applyProtection="1"/>
    <xf numFmtId="0" fontId="15" fillId="3" borderId="0" xfId="0" applyFont="1" applyFill="1" applyAlignment="1" applyProtection="1">
      <alignment horizontal="right"/>
    </xf>
    <xf numFmtId="0" fontId="7" fillId="3" borderId="0" xfId="0" applyFont="1" applyFill="1" applyAlignment="1" applyProtection="1">
      <alignment vertical="center"/>
    </xf>
    <xf numFmtId="0" fontId="5" fillId="3" borderId="0" xfId="0" applyFont="1" applyFill="1" applyAlignment="1" applyProtection="1">
      <alignment horizontal="right" vertical="center"/>
    </xf>
    <xf numFmtId="0" fontId="4" fillId="3" borderId="0" xfId="0" quotePrefix="1" applyFont="1" applyFill="1" applyAlignment="1" applyProtection="1">
      <alignment vertical="center"/>
    </xf>
    <xf numFmtId="0" fontId="15" fillId="3" borderId="0" xfId="0" quotePrefix="1" applyFont="1" applyFill="1" applyAlignment="1" applyProtection="1">
      <alignment horizontal="right" vertical="center"/>
    </xf>
    <xf numFmtId="49" fontId="13" fillId="0" borderId="0" xfId="0" applyNumberFormat="1" applyFont="1" applyAlignment="1">
      <alignment vertical="center"/>
    </xf>
    <xf numFmtId="0" fontId="4" fillId="3" borderId="0" xfId="0" applyFont="1" applyFill="1" applyAlignment="1" applyProtection="1">
      <alignment horizontal="center"/>
    </xf>
    <xf numFmtId="0" fontId="5" fillId="3" borderId="0" xfId="0" applyFont="1" applyFill="1" applyProtection="1"/>
    <xf numFmtId="49" fontId="5" fillId="3" borderId="0" xfId="0" applyNumberFormat="1" applyFont="1" applyFill="1" applyBorder="1" applyAlignment="1">
      <alignment horizontal="left"/>
    </xf>
    <xf numFmtId="0" fontId="4" fillId="3" borderId="0" xfId="0" applyFont="1" applyFill="1" applyProtection="1"/>
    <xf numFmtId="167" fontId="4" fillId="3" borderId="0" xfId="0" applyNumberFormat="1" applyFont="1" applyFill="1" applyAlignment="1" applyProtection="1">
      <alignment horizontal="right"/>
    </xf>
    <xf numFmtId="49" fontId="5" fillId="3" borderId="0" xfId="0" applyNumberFormat="1" applyFont="1" applyFill="1" applyBorder="1" applyAlignment="1">
      <alignment horizontal="right" vertical="top"/>
    </xf>
    <xf numFmtId="49" fontId="5" fillId="3" borderId="0" xfId="0" applyNumberFormat="1" applyFont="1" applyFill="1" applyBorder="1" applyAlignment="1">
      <alignment horizontal="left" vertical="top"/>
    </xf>
    <xf numFmtId="49" fontId="13" fillId="0" borderId="0" xfId="0" applyNumberFormat="1" applyFont="1" applyAlignment="1"/>
    <xf numFmtId="0" fontId="7" fillId="0" borderId="0" xfId="0" applyFont="1" applyAlignment="1" applyProtection="1">
      <alignment horizontal="left"/>
    </xf>
    <xf numFmtId="0" fontId="15" fillId="4" borderId="0" xfId="0" applyFont="1" applyFill="1" applyBorder="1" applyProtection="1"/>
    <xf numFmtId="0" fontId="14" fillId="4" borderId="0" xfId="0" applyFont="1" applyFill="1" applyBorder="1" applyAlignment="1" applyProtection="1">
      <alignment horizontal="center"/>
    </xf>
    <xf numFmtId="0" fontId="15" fillId="4" borderId="0" xfId="0" applyFont="1" applyFill="1" applyBorder="1" applyAlignment="1" applyProtection="1">
      <alignment horizontal="center"/>
    </xf>
    <xf numFmtId="0" fontId="7" fillId="3" borderId="0" xfId="0" applyFont="1" applyFill="1" applyAlignment="1" applyProtection="1">
      <alignment horizontal="right"/>
    </xf>
    <xf numFmtId="0" fontId="7" fillId="0" borderId="0" xfId="0" applyFont="1" applyFill="1" applyProtection="1"/>
    <xf numFmtId="0" fontId="17" fillId="4" borderId="0" xfId="0" applyFont="1" applyFill="1" applyBorder="1" applyAlignment="1" applyProtection="1">
      <alignment horizontal="left"/>
    </xf>
    <xf numFmtId="0" fontId="7" fillId="3" borderId="0" xfId="0" applyFont="1" applyFill="1" applyBorder="1" applyAlignment="1" applyProtection="1">
      <alignment horizontal="center"/>
    </xf>
    <xf numFmtId="49" fontId="13" fillId="3" borderId="0" xfId="0" applyNumberFormat="1" applyFont="1" applyFill="1"/>
    <xf numFmtId="0" fontId="18" fillId="0" borderId="1" xfId="0" applyFont="1" applyFill="1" applyBorder="1" applyAlignment="1">
      <alignment horizontal="left" vertical="top"/>
    </xf>
    <xf numFmtId="0" fontId="18" fillId="0" borderId="2" xfId="0" applyFont="1" applyFill="1" applyBorder="1" applyAlignment="1">
      <alignment vertical="top"/>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Fill="1" applyBorder="1" applyAlignment="1">
      <alignment horizontal="center" vertical="center"/>
    </xf>
    <xf numFmtId="1" fontId="18" fillId="0" borderId="6" xfId="0" applyNumberFormat="1" applyFont="1" applyFill="1" applyBorder="1" applyAlignment="1">
      <alignment horizontal="left"/>
    </xf>
    <xf numFmtId="1" fontId="18" fillId="0" borderId="7" xfId="0" applyNumberFormat="1" applyFont="1" applyFill="1" applyBorder="1" applyAlignment="1">
      <alignment horizontal="right" vertical="center"/>
    </xf>
    <xf numFmtId="0" fontId="19" fillId="0" borderId="0" xfId="0" applyFont="1" applyBorder="1" applyAlignment="1">
      <alignment vertical="center"/>
    </xf>
    <xf numFmtId="0" fontId="2" fillId="0" borderId="8" xfId="0" applyFont="1" applyFill="1" applyBorder="1" applyAlignment="1">
      <alignment vertical="center"/>
    </xf>
    <xf numFmtId="0" fontId="19" fillId="0" borderId="0" xfId="0" applyFont="1" applyFill="1" applyBorder="1" applyAlignment="1">
      <alignment vertical="center"/>
    </xf>
    <xf numFmtId="0" fontId="2" fillId="3" borderId="9" xfId="0" applyFont="1" applyFill="1" applyBorder="1" applyAlignment="1">
      <alignment vertical="center"/>
    </xf>
    <xf numFmtId="0" fontId="19" fillId="3" borderId="10" xfId="0" applyFont="1" applyFill="1" applyBorder="1" applyAlignment="1">
      <alignment vertical="center"/>
    </xf>
    <xf numFmtId="0" fontId="19" fillId="0" borderId="0" xfId="0" applyFont="1" applyBorder="1"/>
    <xf numFmtId="0" fontId="21" fillId="0" borderId="11" xfId="0" applyFont="1" applyBorder="1" applyAlignment="1">
      <alignment horizontal="center"/>
    </xf>
    <xf numFmtId="0" fontId="21" fillId="0" borderId="12" xfId="0" applyFont="1" applyBorder="1"/>
    <xf numFmtId="0" fontId="20" fillId="0" borderId="8" xfId="0" applyFont="1" applyFill="1" applyBorder="1" applyAlignment="1">
      <alignment vertical="center"/>
    </xf>
    <xf numFmtId="0" fontId="20" fillId="0" borderId="13" xfId="0" applyFont="1" applyFill="1" applyBorder="1" applyAlignment="1">
      <alignment vertical="center"/>
    </xf>
    <xf numFmtId="0" fontId="21" fillId="0" borderId="12" xfId="0" applyFont="1" applyFill="1" applyBorder="1" applyAlignment="1">
      <alignment vertical="center"/>
    </xf>
    <xf numFmtId="0" fontId="19" fillId="3" borderId="14" xfId="0" applyFont="1" applyFill="1" applyBorder="1" applyAlignment="1">
      <alignment vertical="center"/>
    </xf>
    <xf numFmtId="0" fontId="19" fillId="3" borderId="15" xfId="0" applyFont="1" applyFill="1" applyBorder="1" applyAlignment="1">
      <alignment vertical="center"/>
    </xf>
    <xf numFmtId="0" fontId="19" fillId="0" borderId="16" xfId="0" applyFont="1" applyFill="1" applyBorder="1" applyAlignment="1" applyProtection="1">
      <alignment horizontal="right" vertical="center"/>
      <protection locked="0"/>
    </xf>
    <xf numFmtId="0" fontId="19" fillId="3" borderId="0" xfId="0" applyFont="1" applyFill="1" applyBorder="1" applyAlignment="1" applyProtection="1">
      <alignment horizontal="right" vertical="center"/>
      <protection locked="0"/>
    </xf>
    <xf numFmtId="0" fontId="19" fillId="0" borderId="18" xfId="0" applyFont="1" applyFill="1" applyBorder="1" applyAlignment="1" applyProtection="1">
      <alignment horizontal="right" vertical="center"/>
      <protection locked="0"/>
    </xf>
    <xf numFmtId="0" fontId="19" fillId="3" borderId="20" xfId="0" applyFont="1" applyFill="1" applyBorder="1" applyAlignment="1" applyProtection="1">
      <alignment horizontal="right" vertical="center"/>
      <protection locked="0"/>
    </xf>
    <xf numFmtId="0" fontId="19" fillId="0" borderId="23" xfId="0" applyFont="1" applyFill="1" applyBorder="1" applyAlignment="1" applyProtection="1">
      <alignment horizontal="right" vertical="center"/>
      <protection locked="0"/>
    </xf>
    <xf numFmtId="0" fontId="2" fillId="0" borderId="0" xfId="0" applyFont="1" applyFill="1" applyBorder="1" applyAlignment="1">
      <alignment vertical="center"/>
    </xf>
    <xf numFmtId="0" fontId="24" fillId="2" borderId="0" xfId="0" applyFont="1" applyFill="1" applyAlignment="1" applyProtection="1">
      <alignment vertical="center"/>
    </xf>
    <xf numFmtId="0" fontId="19" fillId="0" borderId="0" xfId="0" applyFont="1" applyAlignment="1" applyProtection="1">
      <alignment vertical="center"/>
    </xf>
    <xf numFmtId="0" fontId="24" fillId="0" borderId="0" xfId="0" applyFont="1" applyFill="1" applyAlignment="1" applyProtection="1">
      <alignment vertical="center"/>
    </xf>
    <xf numFmtId="0" fontId="25" fillId="0" borderId="0" xfId="0" applyNumberFormat="1" applyFont="1" applyFill="1" applyAlignment="1" applyProtection="1">
      <alignment horizontal="left" vertical="center" wrapText="1"/>
    </xf>
    <xf numFmtId="0" fontId="19" fillId="0" borderId="0" xfId="0" applyFont="1" applyFill="1" applyAlignment="1" applyProtection="1">
      <alignment vertical="center"/>
    </xf>
    <xf numFmtId="0" fontId="7" fillId="0" borderId="0" xfId="0" applyFont="1" applyAlignment="1" applyProtection="1"/>
    <xf numFmtId="0" fontId="15" fillId="3" borderId="0" xfId="0" applyFont="1" applyFill="1" applyAlignment="1" applyProtection="1">
      <alignment horizontal="center"/>
    </xf>
    <xf numFmtId="49" fontId="26" fillId="3" borderId="0" xfId="0" applyNumberFormat="1" applyFont="1" applyFill="1" applyBorder="1" applyAlignment="1" applyProtection="1">
      <alignment horizontal="left"/>
    </xf>
    <xf numFmtId="0" fontId="26" fillId="3" borderId="0" xfId="0" applyFont="1" applyFill="1" applyAlignment="1" applyProtection="1"/>
    <xf numFmtId="168" fontId="26" fillId="3" borderId="0" xfId="0" applyNumberFormat="1" applyFont="1" applyFill="1" applyAlignment="1" applyProtection="1">
      <alignment horizontal="right"/>
    </xf>
    <xf numFmtId="0" fontId="15" fillId="3" borderId="0" xfId="0" applyFont="1" applyFill="1" applyAlignment="1" applyProtection="1"/>
    <xf numFmtId="165" fontId="15" fillId="4" borderId="0" xfId="0" applyNumberFormat="1" applyFont="1" applyFill="1" applyBorder="1" applyAlignment="1" applyProtection="1"/>
    <xf numFmtId="0" fontId="15" fillId="4" borderId="0" xfId="0" applyFont="1" applyFill="1" applyBorder="1" applyAlignment="1" applyProtection="1"/>
    <xf numFmtId="0" fontId="4" fillId="0" borderId="0" xfId="0" applyFont="1" applyBorder="1" applyAlignment="1" applyProtection="1"/>
    <xf numFmtId="0" fontId="7" fillId="3" borderId="25" xfId="0" applyFont="1" applyFill="1" applyBorder="1" applyAlignment="1" applyProtection="1"/>
    <xf numFmtId="49" fontId="7" fillId="3" borderId="0" xfId="0" applyNumberFormat="1" applyFont="1" applyFill="1" applyBorder="1" applyAlignment="1" applyProtection="1">
      <alignment horizontal="center"/>
    </xf>
    <xf numFmtId="165" fontId="26" fillId="3" borderId="0" xfId="0" applyNumberFormat="1" applyFont="1" applyFill="1" applyAlignment="1" applyProtection="1">
      <alignment horizontal="center"/>
    </xf>
    <xf numFmtId="166" fontId="26" fillId="3" borderId="0" xfId="0" applyNumberFormat="1" applyFont="1" applyFill="1" applyAlignment="1" applyProtection="1">
      <alignment horizontal="center"/>
    </xf>
    <xf numFmtId="0" fontId="7" fillId="3" borderId="0" xfId="0" applyFont="1" applyFill="1" applyBorder="1" applyAlignment="1" applyProtection="1"/>
    <xf numFmtId="0" fontId="27" fillId="0" borderId="0" xfId="0" applyFont="1" applyBorder="1" applyAlignment="1"/>
    <xf numFmtId="0" fontId="7" fillId="3" borderId="0" xfId="0" applyFont="1" applyFill="1" applyAlignment="1" applyProtection="1"/>
    <xf numFmtId="0" fontId="1" fillId="0" borderId="0" xfId="0" applyFont="1" applyBorder="1" applyAlignment="1"/>
    <xf numFmtId="3" fontId="7" fillId="0" borderId="26" xfId="0" applyNumberFormat="1" applyFont="1" applyBorder="1" applyAlignment="1" applyProtection="1">
      <protection locked="0"/>
    </xf>
    <xf numFmtId="0" fontId="7" fillId="0" borderId="26" xfId="0" applyFont="1" applyBorder="1" applyAlignment="1" applyProtection="1">
      <protection locked="0"/>
    </xf>
    <xf numFmtId="0" fontId="29" fillId="0" borderId="0" xfId="0" applyFont="1" applyFill="1" applyBorder="1" applyAlignment="1"/>
    <xf numFmtId="0" fontId="28" fillId="3" borderId="0" xfId="0" applyFont="1" applyFill="1" applyAlignment="1" applyProtection="1">
      <alignment horizontal="left"/>
    </xf>
    <xf numFmtId="0" fontId="1" fillId="0" borderId="0" xfId="0" applyFont="1" applyFill="1" applyBorder="1" applyAlignment="1"/>
    <xf numFmtId="0" fontId="7" fillId="0" borderId="0" xfId="0" applyFont="1" applyFill="1" applyAlignment="1" applyProtection="1"/>
    <xf numFmtId="0" fontId="7" fillId="0" borderId="0" xfId="0" applyFont="1" applyFill="1" applyBorder="1" applyAlignment="1" applyProtection="1"/>
    <xf numFmtId="0" fontId="7" fillId="0" borderId="0" xfId="0" applyFont="1" applyBorder="1" applyAlignment="1" applyProtection="1"/>
    <xf numFmtId="3" fontId="30" fillId="0" borderId="0" xfId="4" applyNumberFormat="1" applyFont="1" applyFill="1" applyBorder="1" applyAlignment="1">
      <alignment horizontal="left"/>
    </xf>
    <xf numFmtId="165" fontId="26" fillId="3" borderId="0" xfId="0" applyNumberFormat="1" applyFont="1" applyFill="1" applyBorder="1" applyAlignment="1" applyProtection="1">
      <alignment horizontal="center"/>
    </xf>
    <xf numFmtId="0" fontId="27" fillId="0" borderId="0" xfId="0" applyFont="1" applyFill="1" applyBorder="1" applyAlignment="1"/>
    <xf numFmtId="49" fontId="28" fillId="3" borderId="0" xfId="0" applyNumberFormat="1" applyFont="1" applyFill="1" applyBorder="1" applyAlignment="1" applyProtection="1">
      <alignment horizontal="left"/>
    </xf>
    <xf numFmtId="0" fontId="7" fillId="0" borderId="0" xfId="0" applyFont="1" applyAlignment="1" applyProtection="1">
      <alignment horizontal="center"/>
    </xf>
    <xf numFmtId="0" fontId="2" fillId="0" borderId="11" xfId="0" applyFont="1" applyBorder="1" applyAlignment="1">
      <alignment vertical="center"/>
    </xf>
    <xf numFmtId="0" fontId="5" fillId="3" borderId="27" xfId="0" applyFont="1" applyFill="1" applyBorder="1" applyAlignment="1" applyProtection="1">
      <alignment horizontal="right"/>
    </xf>
    <xf numFmtId="0" fontId="2" fillId="0" borderId="28" xfId="0" applyFont="1" applyFill="1" applyBorder="1" applyAlignment="1">
      <alignment horizontal="center" vertical="center"/>
    </xf>
    <xf numFmtId="0" fontId="2" fillId="0" borderId="0" xfId="0" applyFont="1" applyFill="1" applyBorder="1" applyAlignment="1">
      <alignment horizontal="center" vertical="center"/>
    </xf>
    <xf numFmtId="0" fontId="19" fillId="0" borderId="0" xfId="0" applyFont="1" applyFill="1" applyBorder="1" applyAlignment="1">
      <alignment wrapText="1"/>
    </xf>
    <xf numFmtId="0" fontId="19" fillId="3" borderId="28" xfId="0" applyFont="1" applyFill="1" applyBorder="1" applyAlignment="1">
      <alignment vertical="top"/>
    </xf>
    <xf numFmtId="0" fontId="19" fillId="3" borderId="29" xfId="0" applyFont="1" applyFill="1" applyBorder="1" applyAlignment="1">
      <alignment vertical="top"/>
    </xf>
    <xf numFmtId="0" fontId="19" fillId="3" borderId="20" xfId="0" applyFont="1" applyFill="1" applyBorder="1" applyAlignment="1">
      <alignment horizontal="center" vertical="center" textRotation="90" wrapText="1"/>
    </xf>
    <xf numFmtId="0" fontId="19" fillId="3" borderId="0" xfId="0" applyFont="1" applyFill="1" applyBorder="1" applyAlignment="1">
      <alignment horizontal="center" vertical="center" textRotation="90" wrapText="1"/>
    </xf>
    <xf numFmtId="0" fontId="19" fillId="3" borderId="30" xfId="0" applyFont="1" applyFill="1" applyBorder="1" applyAlignment="1">
      <alignment horizontal="center" vertical="center" textRotation="90" wrapText="1"/>
    </xf>
    <xf numFmtId="0" fontId="19" fillId="0" borderId="11" xfId="0" applyFont="1" applyBorder="1" applyAlignment="1">
      <alignment horizontal="center" vertical="center"/>
    </xf>
    <xf numFmtId="0" fontId="19" fillId="0" borderId="28" xfId="0" applyFont="1" applyFill="1" applyBorder="1" applyAlignment="1">
      <alignment vertical="center"/>
    </xf>
    <xf numFmtId="0" fontId="19" fillId="0" borderId="33" xfId="0" applyFont="1" applyBorder="1" applyAlignment="1">
      <alignment horizontal="center" vertical="center"/>
    </xf>
    <xf numFmtId="0" fontId="19" fillId="3" borderId="9" xfId="0" applyFont="1" applyFill="1" applyBorder="1" applyAlignment="1">
      <alignment vertical="center"/>
    </xf>
    <xf numFmtId="0" fontId="19" fillId="3" borderId="34" xfId="0" applyFont="1" applyFill="1" applyBorder="1" applyAlignment="1" applyProtection="1">
      <alignment horizontal="right" vertical="center"/>
      <protection locked="0"/>
    </xf>
    <xf numFmtId="0" fontId="2" fillId="0" borderId="8" xfId="0" applyFont="1" applyBorder="1" applyAlignment="1">
      <alignment vertical="center"/>
    </xf>
    <xf numFmtId="0" fontId="19" fillId="3" borderId="35" xfId="0" applyFont="1" applyFill="1" applyBorder="1" applyAlignment="1" applyProtection="1">
      <alignment horizontal="right" vertical="center"/>
      <protection locked="0"/>
    </xf>
    <xf numFmtId="0" fontId="19" fillId="0" borderId="9" xfId="0" applyFont="1" applyBorder="1" applyAlignment="1">
      <alignment horizontal="center" vertical="center"/>
    </xf>
    <xf numFmtId="0" fontId="19" fillId="0" borderId="36" xfId="0" applyFont="1" applyBorder="1" applyAlignment="1">
      <alignment horizontal="center" vertical="center"/>
    </xf>
    <xf numFmtId="0" fontId="19" fillId="3" borderId="36" xfId="0" applyFont="1" applyFill="1" applyBorder="1" applyAlignment="1">
      <alignment vertical="center"/>
    </xf>
    <xf numFmtId="0" fontId="2" fillId="0" borderId="37" xfId="0" applyFont="1" applyBorder="1" applyAlignment="1">
      <alignment vertical="center"/>
    </xf>
    <xf numFmtId="0" fontId="19" fillId="3" borderId="29" xfId="0" applyFont="1" applyFill="1" applyBorder="1" applyAlignment="1">
      <alignment vertical="center"/>
    </xf>
    <xf numFmtId="0" fontId="18" fillId="0" borderId="28" xfId="0" applyFont="1" applyFill="1" applyBorder="1" applyAlignment="1">
      <alignment vertical="center"/>
    </xf>
    <xf numFmtId="0" fontId="18" fillId="0" borderId="0" xfId="0" applyFont="1" applyFill="1" applyBorder="1" applyAlignment="1">
      <alignment vertical="center"/>
    </xf>
    <xf numFmtId="0" fontId="19" fillId="0" borderId="11" xfId="0" applyFont="1" applyBorder="1" applyAlignment="1">
      <alignment vertical="center"/>
    </xf>
    <xf numFmtId="0" fontId="2" fillId="0" borderId="28" xfId="0" applyFont="1" applyFill="1" applyBorder="1" applyAlignment="1">
      <alignment vertical="center"/>
    </xf>
    <xf numFmtId="0" fontId="19" fillId="0" borderId="11" xfId="0" applyFont="1" applyBorder="1" applyAlignment="1">
      <alignment horizontal="center"/>
    </xf>
    <xf numFmtId="0" fontId="2" fillId="0" borderId="39" xfId="0" applyFont="1" applyBorder="1" applyAlignment="1">
      <alignment vertical="center"/>
    </xf>
    <xf numFmtId="0" fontId="2" fillId="0" borderId="39" xfId="0" applyFont="1" applyFill="1" applyBorder="1" applyAlignment="1">
      <alignment vertical="center"/>
    </xf>
    <xf numFmtId="0" fontId="19" fillId="0" borderId="0" xfId="0" applyFont="1" applyFill="1" applyBorder="1"/>
    <xf numFmtId="0" fontId="19" fillId="0" borderId="20" xfId="0" applyFont="1" applyFill="1" applyBorder="1" applyAlignment="1">
      <alignment vertical="center"/>
    </xf>
    <xf numFmtId="0" fontId="2" fillId="0" borderId="20" xfId="0" applyFont="1" applyFill="1" applyBorder="1" applyAlignment="1">
      <alignment vertical="center"/>
    </xf>
    <xf numFmtId="0" fontId="19" fillId="0" borderId="0" xfId="0" applyFont="1" applyBorder="1" applyAlignment="1">
      <alignment horizontal="center"/>
    </xf>
    <xf numFmtId="0" fontId="31" fillId="3" borderId="34" xfId="0" applyFont="1" applyFill="1" applyBorder="1" applyAlignment="1" applyProtection="1">
      <alignment horizontal="right" vertical="center"/>
    </xf>
    <xf numFmtId="0" fontId="31" fillId="3" borderId="35" xfId="0" applyFont="1" applyFill="1" applyBorder="1" applyAlignment="1" applyProtection="1">
      <alignment horizontal="right" vertical="center"/>
    </xf>
    <xf numFmtId="0" fontId="19" fillId="3" borderId="40" xfId="0" applyFont="1" applyFill="1" applyBorder="1" applyAlignment="1" applyProtection="1">
      <alignment horizontal="right" vertical="center"/>
    </xf>
    <xf numFmtId="0" fontId="19" fillId="3" borderId="20" xfId="0" applyFont="1" applyFill="1" applyBorder="1" applyAlignment="1" applyProtection="1">
      <alignment horizontal="center" vertical="center" textRotation="90" wrapText="1"/>
    </xf>
    <xf numFmtId="0" fontId="19" fillId="3" borderId="0" xfId="0" applyFont="1" applyFill="1" applyBorder="1" applyAlignment="1" applyProtection="1">
      <alignment horizontal="center" vertical="center" textRotation="90" wrapText="1"/>
    </xf>
    <xf numFmtId="0" fontId="28" fillId="3" borderId="0" xfId="0" applyFont="1" applyFill="1" applyBorder="1" applyAlignment="1" applyProtection="1">
      <alignment horizontal="left"/>
    </xf>
    <xf numFmtId="0" fontId="1" fillId="3" borderId="0" xfId="0" applyFont="1" applyFill="1" applyBorder="1" applyAlignment="1" applyProtection="1">
      <alignment horizontal="center"/>
    </xf>
    <xf numFmtId="3" fontId="7" fillId="3" borderId="26" xfId="0" applyNumberFormat="1" applyFont="1" applyFill="1" applyBorder="1" applyAlignment="1" applyProtection="1"/>
    <xf numFmtId="0" fontId="0" fillId="0" borderId="0" xfId="0" applyAlignment="1"/>
    <xf numFmtId="0" fontId="19" fillId="0" borderId="41" xfId="0" applyFont="1" applyFill="1" applyBorder="1" applyAlignment="1" applyProtection="1">
      <alignment horizontal="right" vertical="center"/>
      <protection locked="0"/>
    </xf>
    <xf numFmtId="0" fontId="1" fillId="0" borderId="0" xfId="0" applyFont="1"/>
    <xf numFmtId="0" fontId="19" fillId="0" borderId="44" xfId="0" applyFont="1" applyFill="1" applyBorder="1" applyAlignment="1" applyProtection="1">
      <alignment horizontal="right" vertical="center"/>
      <protection locked="0"/>
    </xf>
    <xf numFmtId="0" fontId="19" fillId="3" borderId="46" xfId="0" applyFont="1" applyFill="1" applyBorder="1" applyAlignment="1" applyProtection="1">
      <alignment horizontal="right" vertical="center"/>
      <protection locked="0"/>
    </xf>
    <xf numFmtId="0" fontId="13" fillId="3" borderId="35" xfId="0" applyFont="1" applyFill="1" applyBorder="1" applyAlignment="1" applyProtection="1">
      <alignment horizontal="right" vertical="center"/>
      <protection locked="0"/>
    </xf>
    <xf numFmtId="0" fontId="19" fillId="0" borderId="47" xfId="0" applyFont="1" applyFill="1" applyBorder="1" applyAlignment="1" applyProtection="1">
      <alignment horizontal="right" vertical="center"/>
      <protection locked="0"/>
    </xf>
    <xf numFmtId="0" fontId="2" fillId="0" borderId="50" xfId="0" applyFont="1" applyBorder="1" applyAlignment="1">
      <alignment horizontal="center" vertical="center"/>
    </xf>
    <xf numFmtId="0" fontId="19" fillId="3" borderId="42" xfId="0" applyFont="1" applyFill="1" applyBorder="1" applyAlignment="1">
      <alignment vertical="top"/>
    </xf>
    <xf numFmtId="0" fontId="19" fillId="3" borderId="51" xfId="0" applyFont="1" applyFill="1" applyBorder="1" applyAlignment="1">
      <alignment vertical="top"/>
    </xf>
    <xf numFmtId="0" fontId="2" fillId="0" borderId="12" xfId="0" applyFont="1" applyBorder="1" applyAlignment="1">
      <alignment vertical="center"/>
    </xf>
    <xf numFmtId="0" fontId="19" fillId="0" borderId="12" xfId="0" applyFont="1" applyBorder="1" applyAlignment="1">
      <alignment vertical="center"/>
    </xf>
    <xf numFmtId="0" fontId="19" fillId="0" borderId="52" xfId="0" applyFont="1" applyBorder="1" applyAlignment="1">
      <alignment vertical="center"/>
    </xf>
    <xf numFmtId="0" fontId="2" fillId="0" borderId="13" xfId="0" applyFont="1" applyBorder="1" applyAlignment="1">
      <alignment vertical="center"/>
    </xf>
    <xf numFmtId="0" fontId="2" fillId="0" borderId="13" xfId="0" applyFont="1" applyFill="1" applyBorder="1" applyAlignment="1">
      <alignment vertical="center"/>
    </xf>
    <xf numFmtId="0" fontId="19" fillId="0" borderId="12" xfId="0" applyFont="1" applyBorder="1"/>
    <xf numFmtId="0" fontId="19" fillId="0" borderId="12" xfId="0" applyFont="1" applyFill="1" applyBorder="1"/>
    <xf numFmtId="0" fontId="19" fillId="0" borderId="52" xfId="0" applyFont="1" applyBorder="1"/>
    <xf numFmtId="0" fontId="19" fillId="3" borderId="53" xfId="0" applyFont="1" applyFill="1" applyBorder="1" applyAlignment="1">
      <alignment vertical="center"/>
    </xf>
    <xf numFmtId="0" fontId="19" fillId="3" borderId="51" xfId="0" applyFont="1" applyFill="1" applyBorder="1" applyAlignment="1">
      <alignment vertical="center"/>
    </xf>
    <xf numFmtId="0" fontId="19" fillId="0" borderId="12" xfId="0" applyFont="1" applyFill="1" applyBorder="1" applyAlignment="1">
      <alignment vertical="center"/>
    </xf>
    <xf numFmtId="0" fontId="19" fillId="0" borderId="49" xfId="0" applyFont="1" applyBorder="1" applyAlignment="1">
      <alignment vertical="center"/>
    </xf>
    <xf numFmtId="0" fontId="2" fillId="0" borderId="49" xfId="0" applyFont="1" applyFill="1" applyBorder="1" applyAlignment="1">
      <alignment vertical="center"/>
    </xf>
    <xf numFmtId="0" fontId="19" fillId="0" borderId="54" xfId="0" applyFont="1" applyBorder="1" applyAlignment="1">
      <alignment vertical="center"/>
    </xf>
    <xf numFmtId="0" fontId="27" fillId="0" borderId="0" xfId="0" applyFont="1" applyBorder="1" applyAlignment="1" applyProtection="1"/>
    <xf numFmtId="0" fontId="7" fillId="3" borderId="26" xfId="0" applyFont="1" applyFill="1" applyBorder="1" applyAlignment="1" applyProtection="1"/>
    <xf numFmtId="165" fontId="15" fillId="3" borderId="0" xfId="0" applyNumberFormat="1" applyFont="1" applyFill="1" applyAlignment="1" applyProtection="1"/>
    <xf numFmtId="49" fontId="1" fillId="0" borderId="0" xfId="0" applyNumberFormat="1" applyFont="1" applyFill="1" applyBorder="1"/>
    <xf numFmtId="0" fontId="7" fillId="3" borderId="55" xfId="0" applyFont="1" applyFill="1" applyBorder="1" applyAlignment="1" applyProtection="1"/>
    <xf numFmtId="166" fontId="26" fillId="4" borderId="0" xfId="0" applyNumberFormat="1" applyFont="1" applyFill="1" applyBorder="1" applyAlignment="1" applyProtection="1">
      <alignment horizontal="center"/>
    </xf>
    <xf numFmtId="166" fontId="26" fillId="3" borderId="0" xfId="0" applyNumberFormat="1" applyFont="1" applyFill="1" applyBorder="1" applyAlignment="1" applyProtection="1">
      <alignment horizontal="center"/>
    </xf>
    <xf numFmtId="3" fontId="35" fillId="0" borderId="0" xfId="4" applyNumberFormat="1" applyFont="1" applyFill="1" applyBorder="1" applyAlignment="1">
      <alignment horizontal="left"/>
    </xf>
    <xf numFmtId="0" fontId="1" fillId="0" borderId="0" xfId="0" applyFont="1" applyBorder="1"/>
    <xf numFmtId="0" fontId="7" fillId="0" borderId="56" xfId="0" applyFont="1" applyBorder="1" applyAlignment="1" applyProtection="1"/>
    <xf numFmtId="0" fontId="10" fillId="0" borderId="56" xfId="0" applyFont="1" applyBorder="1" applyAlignment="1" applyProtection="1"/>
    <xf numFmtId="0" fontId="7" fillId="3" borderId="57" xfId="0" applyFont="1" applyFill="1" applyBorder="1" applyAlignment="1" applyProtection="1"/>
    <xf numFmtId="49" fontId="7" fillId="3" borderId="56" xfId="0" applyNumberFormat="1" applyFont="1" applyFill="1" applyBorder="1" applyAlignment="1" applyProtection="1">
      <alignment horizontal="center"/>
    </xf>
    <xf numFmtId="165" fontId="15" fillId="3" borderId="56" xfId="0" applyNumberFormat="1" applyFont="1" applyFill="1" applyBorder="1" applyAlignment="1" applyProtection="1"/>
    <xf numFmtId="166" fontId="26" fillId="3" borderId="56" xfId="0" applyNumberFormat="1" applyFont="1" applyFill="1" applyBorder="1" applyAlignment="1" applyProtection="1">
      <alignment horizontal="center"/>
    </xf>
    <xf numFmtId="0" fontId="7" fillId="3" borderId="56" xfId="0" applyFont="1" applyFill="1" applyBorder="1" applyAlignment="1" applyProtection="1"/>
    <xf numFmtId="0" fontId="10" fillId="0" borderId="0" xfId="0" applyFont="1"/>
    <xf numFmtId="0" fontId="7" fillId="3" borderId="0" xfId="0" applyFont="1" applyFill="1" applyBorder="1" applyAlignment="1" applyProtection="1">
      <alignment horizontal="left"/>
    </xf>
    <xf numFmtId="0" fontId="5" fillId="3" borderId="0" xfId="0" applyFont="1" applyFill="1" applyBorder="1" applyAlignment="1" applyProtection="1">
      <alignment horizontal="center"/>
    </xf>
    <xf numFmtId="3" fontId="15" fillId="0" borderId="25" xfId="0" applyNumberFormat="1" applyFont="1" applyBorder="1" applyAlignment="1" applyProtection="1"/>
    <xf numFmtId="49" fontId="5" fillId="0" borderId="0" xfId="0" applyNumberFormat="1" applyFont="1" applyFill="1" applyBorder="1"/>
    <xf numFmtId="0" fontId="10" fillId="0" borderId="56" xfId="0" applyFont="1" applyBorder="1"/>
    <xf numFmtId="0" fontId="7" fillId="3" borderId="56" xfId="0" applyFont="1" applyFill="1" applyBorder="1" applyAlignment="1" applyProtection="1">
      <alignment horizontal="left"/>
    </xf>
    <xf numFmtId="0" fontId="5" fillId="3" borderId="56" xfId="0" applyFont="1" applyFill="1" applyBorder="1" applyAlignment="1" applyProtection="1">
      <alignment horizontal="center"/>
    </xf>
    <xf numFmtId="3" fontId="15" fillId="0" borderId="57" xfId="0" applyNumberFormat="1" applyFont="1" applyBorder="1" applyAlignment="1" applyProtection="1"/>
    <xf numFmtId="3" fontId="7" fillId="3" borderId="25" xfId="0" applyNumberFormat="1" applyFont="1" applyFill="1" applyBorder="1" applyAlignment="1" applyProtection="1"/>
    <xf numFmtId="0" fontId="19" fillId="0" borderId="58" xfId="0" applyFont="1" applyBorder="1" applyAlignment="1">
      <alignment horizontal="center" vertical="center" textRotation="90" wrapText="1"/>
    </xf>
    <xf numFmtId="0" fontId="19" fillId="3" borderId="59" xfId="0" applyFont="1" applyFill="1" applyBorder="1" applyAlignment="1">
      <alignment horizontal="center" vertical="center" textRotation="90" wrapText="1"/>
    </xf>
    <xf numFmtId="0" fontId="19" fillId="0" borderId="60" xfId="0" applyFont="1" applyBorder="1" applyAlignment="1">
      <alignment horizontal="center" vertical="center" textRotation="90" wrapText="1"/>
    </xf>
    <xf numFmtId="0" fontId="19" fillId="0" borderId="61" xfId="0" applyFont="1" applyBorder="1" applyAlignment="1">
      <alignment horizontal="center" vertical="center" textRotation="90" wrapText="1"/>
    </xf>
    <xf numFmtId="0" fontId="19" fillId="0" borderId="62" xfId="0" applyFont="1" applyBorder="1" applyAlignment="1">
      <alignment horizontal="center" vertical="center" textRotation="90" wrapText="1"/>
    </xf>
    <xf numFmtId="0" fontId="19" fillId="0" borderId="63" xfId="0" applyFont="1" applyFill="1" applyBorder="1" applyAlignment="1">
      <alignment horizontal="center" vertical="center" textRotation="90" wrapText="1"/>
    </xf>
    <xf numFmtId="0" fontId="19" fillId="0" borderId="64" xfId="0" applyFont="1" applyFill="1" applyBorder="1" applyAlignment="1">
      <alignment horizontal="center" vertical="center" textRotation="90" wrapText="1"/>
    </xf>
    <xf numFmtId="0" fontId="7" fillId="3" borderId="65" xfId="0" applyFont="1" applyFill="1" applyBorder="1" applyProtection="1"/>
    <xf numFmtId="0" fontId="5" fillId="3" borderId="65" xfId="0" applyFont="1" applyFill="1" applyBorder="1" applyAlignment="1" applyProtection="1">
      <alignment horizontal="right"/>
    </xf>
    <xf numFmtId="0" fontId="4" fillId="3" borderId="65" xfId="0" applyFont="1" applyFill="1" applyBorder="1" applyAlignment="1" applyProtection="1"/>
    <xf numFmtId="0" fontId="15" fillId="3" borderId="65" xfId="0" applyFont="1" applyFill="1" applyBorder="1" applyAlignment="1" applyProtection="1">
      <alignment horizontal="right"/>
    </xf>
    <xf numFmtId="0" fontId="34" fillId="3" borderId="65" xfId="0" applyFont="1" applyFill="1" applyBorder="1" applyAlignment="1" applyProtection="1">
      <alignment horizontal="right"/>
    </xf>
    <xf numFmtId="0" fontId="19" fillId="3" borderId="34" xfId="0" applyFont="1" applyFill="1" applyBorder="1" applyAlignment="1" applyProtection="1">
      <alignment horizontal="right" vertical="center"/>
    </xf>
    <xf numFmtId="0" fontId="19" fillId="3" borderId="35" xfId="0" applyFont="1" applyFill="1" applyBorder="1" applyAlignment="1" applyProtection="1">
      <alignment horizontal="right" vertical="center"/>
    </xf>
    <xf numFmtId="0" fontId="19" fillId="0" borderId="0" xfId="0" applyFont="1" applyBorder="1" applyAlignment="1">
      <alignment horizontal="right"/>
    </xf>
    <xf numFmtId="0" fontId="19" fillId="0" borderId="0" xfId="0" applyFont="1" applyFill="1" applyBorder="1" applyAlignment="1">
      <alignment horizontal="right"/>
    </xf>
    <xf numFmtId="0" fontId="23" fillId="0" borderId="0" xfId="0" applyFont="1" applyFill="1" applyBorder="1" applyAlignment="1">
      <alignment horizontal="right"/>
    </xf>
    <xf numFmtId="0" fontId="4" fillId="0" borderId="0" xfId="0" applyFont="1"/>
    <xf numFmtId="49" fontId="4" fillId="0" borderId="0" xfId="0" applyNumberFormat="1" applyFont="1" applyFill="1" applyAlignment="1" applyProtection="1"/>
    <xf numFmtId="0" fontId="17" fillId="4" borderId="0" xfId="0" applyFont="1" applyFill="1" applyBorder="1" applyAlignment="1" applyProtection="1">
      <alignment horizontal="left" vertical="top"/>
    </xf>
    <xf numFmtId="0" fontId="37" fillId="0" borderId="0" xfId="0" applyFont="1" applyFill="1" applyBorder="1" applyAlignment="1">
      <alignment vertical="center"/>
    </xf>
    <xf numFmtId="49" fontId="5" fillId="0" borderId="0" xfId="0" applyNumberFormat="1" applyFont="1" applyAlignment="1" applyProtection="1">
      <alignment horizontal="left" indent="3"/>
    </xf>
    <xf numFmtId="0" fontId="0" fillId="0" borderId="0" xfId="0" applyProtection="1">
      <protection locked="0"/>
    </xf>
    <xf numFmtId="0" fontId="0" fillId="0" borderId="0" xfId="0" applyAlignment="1">
      <alignment wrapText="1"/>
    </xf>
    <xf numFmtId="0" fontId="0" fillId="0" borderId="0" xfId="0" applyAlignment="1">
      <alignment horizontal="center"/>
    </xf>
    <xf numFmtId="0" fontId="18" fillId="0" borderId="0" xfId="0" applyFont="1" applyAlignment="1"/>
    <xf numFmtId="0" fontId="4" fillId="0" borderId="0" xfId="0" quotePrefix="1" applyFont="1" applyFill="1" applyAlignment="1"/>
    <xf numFmtId="0" fontId="4" fillId="0" borderId="0" xfId="0" applyNumberFormat="1" applyFont="1" applyFill="1" applyAlignment="1"/>
    <xf numFmtId="0" fontId="4" fillId="0" borderId="0" xfId="0" applyFont="1" applyFill="1" applyAlignment="1"/>
    <xf numFmtId="0" fontId="5" fillId="0" borderId="0" xfId="0" applyFont="1" applyAlignment="1"/>
    <xf numFmtId="3" fontId="5" fillId="0" borderId="0" xfId="0" applyNumberFormat="1" applyFont="1" applyAlignment="1" applyProtection="1">
      <alignment wrapText="1"/>
    </xf>
    <xf numFmtId="0" fontId="36" fillId="5" borderId="0" xfId="0" applyNumberFormat="1" applyFont="1" applyFill="1" applyBorder="1" applyAlignment="1" applyProtection="1">
      <alignment horizontal="center" wrapText="1"/>
    </xf>
    <xf numFmtId="49" fontId="36" fillId="0" borderId="0" xfId="0" applyNumberFormat="1" applyFont="1" applyAlignment="1" applyProtection="1">
      <alignment wrapText="1"/>
    </xf>
    <xf numFmtId="0" fontId="5" fillId="5" borderId="0" xfId="0" applyNumberFormat="1" applyFont="1" applyFill="1" applyBorder="1" applyAlignment="1" applyProtection="1">
      <alignment wrapText="1"/>
    </xf>
    <xf numFmtId="49" fontId="5" fillId="5" borderId="0" xfId="0" applyNumberFormat="1" applyFont="1" applyFill="1" applyBorder="1" applyAlignment="1" applyProtection="1">
      <alignment wrapText="1"/>
    </xf>
    <xf numFmtId="49" fontId="36" fillId="5" borderId="0" xfId="0" applyNumberFormat="1" applyFont="1" applyFill="1" applyBorder="1" applyAlignment="1" applyProtection="1">
      <alignment wrapText="1"/>
    </xf>
    <xf numFmtId="49" fontId="5" fillId="5" borderId="0" xfId="0" applyNumberFormat="1" applyFont="1" applyFill="1" applyBorder="1" applyAlignment="1" applyProtection="1">
      <alignment horizontal="center" wrapText="1"/>
    </xf>
    <xf numFmtId="0" fontId="36" fillId="5" borderId="0" xfId="0" applyNumberFormat="1" applyFont="1" applyFill="1" applyBorder="1" applyAlignment="1" applyProtection="1">
      <alignment horizontal="right" wrapText="1"/>
    </xf>
    <xf numFmtId="0" fontId="5" fillId="5" borderId="0" xfId="0" applyNumberFormat="1" applyFont="1" applyFill="1" applyBorder="1" applyAlignment="1" applyProtection="1">
      <alignment horizontal="center" wrapText="1"/>
    </xf>
    <xf numFmtId="49" fontId="10" fillId="0" borderId="0" xfId="0" applyNumberFormat="1" applyFont="1" applyBorder="1" applyAlignment="1" applyProtection="1"/>
    <xf numFmtId="49" fontId="5" fillId="0" borderId="0" xfId="0" applyNumberFormat="1" applyFont="1" applyBorder="1" applyAlignment="1" applyProtection="1">
      <alignment wrapText="1"/>
    </xf>
    <xf numFmtId="49" fontId="4" fillId="3" borderId="16" xfId="0" applyNumberFormat="1" applyFont="1" applyFill="1" applyBorder="1" applyAlignment="1" applyProtection="1">
      <alignment wrapText="1"/>
    </xf>
    <xf numFmtId="1" fontId="5" fillId="5" borderId="16" xfId="0" applyNumberFormat="1" applyFont="1" applyFill="1" applyBorder="1" applyAlignment="1" applyProtection="1">
      <alignment horizontal="left" wrapText="1"/>
    </xf>
    <xf numFmtId="0" fontId="5" fillId="5" borderId="16" xfId="0" applyNumberFormat="1" applyFont="1" applyFill="1" applyBorder="1" applyAlignment="1" applyProtection="1">
      <alignment horizontal="left" wrapText="1"/>
    </xf>
    <xf numFmtId="3" fontId="4" fillId="5" borderId="16" xfId="0" applyNumberFormat="1" applyFont="1" applyFill="1" applyBorder="1" applyAlignment="1" applyProtection="1">
      <alignment wrapText="1"/>
    </xf>
    <xf numFmtId="0" fontId="5" fillId="0" borderId="0" xfId="0" applyNumberFormat="1" applyFont="1" applyAlignment="1"/>
    <xf numFmtId="49" fontId="10" fillId="0" borderId="0" xfId="0" applyNumberFormat="1" applyFont="1" applyAlignment="1" applyProtection="1">
      <alignment wrapText="1"/>
    </xf>
    <xf numFmtId="0" fontId="5" fillId="0" borderId="0" xfId="0" applyFont="1" applyFill="1" applyAlignment="1"/>
    <xf numFmtId="0" fontId="5" fillId="0" borderId="0" xfId="0" applyNumberFormat="1" applyFont="1" applyFill="1" applyAlignment="1"/>
    <xf numFmtId="49" fontId="5" fillId="3" borderId="16" xfId="0" applyNumberFormat="1" applyFont="1" applyFill="1" applyBorder="1" applyAlignment="1" applyProtection="1">
      <alignment horizontal="left" wrapText="1"/>
    </xf>
    <xf numFmtId="3" fontId="5" fillId="5" borderId="66" xfId="0" applyNumberFormat="1" applyFont="1" applyFill="1" applyBorder="1" applyAlignment="1" applyProtection="1">
      <alignment wrapText="1"/>
    </xf>
    <xf numFmtId="49" fontId="5" fillId="0" borderId="0" xfId="0" applyNumberFormat="1" applyFont="1" applyFill="1" applyAlignment="1" applyProtection="1">
      <alignment wrapText="1"/>
    </xf>
    <xf numFmtId="3" fontId="5" fillId="5" borderId="67" xfId="0" applyNumberFormat="1" applyFont="1" applyFill="1" applyBorder="1" applyAlignment="1" applyProtection="1">
      <alignment wrapText="1"/>
    </xf>
    <xf numFmtId="0" fontId="5" fillId="3" borderId="16" xfId="0" applyNumberFormat="1" applyFont="1" applyFill="1" applyBorder="1" applyAlignment="1" applyProtection="1">
      <alignment horizontal="center" wrapText="1"/>
    </xf>
    <xf numFmtId="1" fontId="5" fillId="5" borderId="67" xfId="3" applyNumberFormat="1" applyFont="1" applyFill="1" applyBorder="1" applyAlignment="1" applyProtection="1">
      <alignment horizontal="right" wrapText="1"/>
    </xf>
    <xf numFmtId="49" fontId="5" fillId="3" borderId="16" xfId="0" applyNumberFormat="1" applyFont="1" applyFill="1" applyBorder="1" applyAlignment="1" applyProtection="1">
      <alignment horizontal="center" wrapText="1"/>
    </xf>
    <xf numFmtId="9" fontId="4" fillId="5" borderId="68" xfId="3" applyFont="1" applyFill="1" applyBorder="1" applyAlignment="1" applyProtection="1">
      <alignment horizontal="right" wrapText="1"/>
    </xf>
    <xf numFmtId="49" fontId="39" fillId="6" borderId="16" xfId="0" applyNumberFormat="1" applyFont="1" applyFill="1" applyBorder="1" applyAlignment="1" applyProtection="1">
      <alignment wrapText="1"/>
    </xf>
    <xf numFmtId="0" fontId="17" fillId="6" borderId="16" xfId="0" applyNumberFormat="1" applyFont="1" applyFill="1" applyBorder="1" applyAlignment="1" applyProtection="1">
      <alignment horizontal="right" wrapText="1"/>
    </xf>
    <xf numFmtId="0" fontId="5" fillId="0" borderId="0" xfId="0" applyNumberFormat="1" applyFont="1" applyAlignment="1" applyProtection="1"/>
    <xf numFmtId="49" fontId="10" fillId="0" borderId="24" xfId="0" applyNumberFormat="1" applyFont="1" applyBorder="1" applyAlignment="1" applyProtection="1">
      <alignment wrapText="1"/>
    </xf>
    <xf numFmtId="49" fontId="10" fillId="0" borderId="0" xfId="0" applyNumberFormat="1" applyFont="1" applyFill="1" applyBorder="1" applyAlignment="1" applyProtection="1">
      <alignment wrapText="1"/>
    </xf>
    <xf numFmtId="49" fontId="5" fillId="0" borderId="0" xfId="0" applyNumberFormat="1" applyFont="1" applyFill="1" applyBorder="1" applyAlignment="1" applyProtection="1">
      <alignment horizontal="left" wrapText="1"/>
    </xf>
    <xf numFmtId="49" fontId="5" fillId="0" borderId="0" xfId="0" applyNumberFormat="1" applyFont="1" applyFill="1" applyBorder="1" applyAlignment="1" applyProtection="1">
      <alignment wrapText="1"/>
    </xf>
    <xf numFmtId="49" fontId="5" fillId="0" borderId="0" xfId="0" applyNumberFormat="1" applyFont="1" applyFill="1" applyBorder="1" applyAlignment="1" applyProtection="1"/>
    <xf numFmtId="49" fontId="5" fillId="3" borderId="17" xfId="0" applyNumberFormat="1" applyFont="1" applyFill="1" applyBorder="1" applyAlignment="1" applyProtection="1">
      <alignment horizontal="center" wrapText="1"/>
    </xf>
    <xf numFmtId="49" fontId="5" fillId="3" borderId="34" xfId="0" applyNumberFormat="1" applyFont="1" applyFill="1" applyBorder="1" applyAlignment="1" applyProtection="1">
      <alignment horizontal="center" wrapText="1"/>
    </xf>
    <xf numFmtId="49" fontId="5" fillId="3" borderId="41" xfId="0" applyNumberFormat="1" applyFont="1" applyFill="1" applyBorder="1" applyAlignment="1" applyProtection="1">
      <alignment horizontal="center" wrapText="1"/>
    </xf>
    <xf numFmtId="49" fontId="5" fillId="0" borderId="0" xfId="0" applyNumberFormat="1" applyFont="1" applyFill="1" applyBorder="1" applyAlignment="1" applyProtection="1">
      <alignment horizontal="right" wrapText="1"/>
    </xf>
    <xf numFmtId="0" fontId="5" fillId="3" borderId="31" xfId="0" applyNumberFormat="1" applyFont="1" applyFill="1" applyBorder="1" applyAlignment="1" applyProtection="1">
      <alignment horizontal="center" wrapText="1"/>
    </xf>
    <xf numFmtId="3" fontId="4" fillId="5" borderId="69" xfId="0" applyNumberFormat="1" applyFont="1" applyFill="1" applyBorder="1" applyAlignment="1" applyProtection="1">
      <alignment wrapText="1"/>
    </xf>
    <xf numFmtId="0" fontId="5" fillId="0" borderId="0" xfId="0" applyNumberFormat="1" applyFont="1" applyFill="1" applyBorder="1" applyAlignment="1" applyProtection="1">
      <alignment wrapText="1"/>
    </xf>
    <xf numFmtId="1" fontId="4" fillId="0" borderId="0" xfId="0" applyNumberFormat="1" applyFont="1" applyFill="1" applyBorder="1" applyAlignment="1" applyProtection="1">
      <alignment wrapText="1"/>
    </xf>
    <xf numFmtId="1" fontId="5" fillId="0" borderId="0" xfId="0" applyNumberFormat="1" applyFont="1" applyFill="1" applyBorder="1" applyAlignment="1" applyProtection="1">
      <alignment wrapText="1"/>
    </xf>
    <xf numFmtId="1" fontId="11" fillId="0" borderId="0" xfId="0" applyNumberFormat="1" applyFont="1" applyFill="1" applyBorder="1" applyAlignment="1" applyProtection="1">
      <alignment wrapText="1"/>
    </xf>
    <xf numFmtId="3" fontId="4" fillId="5" borderId="70" xfId="0" applyNumberFormat="1" applyFont="1" applyFill="1" applyBorder="1" applyAlignment="1" applyProtection="1">
      <alignment wrapText="1"/>
    </xf>
    <xf numFmtId="10" fontId="5" fillId="0" borderId="0" xfId="3" applyNumberFormat="1" applyFont="1" applyFill="1" applyBorder="1" applyAlignment="1" applyProtection="1">
      <alignment wrapText="1"/>
    </xf>
    <xf numFmtId="0" fontId="4" fillId="0" borderId="0" xfId="0" applyNumberFormat="1" applyFont="1" applyFill="1" applyBorder="1" applyAlignment="1" applyProtection="1">
      <alignment horizontal="right"/>
    </xf>
    <xf numFmtId="0" fontId="5" fillId="0" borderId="0" xfId="0" applyNumberFormat="1" applyFont="1" applyBorder="1" applyAlignment="1" applyProtection="1">
      <alignment wrapText="1"/>
    </xf>
    <xf numFmtId="0" fontId="5" fillId="3" borderId="64" xfId="0" applyNumberFormat="1" applyFont="1" applyFill="1" applyBorder="1" applyAlignment="1" applyProtection="1">
      <alignment horizontal="center" wrapText="1"/>
    </xf>
    <xf numFmtId="3" fontId="5" fillId="5" borderId="71" xfId="0" applyNumberFormat="1" applyFont="1" applyFill="1" applyBorder="1" applyAlignment="1" applyProtection="1">
      <alignment wrapText="1"/>
    </xf>
    <xf numFmtId="3" fontId="4" fillId="5" borderId="72" xfId="0" applyNumberFormat="1" applyFont="1" applyFill="1" applyBorder="1" applyAlignment="1" applyProtection="1">
      <alignment wrapText="1"/>
    </xf>
    <xf numFmtId="49" fontId="11" fillId="3" borderId="31" xfId="0" applyNumberFormat="1" applyFont="1" applyFill="1" applyBorder="1" applyAlignment="1" applyProtection="1">
      <alignment horizontal="center" wrapText="1"/>
    </xf>
    <xf numFmtId="49" fontId="11" fillId="5" borderId="22" xfId="0" applyNumberFormat="1" applyFont="1" applyFill="1" applyBorder="1" applyAlignment="1" applyProtection="1">
      <alignment wrapText="1"/>
    </xf>
    <xf numFmtId="0" fontId="10" fillId="5" borderId="73" xfId="0" applyNumberFormat="1" applyFont="1" applyFill="1" applyBorder="1" applyAlignment="1" applyProtection="1">
      <alignment wrapText="1"/>
    </xf>
    <xf numFmtId="0" fontId="11" fillId="0" borderId="0" xfId="0" applyNumberFormat="1" applyFont="1" applyFill="1" applyBorder="1" applyAlignment="1" applyProtection="1">
      <alignment wrapText="1"/>
    </xf>
    <xf numFmtId="49" fontId="11" fillId="0" borderId="0" xfId="0" applyNumberFormat="1" applyFont="1" applyFill="1" applyBorder="1" applyAlignment="1" applyProtection="1">
      <alignment wrapText="1"/>
    </xf>
    <xf numFmtId="1" fontId="10" fillId="0" borderId="0" xfId="0" applyNumberFormat="1" applyFont="1" applyFill="1" applyBorder="1" applyAlignment="1" applyProtection="1">
      <alignment wrapText="1"/>
    </xf>
    <xf numFmtId="49" fontId="5" fillId="3" borderId="31" xfId="0" applyNumberFormat="1" applyFont="1" applyFill="1" applyBorder="1" applyAlignment="1" applyProtection="1">
      <alignment horizontal="center" wrapText="1"/>
    </xf>
    <xf numFmtId="0" fontId="5" fillId="5" borderId="67" xfId="0" applyNumberFormat="1" applyFont="1" applyFill="1" applyBorder="1" applyAlignment="1" applyProtection="1">
      <alignment wrapText="1"/>
    </xf>
    <xf numFmtId="49" fontId="5" fillId="5" borderId="22" xfId="0" applyNumberFormat="1" applyFont="1" applyFill="1" applyBorder="1" applyAlignment="1" applyProtection="1">
      <alignment wrapText="1"/>
    </xf>
    <xf numFmtId="49" fontId="4" fillId="0" borderId="0" xfId="0" applyNumberFormat="1" applyFont="1" applyFill="1" applyBorder="1" applyAlignment="1" applyProtection="1">
      <alignment wrapText="1"/>
    </xf>
    <xf numFmtId="0" fontId="5" fillId="5" borderId="22" xfId="0" applyNumberFormat="1" applyFont="1" applyFill="1" applyBorder="1" applyAlignment="1" applyProtection="1">
      <alignment wrapText="1"/>
    </xf>
    <xf numFmtId="1" fontId="4" fillId="0" borderId="0" xfId="0" applyNumberFormat="1" applyFont="1" applyFill="1" applyBorder="1" applyAlignment="1" applyProtection="1">
      <alignment horizontal="left" wrapText="1"/>
    </xf>
    <xf numFmtId="10" fontId="4" fillId="5" borderId="74" xfId="3" applyNumberFormat="1" applyFont="1" applyFill="1" applyBorder="1" applyAlignment="1" applyProtection="1">
      <alignment wrapText="1"/>
    </xf>
    <xf numFmtId="10" fontId="4" fillId="0" borderId="0" xfId="3" applyNumberFormat="1" applyFont="1" applyFill="1" applyBorder="1" applyAlignment="1" applyProtection="1">
      <alignment horizontal="right" wrapText="1"/>
    </xf>
    <xf numFmtId="49" fontId="17" fillId="6" borderId="23" xfId="0" applyNumberFormat="1" applyFont="1" applyFill="1" applyBorder="1" applyAlignment="1" applyProtection="1">
      <alignment horizontal="center" wrapText="1"/>
    </xf>
    <xf numFmtId="0" fontId="17" fillId="6" borderId="16" xfId="0" applyNumberFormat="1" applyFont="1" applyFill="1" applyBorder="1" applyAlignment="1" applyProtection="1">
      <alignment horizontal="right"/>
    </xf>
    <xf numFmtId="49" fontId="39" fillId="6" borderId="38" xfId="0" applyNumberFormat="1" applyFont="1" applyFill="1" applyBorder="1" applyAlignment="1" applyProtection="1">
      <alignment wrapText="1"/>
    </xf>
    <xf numFmtId="0" fontId="4" fillId="0" borderId="0" xfId="0" applyNumberFormat="1" applyFont="1" applyFill="1" applyBorder="1" applyAlignment="1" applyProtection="1">
      <alignment horizontal="right" wrapText="1"/>
    </xf>
    <xf numFmtId="49" fontId="10" fillId="0" borderId="24" xfId="0" applyNumberFormat="1" applyFont="1" applyFill="1" applyBorder="1" applyAlignment="1" applyProtection="1">
      <alignment wrapText="1"/>
    </xf>
    <xf numFmtId="49" fontId="10" fillId="0" borderId="20" xfId="0" applyNumberFormat="1" applyFont="1" applyFill="1" applyBorder="1" applyAlignment="1" applyProtection="1">
      <alignment wrapText="1"/>
    </xf>
    <xf numFmtId="49" fontId="9" fillId="0" borderId="0" xfId="0" applyNumberFormat="1" applyFont="1" applyFill="1" applyAlignment="1" applyProtection="1">
      <alignment horizontal="left" wrapText="1"/>
    </xf>
    <xf numFmtId="49" fontId="39" fillId="0" borderId="0" xfId="0" applyNumberFormat="1" applyFont="1" applyFill="1" applyAlignment="1" applyProtection="1">
      <alignment horizontal="left" wrapText="1"/>
    </xf>
    <xf numFmtId="49" fontId="5" fillId="0" borderId="0" xfId="0" applyNumberFormat="1" applyFont="1" applyFill="1" applyAlignment="1" applyProtection="1"/>
    <xf numFmtId="3" fontId="4" fillId="5" borderId="66" xfId="0" applyNumberFormat="1" applyFont="1" applyFill="1" applyBorder="1" applyAlignment="1" applyProtection="1">
      <alignment wrapText="1"/>
    </xf>
    <xf numFmtId="3" fontId="11" fillId="5" borderId="66" xfId="0" applyNumberFormat="1" applyFont="1" applyFill="1" applyBorder="1" applyAlignment="1" applyProtection="1">
      <alignment wrapText="1"/>
    </xf>
    <xf numFmtId="3" fontId="4" fillId="5" borderId="67" xfId="0" applyNumberFormat="1" applyFont="1" applyFill="1" applyBorder="1" applyAlignment="1" applyProtection="1">
      <alignment wrapText="1"/>
    </xf>
    <xf numFmtId="3" fontId="11" fillId="5" borderId="67" xfId="0" applyNumberFormat="1" applyFont="1" applyFill="1" applyBorder="1" applyAlignment="1" applyProtection="1">
      <alignment wrapText="1"/>
    </xf>
    <xf numFmtId="3" fontId="4" fillId="5" borderId="71" xfId="0" applyNumberFormat="1" applyFont="1" applyFill="1" applyBorder="1" applyAlignment="1" applyProtection="1">
      <alignment wrapText="1"/>
    </xf>
    <xf numFmtId="3" fontId="11" fillId="5" borderId="71" xfId="0" applyNumberFormat="1" applyFont="1" applyFill="1" applyBorder="1" applyAlignment="1" applyProtection="1">
      <alignment wrapText="1"/>
    </xf>
    <xf numFmtId="3" fontId="11" fillId="5" borderId="73" xfId="0" applyNumberFormat="1" applyFont="1" applyFill="1" applyBorder="1" applyAlignment="1" applyProtection="1">
      <alignment wrapText="1"/>
    </xf>
    <xf numFmtId="49" fontId="11" fillId="5" borderId="75" xfId="0" applyNumberFormat="1" applyFont="1" applyFill="1" applyBorder="1" applyAlignment="1" applyProtection="1">
      <alignment wrapText="1"/>
    </xf>
    <xf numFmtId="1" fontId="10" fillId="5" borderId="75" xfId="0" applyNumberFormat="1" applyFont="1" applyFill="1" applyBorder="1" applyAlignment="1" applyProtection="1">
      <alignment wrapText="1"/>
    </xf>
    <xf numFmtId="49" fontId="10" fillId="5" borderId="75" xfId="0" applyNumberFormat="1" applyFont="1" applyFill="1" applyBorder="1" applyAlignment="1" applyProtection="1">
      <alignment wrapText="1"/>
    </xf>
    <xf numFmtId="49" fontId="5" fillId="5" borderId="31" xfId="0" applyNumberFormat="1" applyFont="1" applyFill="1" applyBorder="1" applyAlignment="1" applyProtection="1">
      <alignment wrapText="1"/>
    </xf>
    <xf numFmtId="1" fontId="4" fillId="5" borderId="31" xfId="0" applyNumberFormat="1" applyFont="1" applyFill="1" applyBorder="1" applyAlignment="1" applyProtection="1">
      <alignment wrapText="1"/>
    </xf>
    <xf numFmtId="49" fontId="4" fillId="5" borderId="31" xfId="0" applyNumberFormat="1" applyFont="1" applyFill="1" applyBorder="1" applyAlignment="1" applyProtection="1">
      <alignment wrapText="1"/>
    </xf>
    <xf numFmtId="0" fontId="5" fillId="5" borderId="31" xfId="0" applyNumberFormat="1" applyFont="1" applyFill="1" applyBorder="1" applyAlignment="1" applyProtection="1">
      <alignment wrapText="1"/>
    </xf>
    <xf numFmtId="1" fontId="17" fillId="5" borderId="31" xfId="0" applyNumberFormat="1" applyFont="1" applyFill="1" applyBorder="1" applyAlignment="1" applyProtection="1">
      <alignment horizontal="left" wrapText="1"/>
    </xf>
    <xf numFmtId="10" fontId="4" fillId="5" borderId="74" xfId="3" applyNumberFormat="1" applyFont="1" applyFill="1" applyBorder="1" applyAlignment="1" applyProtection="1">
      <alignment horizontal="right" wrapText="1"/>
    </xf>
    <xf numFmtId="49" fontId="39" fillId="6" borderId="23" xfId="0" applyNumberFormat="1" applyFont="1" applyFill="1" applyBorder="1" applyAlignment="1" applyProtection="1">
      <alignment wrapText="1"/>
    </xf>
    <xf numFmtId="1" fontId="17" fillId="6" borderId="23" xfId="0" applyNumberFormat="1" applyFont="1" applyFill="1" applyBorder="1" applyAlignment="1" applyProtection="1">
      <alignment wrapText="1"/>
    </xf>
    <xf numFmtId="0" fontId="39" fillId="6" borderId="23" xfId="0" applyNumberFormat="1" applyFont="1" applyFill="1" applyBorder="1" applyAlignment="1" applyProtection="1">
      <alignment wrapText="1"/>
    </xf>
    <xf numFmtId="49" fontId="5" fillId="3" borderId="18" xfId="0" applyNumberFormat="1" applyFont="1" applyFill="1" applyBorder="1" applyAlignment="1" applyProtection="1">
      <alignment horizontal="center" wrapText="1"/>
    </xf>
    <xf numFmtId="1" fontId="5" fillId="5" borderId="66" xfId="0" applyNumberFormat="1" applyFont="1" applyFill="1" applyBorder="1" applyAlignment="1" applyProtection="1">
      <alignment horizontal="right" wrapText="1"/>
    </xf>
    <xf numFmtId="1" fontId="5" fillId="5" borderId="67" xfId="0" applyNumberFormat="1" applyFont="1" applyFill="1" applyBorder="1" applyAlignment="1" applyProtection="1">
      <alignment horizontal="right" wrapText="1"/>
    </xf>
    <xf numFmtId="1" fontId="5" fillId="5" borderId="67" xfId="0" applyNumberFormat="1" applyFont="1" applyFill="1" applyBorder="1" applyAlignment="1" applyProtection="1">
      <alignment wrapText="1"/>
    </xf>
    <xf numFmtId="49" fontId="5" fillId="3" borderId="23" xfId="0" applyNumberFormat="1" applyFont="1" applyFill="1" applyBorder="1" applyAlignment="1" applyProtection="1">
      <alignment horizontal="center" wrapText="1"/>
    </xf>
    <xf numFmtId="49" fontId="17" fillId="6" borderId="16" xfId="0" applyNumberFormat="1" applyFont="1" applyFill="1" applyBorder="1" applyAlignment="1" applyProtection="1">
      <alignment horizontal="center" wrapText="1"/>
    </xf>
    <xf numFmtId="49" fontId="8" fillId="0" borderId="0" xfId="0" applyNumberFormat="1" applyFont="1" applyBorder="1" applyAlignment="1" applyProtection="1">
      <alignment wrapText="1"/>
    </xf>
    <xf numFmtId="49" fontId="5" fillId="3" borderId="19" xfId="0" applyNumberFormat="1" applyFont="1" applyFill="1" applyBorder="1" applyAlignment="1" applyProtection="1">
      <alignment wrapText="1"/>
    </xf>
    <xf numFmtId="49" fontId="5" fillId="3" borderId="35" xfId="0" applyNumberFormat="1" applyFont="1" applyFill="1" applyBorder="1" applyAlignment="1" applyProtection="1">
      <alignment horizontal="right" wrapText="1"/>
    </xf>
    <xf numFmtId="49" fontId="5" fillId="3" borderId="32" xfId="0" applyNumberFormat="1" applyFont="1" applyFill="1" applyBorder="1" applyAlignment="1" applyProtection="1">
      <alignment horizontal="right" wrapText="1"/>
    </xf>
    <xf numFmtId="49" fontId="5" fillId="3" borderId="21" xfId="0" applyNumberFormat="1" applyFont="1" applyFill="1" applyBorder="1" applyAlignment="1" applyProtection="1">
      <alignment horizontal="center" wrapText="1"/>
    </xf>
    <xf numFmtId="49" fontId="11" fillId="3" borderId="21" xfId="0" applyNumberFormat="1" applyFont="1" applyFill="1" applyBorder="1" applyAlignment="1" applyProtection="1">
      <alignment horizontal="center" wrapText="1"/>
    </xf>
    <xf numFmtId="1" fontId="4" fillId="5" borderId="67" xfId="0" applyNumberFormat="1" applyFont="1" applyFill="1" applyBorder="1" applyAlignment="1" applyProtection="1">
      <alignment wrapText="1"/>
    </xf>
    <xf numFmtId="49" fontId="17" fillId="6" borderId="24" xfId="0" applyNumberFormat="1" applyFont="1" applyFill="1" applyBorder="1" applyAlignment="1" applyProtection="1">
      <alignment horizontal="center" wrapText="1"/>
    </xf>
    <xf numFmtId="0" fontId="39" fillId="6" borderId="16" xfId="0" applyNumberFormat="1" applyFont="1" applyFill="1" applyBorder="1" applyAlignment="1" applyProtection="1">
      <alignment wrapText="1"/>
    </xf>
    <xf numFmtId="0" fontId="5" fillId="0" borderId="0" xfId="0" applyFont="1" applyAlignment="1">
      <alignment horizontal="left"/>
    </xf>
    <xf numFmtId="0" fontId="5" fillId="0" borderId="0" xfId="0" applyFont="1" applyAlignment="1">
      <alignment horizontal="justify"/>
    </xf>
    <xf numFmtId="0" fontId="5" fillId="3" borderId="0" xfId="0" quotePrefix="1" applyFont="1" applyFill="1" applyAlignment="1" applyProtection="1">
      <alignment horizontal="left"/>
    </xf>
    <xf numFmtId="0" fontId="40" fillId="0" borderId="0" xfId="0" applyFont="1" applyProtection="1"/>
    <xf numFmtId="49" fontId="22" fillId="0" borderId="0" xfId="0" applyNumberFormat="1" applyFont="1" applyFill="1" applyAlignment="1" applyProtection="1">
      <alignment vertical="center"/>
    </xf>
    <xf numFmtId="0" fontId="20" fillId="0" borderId="0" xfId="0" applyFont="1" applyAlignment="1">
      <alignment horizontal="justify"/>
    </xf>
    <xf numFmtId="0" fontId="4" fillId="0" borderId="76" xfId="0" applyFont="1" applyBorder="1" applyAlignment="1"/>
    <xf numFmtId="0" fontId="4" fillId="0" borderId="77" xfId="0" applyFont="1" applyBorder="1" applyAlignment="1">
      <alignment horizontal="left"/>
    </xf>
    <xf numFmtId="0" fontId="4" fillId="0" borderId="78" xfId="0" applyFont="1" applyBorder="1" applyAlignment="1"/>
    <xf numFmtId="0" fontId="4" fillId="0" borderId="0" xfId="0" applyFont="1" applyAlignment="1"/>
    <xf numFmtId="0" fontId="5" fillId="0" borderId="79" xfId="0" applyFont="1" applyBorder="1" applyAlignment="1">
      <alignment horizontal="justify"/>
    </xf>
    <xf numFmtId="164" fontId="5" fillId="0" borderId="0" xfId="0" applyNumberFormat="1" applyFont="1" applyBorder="1" applyAlignment="1">
      <alignment horizontal="center"/>
    </xf>
    <xf numFmtId="0" fontId="5" fillId="0" borderId="80" xfId="0" applyFont="1" applyBorder="1" applyAlignment="1">
      <alignment horizontal="left"/>
    </xf>
    <xf numFmtId="164" fontId="5" fillId="0" borderId="0" xfId="3" applyNumberFormat="1" applyFont="1" applyBorder="1" applyAlignment="1">
      <alignment horizontal="center"/>
    </xf>
    <xf numFmtId="0" fontId="17" fillId="6" borderId="81" xfId="0" applyFont="1" applyFill="1" applyBorder="1" applyAlignment="1"/>
    <xf numFmtId="0" fontId="39" fillId="6" borderId="82" xfId="0" applyFont="1" applyFill="1" applyBorder="1" applyAlignment="1"/>
    <xf numFmtId="0" fontId="17" fillId="6" borderId="83" xfId="0" applyFont="1" applyFill="1" applyBorder="1" applyAlignment="1"/>
    <xf numFmtId="3" fontId="4" fillId="0" borderId="0" xfId="0" applyNumberFormat="1" applyFont="1" applyAlignment="1">
      <alignment horizontal="justify"/>
    </xf>
    <xf numFmtId="0" fontId="10" fillId="0" borderId="0" xfId="0" applyFont="1" applyAlignment="1">
      <alignment horizontal="justify"/>
    </xf>
    <xf numFmtId="0" fontId="10" fillId="0" borderId="0" xfId="0" applyFont="1" applyFill="1" applyAlignment="1">
      <alignment horizontal="justify"/>
    </xf>
    <xf numFmtId="0" fontId="10" fillId="0" borderId="0" xfId="0" applyFont="1" applyAlignment="1"/>
    <xf numFmtId="4" fontId="5" fillId="0" borderId="0" xfId="0" applyNumberFormat="1" applyFont="1" applyFill="1" applyAlignment="1">
      <alignment horizontal="left"/>
    </xf>
    <xf numFmtId="3" fontId="4" fillId="0" borderId="0" xfId="0" applyNumberFormat="1" applyFont="1" applyBorder="1" applyAlignment="1">
      <alignment wrapText="1"/>
    </xf>
    <xf numFmtId="3" fontId="4" fillId="0" borderId="0" xfId="0" applyNumberFormat="1" applyFont="1" applyAlignment="1">
      <alignment wrapText="1"/>
    </xf>
    <xf numFmtId="3" fontId="4" fillId="0" borderId="0" xfId="0" applyNumberFormat="1" applyFont="1" applyBorder="1" applyAlignment="1" applyProtection="1">
      <alignment vertical="top" wrapText="1"/>
    </xf>
    <xf numFmtId="3" fontId="4" fillId="0" borderId="0" xfId="0" applyNumberFormat="1" applyFont="1" applyAlignment="1" applyProtection="1">
      <alignment vertical="top" wrapText="1"/>
    </xf>
    <xf numFmtId="3" fontId="19" fillId="3" borderId="22" xfId="0" applyNumberFormat="1" applyFont="1" applyFill="1" applyBorder="1" applyAlignment="1" applyProtection="1">
      <alignment horizontal="right" vertical="center"/>
      <protection locked="0"/>
    </xf>
    <xf numFmtId="3" fontId="19" fillId="0" borderId="23" xfId="0" applyNumberFormat="1" applyFont="1" applyFill="1" applyBorder="1" applyAlignment="1" applyProtection="1">
      <alignment horizontal="right" vertical="center"/>
      <protection locked="0"/>
    </xf>
    <xf numFmtId="3" fontId="19" fillId="3" borderId="0" xfId="0" applyNumberFormat="1" applyFont="1" applyFill="1" applyBorder="1" applyAlignment="1" applyProtection="1">
      <alignment horizontal="right" vertical="center"/>
      <protection locked="0"/>
    </xf>
    <xf numFmtId="3" fontId="19" fillId="0" borderId="17" xfId="0" applyNumberFormat="1" applyFont="1" applyFill="1" applyBorder="1" applyAlignment="1" applyProtection="1">
      <alignment horizontal="right" vertical="center"/>
      <protection locked="0"/>
    </xf>
    <xf numFmtId="3" fontId="19" fillId="0" borderId="40" xfId="0" applyNumberFormat="1" applyFont="1" applyFill="1" applyBorder="1" applyAlignment="1" applyProtection="1">
      <alignment horizontal="right" vertical="center"/>
      <protection locked="0"/>
    </xf>
    <xf numFmtId="3" fontId="19" fillId="0" borderId="16" xfId="0" applyNumberFormat="1" applyFont="1" applyFill="1" applyBorder="1" applyAlignment="1" applyProtection="1">
      <alignment horizontal="right" vertical="center"/>
      <protection locked="0"/>
    </xf>
    <xf numFmtId="3" fontId="19" fillId="0" borderId="18" xfId="0" applyNumberFormat="1" applyFont="1" applyFill="1" applyBorder="1" applyAlignment="1" applyProtection="1">
      <alignment horizontal="right" vertical="center"/>
      <protection locked="0"/>
    </xf>
    <xf numFmtId="3" fontId="19" fillId="0" borderId="19" xfId="0" applyNumberFormat="1" applyFont="1" applyFill="1" applyBorder="1" applyAlignment="1" applyProtection="1">
      <alignment horizontal="right" vertical="center"/>
      <protection locked="0"/>
    </xf>
    <xf numFmtId="3" fontId="19" fillId="0" borderId="43" xfId="0" applyNumberFormat="1" applyFont="1" applyFill="1" applyBorder="1" applyAlignment="1" applyProtection="1">
      <alignment horizontal="right" vertical="center"/>
      <protection locked="0"/>
    </xf>
    <xf numFmtId="3" fontId="19" fillId="3" borderId="20" xfId="0" applyNumberFormat="1" applyFont="1" applyFill="1" applyBorder="1" applyAlignment="1" applyProtection="1">
      <alignment horizontal="right" vertical="center"/>
      <protection locked="0"/>
    </xf>
    <xf numFmtId="3" fontId="19" fillId="3" borderId="34" xfId="0" applyNumberFormat="1" applyFont="1" applyFill="1" applyBorder="1" applyAlignment="1" applyProtection="1">
      <alignment horizontal="right" vertical="center"/>
      <protection locked="0"/>
    </xf>
    <xf numFmtId="3" fontId="19" fillId="3" borderId="40" xfId="0" applyNumberFormat="1" applyFont="1" applyFill="1" applyBorder="1" applyAlignment="1" applyProtection="1">
      <alignment horizontal="right" vertical="center"/>
      <protection locked="0"/>
    </xf>
    <xf numFmtId="3" fontId="19" fillId="3" borderId="35" xfId="0" applyNumberFormat="1" applyFont="1" applyFill="1" applyBorder="1" applyAlignment="1" applyProtection="1">
      <alignment horizontal="right" vertical="center"/>
      <protection locked="0"/>
    </xf>
    <xf numFmtId="3" fontId="19" fillId="3" borderId="21" xfId="0" applyNumberFormat="1" applyFont="1" applyFill="1" applyBorder="1" applyAlignment="1" applyProtection="1">
      <alignment horizontal="right" vertical="center"/>
      <protection locked="0"/>
    </xf>
    <xf numFmtId="3" fontId="19" fillId="3" borderId="31" xfId="0" applyNumberFormat="1" applyFont="1" applyFill="1" applyBorder="1" applyAlignment="1" applyProtection="1">
      <alignment horizontal="right" vertical="center"/>
      <protection locked="0"/>
    </xf>
    <xf numFmtId="3" fontId="19" fillId="3" borderId="43" xfId="0" applyNumberFormat="1" applyFont="1" applyFill="1" applyBorder="1" applyAlignment="1" applyProtection="1">
      <alignment horizontal="right" vertical="center"/>
      <protection locked="0"/>
    </xf>
    <xf numFmtId="3" fontId="19" fillId="0" borderId="44" xfId="0" applyNumberFormat="1" applyFont="1" applyFill="1" applyBorder="1" applyAlignment="1" applyProtection="1">
      <alignment horizontal="right" vertical="center"/>
      <protection locked="0"/>
    </xf>
    <xf numFmtId="3" fontId="19" fillId="3" borderId="45" xfId="0" applyNumberFormat="1" applyFont="1" applyFill="1" applyBorder="1" applyAlignment="1" applyProtection="1">
      <alignment horizontal="right" vertical="center"/>
      <protection locked="0"/>
    </xf>
    <xf numFmtId="3" fontId="19" fillId="3" borderId="46" xfId="0" applyNumberFormat="1" applyFont="1" applyFill="1" applyBorder="1" applyAlignment="1" applyProtection="1">
      <alignment horizontal="right" vertical="center"/>
      <protection locked="0"/>
    </xf>
    <xf numFmtId="3" fontId="19" fillId="3" borderId="47" xfId="0" applyNumberFormat="1" applyFont="1" applyFill="1" applyBorder="1" applyAlignment="1" applyProtection="1">
      <alignment horizontal="right" vertical="center"/>
      <protection locked="0"/>
    </xf>
    <xf numFmtId="3" fontId="19" fillId="3" borderId="44" xfId="0" applyNumberFormat="1" applyFont="1" applyFill="1" applyBorder="1" applyAlignment="1" applyProtection="1">
      <alignment horizontal="right" vertical="center"/>
      <protection locked="0"/>
    </xf>
    <xf numFmtId="3" fontId="19" fillId="0" borderId="45" xfId="0" applyNumberFormat="1" applyFont="1" applyFill="1" applyBorder="1" applyAlignment="1" applyProtection="1">
      <alignment horizontal="right" vertical="center"/>
      <protection locked="0"/>
    </xf>
    <xf numFmtId="3" fontId="19" fillId="0" borderId="48" xfId="0" applyNumberFormat="1" applyFont="1" applyFill="1" applyBorder="1" applyAlignment="1" applyProtection="1">
      <alignment horizontal="right" vertical="center"/>
      <protection locked="0"/>
    </xf>
    <xf numFmtId="3" fontId="19" fillId="3" borderId="30" xfId="0" applyNumberFormat="1" applyFont="1" applyFill="1" applyBorder="1" applyAlignment="1" applyProtection="1">
      <alignment horizontal="right" vertical="center"/>
      <protection locked="0"/>
    </xf>
    <xf numFmtId="3" fontId="13" fillId="3" borderId="35" xfId="0" applyNumberFormat="1" applyFont="1" applyFill="1" applyBorder="1" applyAlignment="1" applyProtection="1">
      <alignment horizontal="right" vertical="center"/>
      <protection locked="0"/>
    </xf>
    <xf numFmtId="3" fontId="13" fillId="3" borderId="43" xfId="0" applyNumberFormat="1" applyFont="1" applyFill="1" applyBorder="1" applyAlignment="1" applyProtection="1">
      <alignment horizontal="right" vertical="center"/>
      <protection locked="0"/>
    </xf>
    <xf numFmtId="3" fontId="19" fillId="0" borderId="24" xfId="0" applyNumberFormat="1" applyFont="1" applyFill="1" applyBorder="1" applyAlignment="1" applyProtection="1">
      <alignment horizontal="right" vertical="center"/>
      <protection locked="0"/>
    </xf>
    <xf numFmtId="3" fontId="19" fillId="3" borderId="42" xfId="0" applyNumberFormat="1" applyFont="1" applyFill="1" applyBorder="1" applyAlignment="1" applyProtection="1">
      <alignment horizontal="right" vertical="center"/>
      <protection locked="0"/>
    </xf>
    <xf numFmtId="3" fontId="19" fillId="0" borderId="49" xfId="0" applyNumberFormat="1" applyFont="1" applyFill="1" applyBorder="1" applyAlignment="1" applyProtection="1">
      <alignment horizontal="right" vertical="center"/>
      <protection locked="0"/>
    </xf>
    <xf numFmtId="3" fontId="19" fillId="0" borderId="41" xfId="0" applyNumberFormat="1" applyFont="1" applyFill="1" applyBorder="1" applyAlignment="1" applyProtection="1">
      <alignment horizontal="right" vertical="center"/>
      <protection locked="0"/>
    </xf>
    <xf numFmtId="3" fontId="19" fillId="3" borderId="32" xfId="0" applyNumberFormat="1" applyFont="1" applyFill="1" applyBorder="1" applyAlignment="1" applyProtection="1">
      <alignment horizontal="right" vertical="center"/>
      <protection locked="0"/>
    </xf>
    <xf numFmtId="3" fontId="19" fillId="3" borderId="18" xfId="0" applyNumberFormat="1" applyFont="1" applyFill="1" applyBorder="1" applyAlignment="1" applyProtection="1">
      <alignment horizontal="right" vertical="center"/>
      <protection locked="0"/>
    </xf>
    <xf numFmtId="3" fontId="19" fillId="3" borderId="23" xfId="0" applyNumberFormat="1" applyFont="1" applyFill="1" applyBorder="1" applyAlignment="1" applyProtection="1">
      <alignment horizontal="right" vertical="center"/>
      <protection locked="0"/>
    </xf>
    <xf numFmtId="3" fontId="19" fillId="3" borderId="16" xfId="0" applyNumberFormat="1" applyFont="1" applyFill="1" applyBorder="1" applyAlignment="1" applyProtection="1">
      <alignment horizontal="right" vertical="center"/>
      <protection locked="0"/>
    </xf>
    <xf numFmtId="3" fontId="19" fillId="0" borderId="47" xfId="0" applyNumberFormat="1" applyFont="1" applyFill="1" applyBorder="1" applyAlignment="1" applyProtection="1">
      <alignment horizontal="right" vertical="center"/>
      <protection locked="0"/>
    </xf>
    <xf numFmtId="3" fontId="19" fillId="3" borderId="38" xfId="0" applyNumberFormat="1" applyFont="1" applyFill="1" applyBorder="1" applyAlignment="1" applyProtection="1">
      <alignment horizontal="right" vertical="center"/>
      <protection locked="0"/>
    </xf>
    <xf numFmtId="3" fontId="19" fillId="3" borderId="17" xfId="0" applyNumberFormat="1" applyFont="1" applyFill="1" applyBorder="1" applyAlignment="1" applyProtection="1">
      <alignment horizontal="right" vertical="center"/>
      <protection locked="0"/>
    </xf>
    <xf numFmtId="3" fontId="19" fillId="3" borderId="19" xfId="0" applyNumberFormat="1" applyFont="1" applyFill="1" applyBorder="1" applyAlignment="1" applyProtection="1">
      <alignment horizontal="right" vertical="center"/>
      <protection locked="0"/>
    </xf>
    <xf numFmtId="3" fontId="19" fillId="3" borderId="24" xfId="0" applyNumberFormat="1" applyFont="1" applyFill="1" applyBorder="1" applyAlignment="1" applyProtection="1">
      <alignment horizontal="right" vertical="center"/>
      <protection locked="0"/>
    </xf>
    <xf numFmtId="3" fontId="19" fillId="0" borderId="31" xfId="0" applyNumberFormat="1" applyFont="1" applyFill="1" applyBorder="1" applyAlignment="1" applyProtection="1">
      <alignment horizontal="right" vertical="center"/>
      <protection locked="0"/>
    </xf>
    <xf numFmtId="3" fontId="19" fillId="0" borderId="38" xfId="0" applyNumberFormat="1" applyFont="1" applyFill="1" applyBorder="1" applyAlignment="1" applyProtection="1">
      <alignment horizontal="right" vertical="center"/>
      <protection locked="0"/>
    </xf>
    <xf numFmtId="3" fontId="42" fillId="3" borderId="31" xfId="0" applyNumberFormat="1" applyFont="1" applyFill="1" applyBorder="1" applyAlignment="1" applyProtection="1">
      <alignment horizontal="right" vertical="center"/>
      <protection locked="0"/>
    </xf>
    <xf numFmtId="3" fontId="7" fillId="3" borderId="55" xfId="0" applyNumberFormat="1" applyFont="1" applyFill="1" applyBorder="1" applyAlignment="1" applyProtection="1"/>
    <xf numFmtId="3" fontId="7" fillId="3" borderId="0" xfId="0" applyNumberFormat="1" applyFont="1" applyFill="1" applyBorder="1" applyAlignment="1" applyProtection="1"/>
    <xf numFmtId="3" fontId="26" fillId="4" borderId="0" xfId="0" applyNumberFormat="1" applyFont="1" applyFill="1" applyBorder="1" applyAlignment="1" applyProtection="1">
      <alignment horizontal="center"/>
    </xf>
    <xf numFmtId="3" fontId="26" fillId="3" borderId="0" xfId="0" applyNumberFormat="1" applyFont="1" applyFill="1" applyBorder="1" applyAlignment="1" applyProtection="1">
      <alignment horizontal="center"/>
    </xf>
    <xf numFmtId="3" fontId="42" fillId="3" borderId="0" xfId="0" applyNumberFormat="1" applyFont="1" applyFill="1" applyBorder="1" applyAlignment="1" applyProtection="1">
      <alignment horizontal="right" vertical="center"/>
      <protection locked="0"/>
    </xf>
    <xf numFmtId="49" fontId="1" fillId="0" borderId="0" xfId="0" applyNumberFormat="1" applyFont="1" applyBorder="1" applyAlignment="1" applyProtection="1">
      <alignment wrapText="1"/>
    </xf>
    <xf numFmtId="3" fontId="42" fillId="3" borderId="16" xfId="0" applyNumberFormat="1" applyFont="1" applyFill="1" applyBorder="1" applyAlignment="1" applyProtection="1">
      <alignment horizontal="right" vertical="center"/>
      <protection locked="0"/>
    </xf>
    <xf numFmtId="3" fontId="19" fillId="0" borderId="0" xfId="0" applyNumberFormat="1" applyFont="1" applyBorder="1"/>
    <xf numFmtId="0" fontId="5" fillId="0" borderId="0" xfId="0" applyFont="1" applyAlignment="1">
      <alignment horizontal="left" wrapText="1"/>
    </xf>
    <xf numFmtId="0" fontId="4" fillId="0" borderId="88" xfId="0" applyFont="1" applyFill="1" applyBorder="1" applyAlignment="1" applyProtection="1">
      <alignment horizontal="right"/>
      <protection locked="0"/>
    </xf>
    <xf numFmtId="0" fontId="4" fillId="0" borderId="89" xfId="0" applyFont="1" applyFill="1" applyBorder="1" applyAlignment="1" applyProtection="1">
      <alignment horizontal="right"/>
      <protection locked="0"/>
    </xf>
    <xf numFmtId="0" fontId="7" fillId="0" borderId="84" xfId="0" applyFont="1" applyFill="1" applyBorder="1" applyAlignment="1" applyProtection="1">
      <alignment horizontal="left"/>
      <protection locked="0"/>
    </xf>
    <xf numFmtId="0" fontId="6" fillId="0" borderId="88" xfId="0" applyFont="1" applyFill="1" applyBorder="1" applyAlignment="1" applyProtection="1">
      <alignment horizontal="right"/>
      <protection locked="0"/>
    </xf>
    <xf numFmtId="0" fontId="6" fillId="0" borderId="89" xfId="0" applyFont="1" applyFill="1" applyBorder="1" applyAlignment="1" applyProtection="1">
      <alignment horizontal="right"/>
      <protection locked="0"/>
    </xf>
    <xf numFmtId="0" fontId="7" fillId="0" borderId="84" xfId="0" applyFont="1" applyBorder="1" applyAlignment="1" applyProtection="1">
      <alignment horizontal="center"/>
      <protection locked="0"/>
    </xf>
    <xf numFmtId="0" fontId="36" fillId="3" borderId="0" xfId="0" applyFont="1" applyFill="1" applyBorder="1" applyAlignment="1" applyProtection="1">
      <alignment horizontal="left" vertical="top" wrapText="1"/>
    </xf>
    <xf numFmtId="0" fontId="5" fillId="3" borderId="0" xfId="0" applyFont="1" applyFill="1" applyAlignment="1">
      <alignment horizontal="left" vertical="top" wrapText="1"/>
    </xf>
    <xf numFmtId="0" fontId="14" fillId="2" borderId="0" xfId="0" applyNumberFormat="1" applyFont="1" applyFill="1" applyAlignment="1" applyProtection="1">
      <alignment horizontal="left" vertical="center" wrapText="1"/>
    </xf>
    <xf numFmtId="49" fontId="16" fillId="3" borderId="0" xfId="0" applyNumberFormat="1" applyFont="1" applyFill="1" applyBorder="1" applyAlignment="1">
      <alignment horizontal="right" vertical="center"/>
    </xf>
    <xf numFmtId="0" fontId="7" fillId="0" borderId="85" xfId="0" applyFont="1" applyBorder="1" applyAlignment="1" applyProtection="1">
      <alignment horizontal="center"/>
      <protection locked="0"/>
    </xf>
    <xf numFmtId="0" fontId="7" fillId="0" borderId="85" xfId="0" applyFont="1" applyFill="1" applyBorder="1" applyAlignment="1" applyProtection="1">
      <alignment horizontal="left"/>
      <protection locked="0"/>
    </xf>
    <xf numFmtId="14" fontId="7" fillId="0" borderId="27" xfId="0" applyNumberFormat="1" applyFont="1" applyBorder="1" applyAlignment="1" applyProtection="1">
      <alignment horizontal="center"/>
      <protection locked="0"/>
    </xf>
    <xf numFmtId="0" fontId="3" fillId="0" borderId="84" xfId="2" applyBorder="1" applyAlignment="1" applyProtection="1">
      <alignment horizontal="center"/>
      <protection locked="0"/>
    </xf>
    <xf numFmtId="0" fontId="4" fillId="7" borderId="86" xfId="0" applyFont="1" applyFill="1" applyBorder="1" applyAlignment="1" applyProtection="1">
      <alignment horizontal="right"/>
      <protection locked="0"/>
    </xf>
    <xf numFmtId="0" fontId="4" fillId="7" borderId="87" xfId="0" applyFont="1" applyFill="1" applyBorder="1" applyAlignment="1" applyProtection="1">
      <alignment horizontal="right"/>
      <protection locked="0"/>
    </xf>
    <xf numFmtId="49" fontId="4" fillId="7" borderId="88" xfId="0" applyNumberFormat="1" applyFont="1" applyFill="1" applyBorder="1" applyAlignment="1" applyProtection="1">
      <alignment horizontal="right" vertical="center"/>
      <protection locked="0"/>
    </xf>
    <xf numFmtId="49" fontId="4" fillId="7" borderId="89" xfId="0" quotePrefix="1" applyNumberFormat="1" applyFont="1" applyFill="1" applyBorder="1" applyAlignment="1" applyProtection="1">
      <alignment horizontal="right" vertical="center"/>
      <protection locked="0"/>
    </xf>
    <xf numFmtId="0" fontId="2" fillId="3" borderId="6" xfId="0" applyFont="1" applyFill="1" applyBorder="1" applyAlignment="1">
      <alignment horizontal="center" vertical="center"/>
    </xf>
    <xf numFmtId="0" fontId="2" fillId="3" borderId="90" xfId="0" applyFont="1" applyFill="1" applyBorder="1" applyAlignment="1">
      <alignment horizontal="center" vertical="center"/>
    </xf>
    <xf numFmtId="0" fontId="2" fillId="3" borderId="37" xfId="0" applyFont="1" applyFill="1" applyBorder="1" applyAlignment="1">
      <alignment horizontal="center" vertical="center"/>
    </xf>
    <xf numFmtId="0" fontId="2" fillId="3" borderId="54" xfId="0" applyFont="1" applyFill="1" applyBorder="1" applyAlignment="1">
      <alignment horizontal="center" vertical="center"/>
    </xf>
    <xf numFmtId="0" fontId="2" fillId="0" borderId="11" xfId="0" applyFont="1" applyBorder="1" applyAlignment="1">
      <alignment vertical="center"/>
    </xf>
    <xf numFmtId="0" fontId="19" fillId="0" borderId="12" xfId="0" applyFont="1" applyBorder="1" applyAlignment="1">
      <alignment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0" borderId="9" xfId="0" applyFont="1" applyBorder="1" applyAlignment="1">
      <alignment vertical="center"/>
    </xf>
    <xf numFmtId="0" fontId="19" fillId="0" borderId="10" xfId="0" applyFont="1" applyBorder="1" applyAlignment="1">
      <alignment vertical="center"/>
    </xf>
    <xf numFmtId="0" fontId="2" fillId="0" borderId="9" xfId="0" applyFont="1" applyBorder="1" applyAlignment="1">
      <alignment horizontal="left" vertical="center"/>
    </xf>
    <xf numFmtId="0" fontId="2" fillId="0" borderId="10" xfId="0" applyFont="1" applyBorder="1" applyAlignment="1">
      <alignment horizontal="left" vertical="center"/>
    </xf>
    <xf numFmtId="0" fontId="18" fillId="0" borderId="11" xfId="0" applyFont="1" applyBorder="1" applyAlignment="1">
      <alignment vertical="center"/>
    </xf>
    <xf numFmtId="0" fontId="13" fillId="0" borderId="12" xfId="0" applyFont="1" applyBorder="1" applyAlignment="1">
      <alignment vertical="center"/>
    </xf>
    <xf numFmtId="0" fontId="2" fillId="0" borderId="37" xfId="0" applyFont="1" applyBorder="1" applyAlignment="1">
      <alignment vertical="center"/>
    </xf>
    <xf numFmtId="0" fontId="2" fillId="0" borderId="54" xfId="0" applyFont="1" applyBorder="1" applyAlignment="1">
      <alignment vertical="center"/>
    </xf>
    <xf numFmtId="0" fontId="18" fillId="0" borderId="8" xfId="0" applyFont="1" applyBorder="1" applyAlignment="1">
      <alignment vertical="center"/>
    </xf>
    <xf numFmtId="0" fontId="13" fillId="0" borderId="13" xfId="0" applyFont="1" applyBorder="1" applyAlignment="1">
      <alignment vertical="center"/>
    </xf>
    <xf numFmtId="0" fontId="2" fillId="0" borderId="9" xfId="0" applyFont="1" applyFill="1" applyBorder="1" applyAlignment="1">
      <alignment horizontal="left" vertical="center"/>
    </xf>
    <xf numFmtId="0" fontId="2" fillId="0" borderId="10" xfId="0" applyFont="1" applyFill="1" applyBorder="1" applyAlignment="1">
      <alignment horizontal="left" vertical="center"/>
    </xf>
    <xf numFmtId="3" fontId="22" fillId="0" borderId="9" xfId="4" applyNumberFormat="1" applyFont="1" applyFill="1" applyBorder="1" applyAlignment="1">
      <alignment horizontal="left"/>
    </xf>
    <xf numFmtId="3" fontId="22" fillId="0" borderId="10" xfId="4" applyNumberFormat="1" applyFont="1" applyFill="1" applyBorder="1" applyAlignment="1">
      <alignment horizontal="left"/>
    </xf>
    <xf numFmtId="0" fontId="20" fillId="0" borderId="8" xfId="0" applyFont="1" applyFill="1" applyBorder="1" applyAlignment="1">
      <alignment vertical="center"/>
    </xf>
    <xf numFmtId="0" fontId="20" fillId="0" borderId="13" xfId="0" applyFont="1" applyFill="1" applyBorder="1" applyAlignment="1">
      <alignment vertical="center"/>
    </xf>
    <xf numFmtId="0" fontId="25" fillId="2" borderId="0" xfId="0" applyNumberFormat="1" applyFont="1" applyFill="1" applyAlignment="1" applyProtection="1">
      <alignment horizontal="left" vertical="center"/>
    </xf>
    <xf numFmtId="0" fontId="0" fillId="0" borderId="0" xfId="0" applyAlignment="1">
      <alignment horizontal="left" wrapText="1"/>
    </xf>
    <xf numFmtId="0" fontId="20" fillId="0" borderId="0" xfId="0" applyFont="1" applyAlignment="1">
      <alignment horizontal="left" wrapText="1"/>
    </xf>
    <xf numFmtId="0" fontId="38" fillId="0" borderId="0" xfId="0" applyFont="1" applyAlignment="1"/>
    <xf numFmtId="0" fontId="1" fillId="0" borderId="0" xfId="0" applyFont="1" applyFill="1" applyAlignment="1">
      <alignment horizontal="left" wrapText="1"/>
    </xf>
    <xf numFmtId="49" fontId="5" fillId="0" borderId="0" xfId="0" applyNumberFormat="1" applyFont="1" applyAlignment="1" applyProtection="1">
      <alignment horizontal="left" vertical="center" wrapText="1"/>
    </xf>
    <xf numFmtId="0" fontId="5" fillId="0" borderId="0" xfId="0" applyFont="1" applyAlignment="1">
      <alignment horizontal="justify"/>
    </xf>
    <xf numFmtId="0" fontId="4" fillId="8" borderId="0" xfId="0" applyFont="1" applyFill="1" applyAlignment="1">
      <alignment horizontal="justify"/>
    </xf>
    <xf numFmtId="0" fontId="4" fillId="3" borderId="0" xfId="0" applyNumberFormat="1" applyFont="1" applyFill="1" applyBorder="1" applyAlignment="1" applyProtection="1">
      <alignment horizontal="center" wrapText="1"/>
    </xf>
  </cellXfs>
  <cellStyles count="5">
    <cellStyle name="Euro" xfId="1"/>
    <cellStyle name="Hyperlink" xfId="2" builtinId="8"/>
    <cellStyle name="Procent" xfId="3" builtinId="5"/>
    <cellStyle name="Standaard" xfId="0" builtinId="0"/>
    <cellStyle name="Standaard_Blad1" xfId="4"/>
  </cellStyles>
  <dxfs count="3">
    <dxf>
      <font>
        <condense val="0"/>
        <extend val="0"/>
        <color indexed="41"/>
      </font>
    </dxf>
    <dxf>
      <font>
        <condense val="0"/>
        <extend val="0"/>
        <color indexed="22"/>
      </font>
    </dxf>
    <dxf>
      <font>
        <b/>
        <i val="0"/>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0</xdr:col>
      <xdr:colOff>28575</xdr:colOff>
      <xdr:row>0</xdr:row>
      <xdr:rowOff>0</xdr:rowOff>
    </xdr:from>
    <xdr:to>
      <xdr:col>0</xdr:col>
      <xdr:colOff>390525</xdr:colOff>
      <xdr:row>0</xdr:row>
      <xdr:rowOff>0</xdr:rowOff>
    </xdr:to>
    <xdr:pic>
      <xdr:nvPicPr>
        <xdr:cNvPr id="11265"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0"/>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g.a.veldman.perdok@provinciegroningen.n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kredo@cbs.nl" TargetMode="External"/><Relationship Id="rId1" Type="http://schemas.openxmlformats.org/officeDocument/2006/relationships/hyperlink" Target="http://www.cbs.nl/kredo"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4">
    <pageSetUpPr fitToPage="1"/>
  </sheetPr>
  <dimension ref="A1:M38"/>
  <sheetViews>
    <sheetView showGridLines="0" tabSelected="1" zoomScaleNormal="100" workbookViewId="0">
      <selection activeCell="M24" sqref="M24"/>
    </sheetView>
  </sheetViews>
  <sheetFormatPr defaultRowHeight="18"/>
  <cols>
    <col min="1" max="1" width="1.7109375" style="9" customWidth="1"/>
    <col min="2" max="2" width="16.42578125" style="9" bestFit="1" customWidth="1"/>
    <col min="3" max="3" width="27.140625" style="9" customWidth="1"/>
    <col min="4" max="4" width="14.42578125" style="9" hidden="1" customWidth="1"/>
    <col min="5" max="5" width="2.28515625" style="9" customWidth="1"/>
    <col min="6" max="6" width="9.140625" style="9"/>
    <col min="7" max="7" width="2.28515625" style="9" customWidth="1"/>
    <col min="8" max="8" width="12.28515625" style="9" customWidth="1"/>
    <col min="9" max="9" width="17.5703125" style="9" customWidth="1"/>
    <col min="10" max="10" width="1.7109375" style="9" customWidth="1"/>
    <col min="11" max="16384" width="9.140625" style="9"/>
  </cols>
  <sheetData>
    <row r="1" spans="1:13" ht="15" customHeight="1">
      <c r="A1" s="8"/>
      <c r="B1" s="413" t="s">
        <v>7</v>
      </c>
      <c r="C1" s="413"/>
      <c r="D1" s="413"/>
      <c r="E1" s="413"/>
      <c r="F1" s="413"/>
      <c r="G1" s="413"/>
      <c r="H1" s="413"/>
      <c r="I1" s="413"/>
      <c r="J1" s="8"/>
    </row>
    <row r="2" spans="1:13" ht="15" customHeight="1">
      <c r="A2" s="8"/>
      <c r="B2" s="413" t="s">
        <v>8</v>
      </c>
      <c r="C2" s="413"/>
      <c r="D2" s="413"/>
      <c r="E2" s="413"/>
      <c r="F2" s="413"/>
      <c r="G2" s="413"/>
      <c r="H2" s="413"/>
      <c r="I2" s="413"/>
      <c r="J2" s="8"/>
    </row>
    <row r="3" spans="1:13" ht="15" customHeight="1">
      <c r="A3" s="8"/>
      <c r="B3" s="413" t="str">
        <f>"Provincie "&amp;C5</f>
        <v>Provincie Provincie Groningen</v>
      </c>
      <c r="C3" s="413"/>
      <c r="D3" s="413"/>
      <c r="E3" s="413"/>
      <c r="F3" s="413"/>
      <c r="G3" s="413"/>
      <c r="H3" s="413"/>
      <c r="I3" s="413"/>
      <c r="J3" s="8"/>
      <c r="L3" s="10"/>
      <c r="M3" s="11"/>
    </row>
    <row r="4" spans="1:13" ht="15" customHeight="1" thickBot="1">
      <c r="A4" s="1"/>
      <c r="B4" s="1"/>
      <c r="C4" s="1"/>
      <c r="D4" s="1"/>
      <c r="E4" s="1"/>
      <c r="F4" s="1"/>
      <c r="G4" s="1"/>
      <c r="H4" s="1"/>
      <c r="I4" s="1"/>
      <c r="J4" s="1"/>
      <c r="L4" s="10"/>
      <c r="M4" s="11"/>
    </row>
    <row r="5" spans="1:13" ht="15" customHeight="1" thickTop="1">
      <c r="A5" s="196"/>
      <c r="B5" s="197" t="s">
        <v>231</v>
      </c>
      <c r="C5" s="419" t="s">
        <v>474</v>
      </c>
      <c r="D5" s="420"/>
      <c r="E5" s="198"/>
      <c r="F5" s="198"/>
      <c r="G5" s="199"/>
      <c r="H5" s="199" t="s">
        <v>377</v>
      </c>
      <c r="I5" s="200" t="str">
        <f>IF(OR(C5 = "aaaa",C6="xxxx"),"Gegevens invullen!","KRD"&amp;RIGHT(C7,2)&amp;C8&amp;"03"&amp;C6&amp;".XLS")</f>
        <v>KRD134030001.XLS</v>
      </c>
      <c r="J5" s="196"/>
    </row>
    <row r="6" spans="1:13" s="19" customFormat="1" ht="15" customHeight="1">
      <c r="A6" s="15"/>
      <c r="B6" s="16" t="s">
        <v>232</v>
      </c>
      <c r="C6" s="421" t="s">
        <v>480</v>
      </c>
      <c r="D6" s="422"/>
      <c r="E6" s="17"/>
      <c r="F6" s="17"/>
      <c r="G6" s="18"/>
      <c r="H6" s="18"/>
      <c r="I6" s="18"/>
      <c r="J6" s="15"/>
    </row>
    <row r="7" spans="1:13" ht="15" customHeight="1">
      <c r="A7" s="20"/>
      <c r="B7" s="99" t="s">
        <v>9</v>
      </c>
      <c r="C7" s="405">
        <v>2013</v>
      </c>
      <c r="D7" s="406"/>
      <c r="E7" s="20"/>
      <c r="F7" s="21"/>
      <c r="G7" s="21"/>
      <c r="H7" s="22"/>
      <c r="I7" s="23"/>
      <c r="J7" s="20"/>
    </row>
    <row r="8" spans="1:13" ht="15" customHeight="1">
      <c r="A8" s="22"/>
      <c r="B8" s="99" t="s">
        <v>10</v>
      </c>
      <c r="C8" s="408">
        <v>4</v>
      </c>
      <c r="D8" s="409"/>
      <c r="E8" s="22"/>
      <c r="F8" s="330" t="s">
        <v>462</v>
      </c>
      <c r="G8" s="21"/>
      <c r="H8" s="21"/>
      <c r="I8" s="23"/>
      <c r="J8" s="22"/>
    </row>
    <row r="9" spans="1:13" s="27" customFormat="1" ht="15" customHeight="1">
      <c r="A9" s="22"/>
      <c r="B9" s="24"/>
      <c r="C9" s="414" t="s">
        <v>11</v>
      </c>
      <c r="D9" s="414"/>
      <c r="E9" s="22"/>
      <c r="F9" s="25"/>
      <c r="G9" s="26"/>
      <c r="H9" s="26"/>
      <c r="I9" s="13"/>
      <c r="J9" s="22"/>
    </row>
    <row r="10" spans="1:13" ht="15" customHeight="1">
      <c r="A10" s="28"/>
      <c r="B10" s="28"/>
      <c r="C10" s="28"/>
      <c r="D10" s="28"/>
      <c r="E10" s="28"/>
      <c r="F10" s="28"/>
      <c r="G10" s="28"/>
      <c r="H10" s="28"/>
      <c r="I10" s="28"/>
      <c r="J10" s="28"/>
    </row>
    <row r="11" spans="1:13" s="1" customFormat="1" ht="39" customHeight="1">
      <c r="A11" s="29"/>
      <c r="B11" s="208" t="s">
        <v>0</v>
      </c>
      <c r="C11" s="411" t="s">
        <v>461</v>
      </c>
      <c r="D11" s="412"/>
      <c r="E11" s="412"/>
      <c r="F11" s="412"/>
      <c r="G11" s="412"/>
      <c r="H11" s="412"/>
      <c r="I11" s="412"/>
      <c r="J11" s="29"/>
    </row>
    <row r="12" spans="1:13" s="33" customFormat="1" ht="15" customHeight="1">
      <c r="A12" s="12"/>
      <c r="B12" s="32" t="s">
        <v>12</v>
      </c>
      <c r="C12" s="415" t="s">
        <v>475</v>
      </c>
      <c r="D12" s="415"/>
      <c r="E12" s="415"/>
      <c r="F12" s="415"/>
      <c r="G12" s="415"/>
      <c r="H12" s="415"/>
      <c r="I12" s="415"/>
      <c r="J12" s="12"/>
    </row>
    <row r="13" spans="1:13" s="1" customFormat="1" ht="15" customHeight="1">
      <c r="A13" s="12"/>
      <c r="B13" s="32" t="s">
        <v>13</v>
      </c>
      <c r="C13" s="410" t="s">
        <v>476</v>
      </c>
      <c r="D13" s="410"/>
      <c r="E13" s="410"/>
      <c r="F13" s="410"/>
      <c r="G13" s="410"/>
      <c r="H13" s="410"/>
      <c r="I13" s="410"/>
      <c r="J13" s="12"/>
    </row>
    <row r="14" spans="1:13" s="1" customFormat="1" ht="15" customHeight="1">
      <c r="A14" s="12"/>
      <c r="B14" s="32" t="s">
        <v>14</v>
      </c>
      <c r="C14" s="410" t="s">
        <v>477</v>
      </c>
      <c r="D14" s="410"/>
      <c r="E14" s="410"/>
      <c r="F14" s="410"/>
      <c r="G14" s="410"/>
      <c r="H14" s="410"/>
      <c r="I14" s="410"/>
      <c r="J14" s="12"/>
    </row>
    <row r="15" spans="1:13" s="1" customFormat="1" ht="15" customHeight="1">
      <c r="A15" s="12"/>
      <c r="B15" s="32" t="s">
        <v>15</v>
      </c>
      <c r="C15" s="410" t="s">
        <v>478</v>
      </c>
      <c r="D15" s="410"/>
      <c r="E15" s="410"/>
      <c r="F15" s="410"/>
      <c r="G15" s="410"/>
      <c r="H15" s="410"/>
      <c r="I15" s="410"/>
      <c r="J15" s="12"/>
    </row>
    <row r="16" spans="1:13" s="1" customFormat="1" ht="15" customHeight="1">
      <c r="A16" s="12"/>
      <c r="B16" s="32" t="s">
        <v>16</v>
      </c>
      <c r="C16" s="418" t="s">
        <v>479</v>
      </c>
      <c r="D16" s="410"/>
      <c r="E16" s="410"/>
      <c r="F16" s="410"/>
      <c r="G16" s="410"/>
      <c r="H16" s="410"/>
      <c r="I16" s="410"/>
      <c r="J16" s="12"/>
    </row>
    <row r="17" spans="1:10" s="1" customFormat="1" ht="15" customHeight="1">
      <c r="A17" s="12"/>
      <c r="B17" s="32" t="s">
        <v>17</v>
      </c>
      <c r="C17" s="417">
        <v>41680</v>
      </c>
      <c r="D17" s="417"/>
      <c r="E17" s="417"/>
      <c r="F17" s="417"/>
      <c r="G17" s="417"/>
      <c r="H17" s="417"/>
      <c r="I17" s="417"/>
      <c r="J17" s="12"/>
    </row>
    <row r="18" spans="1:10" s="1" customFormat="1" ht="9" customHeight="1">
      <c r="A18" s="12"/>
      <c r="B18" s="12"/>
      <c r="C18" s="12"/>
      <c r="D18" s="12"/>
      <c r="E18" s="12"/>
      <c r="F18" s="12"/>
      <c r="G18" s="12"/>
      <c r="H18" s="12"/>
      <c r="I18" s="12"/>
      <c r="J18" s="12"/>
    </row>
    <row r="19" spans="1:10" ht="15" customHeight="1"/>
    <row r="20" spans="1:10" ht="15" customHeight="1">
      <c r="A20" s="34"/>
      <c r="B20" s="34" t="s">
        <v>18</v>
      </c>
      <c r="C20" s="34"/>
      <c r="D20" s="34"/>
      <c r="E20" s="34"/>
      <c r="F20" s="34"/>
      <c r="G20" s="34"/>
      <c r="H20" s="34"/>
      <c r="I20" s="34"/>
      <c r="J20" s="34"/>
    </row>
    <row r="21" spans="1:10" ht="9" customHeight="1">
      <c r="A21" s="35"/>
      <c r="B21" s="35"/>
      <c r="C21" s="35"/>
      <c r="D21" s="35"/>
      <c r="E21" s="35"/>
      <c r="F21" s="35"/>
      <c r="G21" s="35"/>
      <c r="H21" s="35"/>
      <c r="I21" s="35"/>
      <c r="J21" s="35"/>
    </row>
    <row r="22" spans="1:10" ht="15" customHeight="1">
      <c r="A22" s="35"/>
      <c r="B22" s="416"/>
      <c r="C22" s="416"/>
      <c r="D22" s="416"/>
      <c r="E22" s="416"/>
      <c r="F22" s="416"/>
      <c r="G22" s="416"/>
      <c r="H22" s="416"/>
      <c r="I22" s="416"/>
      <c r="J22" s="35"/>
    </row>
    <row r="23" spans="1:10" ht="15" customHeight="1">
      <c r="A23" s="35"/>
      <c r="B23" s="407"/>
      <c r="C23" s="407"/>
      <c r="D23" s="407"/>
      <c r="E23" s="407"/>
      <c r="F23" s="407"/>
      <c r="G23" s="407"/>
      <c r="H23" s="407"/>
      <c r="I23" s="407"/>
      <c r="J23" s="35"/>
    </row>
    <row r="24" spans="1:10" ht="15" customHeight="1">
      <c r="A24" s="35"/>
      <c r="B24" s="407"/>
      <c r="C24" s="407"/>
      <c r="D24" s="407"/>
      <c r="E24" s="407"/>
      <c r="F24" s="407"/>
      <c r="G24" s="407"/>
      <c r="H24" s="407"/>
      <c r="I24" s="407"/>
      <c r="J24" s="35"/>
    </row>
    <row r="25" spans="1:10" ht="15" customHeight="1">
      <c r="A25" s="35"/>
      <c r="B25" s="407"/>
      <c r="C25" s="407"/>
      <c r="D25" s="407"/>
      <c r="E25" s="407"/>
      <c r="F25" s="407"/>
      <c r="G25" s="407"/>
      <c r="H25" s="407"/>
      <c r="I25" s="407"/>
      <c r="J25" s="35"/>
    </row>
    <row r="26" spans="1:10" ht="15" customHeight="1">
      <c r="A26" s="35"/>
      <c r="B26" s="407"/>
      <c r="C26" s="407"/>
      <c r="D26" s="407"/>
      <c r="E26" s="407"/>
      <c r="F26" s="407"/>
      <c r="G26" s="407"/>
      <c r="H26" s="407"/>
      <c r="I26" s="407"/>
      <c r="J26" s="35"/>
    </row>
    <row r="27" spans="1:10" ht="15" customHeight="1">
      <c r="A27" s="35"/>
      <c r="B27" s="407"/>
      <c r="C27" s="407"/>
      <c r="D27" s="407"/>
      <c r="E27" s="407"/>
      <c r="F27" s="407"/>
      <c r="G27" s="407"/>
      <c r="H27" s="407"/>
      <c r="I27" s="407"/>
      <c r="J27" s="35"/>
    </row>
    <row r="28" spans="1:10" ht="15" customHeight="1">
      <c r="A28" s="35"/>
      <c r="B28" s="407"/>
      <c r="C28" s="407"/>
      <c r="D28" s="407"/>
      <c r="E28" s="407"/>
      <c r="F28" s="407"/>
      <c r="G28" s="407"/>
      <c r="H28" s="407"/>
      <c r="I28" s="407"/>
      <c r="J28" s="35"/>
    </row>
    <row r="29" spans="1:10" ht="15" customHeight="1">
      <c r="A29" s="35"/>
      <c r="B29" s="407"/>
      <c r="C29" s="407"/>
      <c r="D29" s="407"/>
      <c r="E29" s="407"/>
      <c r="F29" s="407"/>
      <c r="G29" s="407"/>
      <c r="H29" s="407"/>
      <c r="I29" s="407"/>
      <c r="J29" s="35"/>
    </row>
    <row r="30" spans="1:10" ht="15" customHeight="1">
      <c r="A30" s="35"/>
      <c r="B30" s="407"/>
      <c r="C30" s="407"/>
      <c r="D30" s="407"/>
      <c r="E30" s="407"/>
      <c r="F30" s="407"/>
      <c r="G30" s="407"/>
      <c r="H30" s="407"/>
      <c r="I30" s="407"/>
      <c r="J30" s="35"/>
    </row>
    <row r="31" spans="1:10" ht="15" customHeight="1">
      <c r="A31" s="35"/>
      <c r="B31" s="407"/>
      <c r="C31" s="407"/>
      <c r="D31" s="407"/>
      <c r="E31" s="407"/>
      <c r="F31" s="407"/>
      <c r="G31" s="407"/>
      <c r="H31" s="407"/>
      <c r="I31" s="407"/>
      <c r="J31" s="35"/>
    </row>
    <row r="32" spans="1:10" ht="15" customHeight="1">
      <c r="A32" s="35"/>
      <c r="B32" s="407"/>
      <c r="C32" s="407"/>
      <c r="D32" s="407"/>
      <c r="E32" s="407"/>
      <c r="F32" s="407"/>
      <c r="G32" s="407"/>
      <c r="H32" s="407"/>
      <c r="I32" s="407"/>
      <c r="J32" s="35"/>
    </row>
    <row r="33" spans="1:10" ht="15" customHeight="1">
      <c r="A33" s="35"/>
      <c r="B33" s="407"/>
      <c r="C33" s="407"/>
      <c r="D33" s="407"/>
      <c r="E33" s="407"/>
      <c r="F33" s="407"/>
      <c r="G33" s="407"/>
      <c r="H33" s="407"/>
      <c r="I33" s="407"/>
      <c r="J33" s="35"/>
    </row>
    <row r="34" spans="1:10" ht="15" customHeight="1">
      <c r="A34" s="35"/>
      <c r="B34" s="407"/>
      <c r="C34" s="407"/>
      <c r="D34" s="407"/>
      <c r="E34" s="407"/>
      <c r="F34" s="407"/>
      <c r="G34" s="407"/>
      <c r="H34" s="407"/>
      <c r="I34" s="407"/>
      <c r="J34" s="35"/>
    </row>
    <row r="35" spans="1:10" ht="15" customHeight="1">
      <c r="A35" s="35"/>
      <c r="B35" s="407"/>
      <c r="C35" s="407"/>
      <c r="D35" s="407"/>
      <c r="E35" s="407"/>
      <c r="F35" s="407"/>
      <c r="G35" s="407"/>
      <c r="H35" s="407"/>
      <c r="I35" s="407"/>
      <c r="J35" s="35"/>
    </row>
    <row r="36" spans="1:10" ht="15" customHeight="1">
      <c r="A36" s="35"/>
      <c r="B36" s="407"/>
      <c r="C36" s="407"/>
      <c r="D36" s="407"/>
      <c r="E36" s="407"/>
      <c r="F36" s="407"/>
      <c r="G36" s="407"/>
      <c r="H36" s="407"/>
      <c r="I36" s="407"/>
      <c r="J36" s="35"/>
    </row>
    <row r="37" spans="1:10" ht="15" customHeight="1">
      <c r="A37" s="35"/>
      <c r="B37" s="407"/>
      <c r="C37" s="407"/>
      <c r="D37" s="407"/>
      <c r="E37" s="407"/>
      <c r="F37" s="407"/>
      <c r="G37" s="407"/>
      <c r="H37" s="407"/>
      <c r="I37" s="407"/>
      <c r="J37" s="35"/>
    </row>
    <row r="38" spans="1:10" ht="12" customHeight="1">
      <c r="A38" s="36"/>
      <c r="B38" s="36"/>
      <c r="C38" s="36"/>
      <c r="D38" s="36"/>
      <c r="E38" s="36"/>
      <c r="F38" s="36"/>
      <c r="G38" s="36"/>
      <c r="H38" s="36"/>
      <c r="I38" s="36"/>
      <c r="J38" s="36"/>
    </row>
  </sheetData>
  <mergeCells count="31">
    <mergeCell ref="B1:I1"/>
    <mergeCell ref="B2:I2"/>
    <mergeCell ref="B3:I3"/>
    <mergeCell ref="C9:D9"/>
    <mergeCell ref="B32:I32"/>
    <mergeCell ref="C13:I13"/>
    <mergeCell ref="C12:I12"/>
    <mergeCell ref="B22:I22"/>
    <mergeCell ref="B23:I23"/>
    <mergeCell ref="B24:I24"/>
    <mergeCell ref="B25:I25"/>
    <mergeCell ref="C17:I17"/>
    <mergeCell ref="C16:I16"/>
    <mergeCell ref="C15:I15"/>
    <mergeCell ref="C5:D5"/>
    <mergeCell ref="C6:D6"/>
    <mergeCell ref="B36:I36"/>
    <mergeCell ref="B37:I37"/>
    <mergeCell ref="B34:I34"/>
    <mergeCell ref="B35:I35"/>
    <mergeCell ref="B27:I27"/>
    <mergeCell ref="B33:I33"/>
    <mergeCell ref="B28:I28"/>
    <mergeCell ref="B29:I29"/>
    <mergeCell ref="B30:I30"/>
    <mergeCell ref="B31:I31"/>
    <mergeCell ref="C7:D7"/>
    <mergeCell ref="B26:I26"/>
    <mergeCell ref="C8:D8"/>
    <mergeCell ref="C14:I14"/>
    <mergeCell ref="C11:I11"/>
  </mergeCells>
  <phoneticPr fontId="0" type="noConversion"/>
  <conditionalFormatting sqref="I5">
    <cfRule type="cellIs" dxfId="2" priority="1" stopIfTrue="1" operator="equal">
      <formula>"Gegevens invullen!"</formula>
    </cfRule>
  </conditionalFormatting>
  <hyperlinks>
    <hyperlink ref="C16" r:id="rId1"/>
  </hyperlinks>
  <printOptions horizontalCentered="1"/>
  <pageMargins left="0.17" right="0.17" top="0.67" bottom="0.39" header="0.51181102362204722" footer="0.4"/>
  <pageSetup paperSize="9" orientation="portrait" r:id="rId2"/>
  <headerFooter alignWithMargins="0">
    <oddFooter>&amp;C&amp;F&amp;R&amp;D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5">
    <pageSetUpPr fitToPage="1"/>
  </sheetPr>
  <dimension ref="A1:AE174"/>
  <sheetViews>
    <sheetView showGridLines="0" showZeros="0" zoomScale="75" zoomScaleNormal="100" workbookViewId="0">
      <pane xSplit="2" ySplit="4" topLeftCell="R129" activePane="bottomRight" state="frozen"/>
      <selection activeCell="I10" sqref="I10"/>
      <selection pane="topRight" activeCell="I10" sqref="I10"/>
      <selection pane="bottomLeft" activeCell="I10" sqref="I10"/>
      <selection pane="bottomRight" activeCell="AD165" sqref="AD165"/>
    </sheetView>
  </sheetViews>
  <sheetFormatPr defaultRowHeight="14.25"/>
  <cols>
    <col min="1" max="1" width="13.140625" style="49" customWidth="1"/>
    <col min="2" max="2" width="89.7109375" style="49" customWidth="1"/>
    <col min="3" max="3" width="8.7109375" style="49" hidden="1" customWidth="1"/>
    <col min="4" max="19" width="8.7109375" style="49" customWidth="1"/>
    <col min="20" max="20" width="10" style="49" customWidth="1"/>
    <col min="21" max="21" width="6.42578125" style="49" hidden="1" customWidth="1"/>
    <col min="22" max="22" width="10.28515625" style="49" customWidth="1"/>
    <col min="23" max="23" width="4.140625" style="49" hidden="1" customWidth="1"/>
    <col min="24" max="24" width="8.85546875" style="49" customWidth="1"/>
    <col min="25" max="29" width="8.7109375" style="49" customWidth="1"/>
    <col min="30" max="30" width="11.7109375" style="49" customWidth="1"/>
    <col min="31" max="16384" width="9.140625" style="127"/>
  </cols>
  <sheetData>
    <row r="1" spans="1:31" s="101" customFormat="1" ht="18">
      <c r="A1" s="37" t="str">
        <f>"Verdelingsmatrix provincie "&amp;+'4.Informatie'!C5&amp;" ("&amp;'4.Informatie'!C6&amp;"): "&amp;'4.Informatie'!C7&amp;" periode "&amp;'4.Informatie'!C8&amp;", lasten"</f>
        <v>Verdelingsmatrix provincie Provincie Groningen (0001): 2013 periode 4, lasten</v>
      </c>
      <c r="B1" s="38"/>
      <c r="C1" s="146" t="s">
        <v>19</v>
      </c>
      <c r="D1" s="146" t="s">
        <v>20</v>
      </c>
      <c r="E1" s="39" t="s">
        <v>21</v>
      </c>
      <c r="F1" s="39" t="s">
        <v>234</v>
      </c>
      <c r="G1" s="39" t="s">
        <v>235</v>
      </c>
      <c r="H1" s="39" t="s">
        <v>22</v>
      </c>
      <c r="I1" s="39" t="s">
        <v>23</v>
      </c>
      <c r="J1" s="39" t="s">
        <v>236</v>
      </c>
      <c r="K1" s="39" t="s">
        <v>237</v>
      </c>
      <c r="L1" s="39" t="s">
        <v>25</v>
      </c>
      <c r="M1" s="39" t="s">
        <v>193</v>
      </c>
      <c r="N1" s="39" t="s">
        <v>194</v>
      </c>
      <c r="O1" s="39" t="s">
        <v>195</v>
      </c>
      <c r="P1" s="39" t="s">
        <v>27</v>
      </c>
      <c r="Q1" s="39" t="s">
        <v>28</v>
      </c>
      <c r="R1" s="39" t="s">
        <v>238</v>
      </c>
      <c r="S1" s="39" t="s">
        <v>35</v>
      </c>
      <c r="T1" s="39" t="s">
        <v>239</v>
      </c>
      <c r="U1" s="39" t="s">
        <v>240</v>
      </c>
      <c r="V1" s="39" t="s">
        <v>241</v>
      </c>
      <c r="W1" s="39" t="s">
        <v>242</v>
      </c>
      <c r="X1" s="39" t="s">
        <v>243</v>
      </c>
      <c r="Y1" s="39" t="s">
        <v>244</v>
      </c>
      <c r="Z1" s="39" t="s">
        <v>245</v>
      </c>
      <c r="AA1" s="39" t="s">
        <v>246</v>
      </c>
      <c r="AB1" s="39" t="s">
        <v>247</v>
      </c>
      <c r="AC1" s="40" t="s">
        <v>248</v>
      </c>
      <c r="AD1" s="41"/>
      <c r="AE1" s="100"/>
    </row>
    <row r="2" spans="1:31" s="102" customFormat="1" ht="125.25" customHeight="1" thickBot="1">
      <c r="A2" s="42" t="s">
        <v>37</v>
      </c>
      <c r="B2" s="43" t="s">
        <v>38</v>
      </c>
      <c r="C2" s="189" t="s">
        <v>409</v>
      </c>
      <c r="D2" s="191" t="s">
        <v>39</v>
      </c>
      <c r="E2" s="192" t="s">
        <v>40</v>
      </c>
      <c r="F2" s="192" t="s">
        <v>249</v>
      </c>
      <c r="G2" s="192" t="s">
        <v>250</v>
      </c>
      <c r="H2" s="192" t="s">
        <v>251</v>
      </c>
      <c r="I2" s="192" t="s">
        <v>252</v>
      </c>
      <c r="J2" s="192" t="s">
        <v>42</v>
      </c>
      <c r="K2" s="192" t="s">
        <v>41</v>
      </c>
      <c r="L2" s="192" t="s">
        <v>253</v>
      </c>
      <c r="M2" s="192" t="s">
        <v>254</v>
      </c>
      <c r="N2" s="192" t="s">
        <v>255</v>
      </c>
      <c r="O2" s="192" t="s">
        <v>256</v>
      </c>
      <c r="P2" s="192" t="s">
        <v>257</v>
      </c>
      <c r="Q2" s="192" t="s">
        <v>379</v>
      </c>
      <c r="R2" s="192" t="s">
        <v>258</v>
      </c>
      <c r="S2" s="192" t="s">
        <v>259</v>
      </c>
      <c r="T2" s="192" t="s">
        <v>260</v>
      </c>
      <c r="U2" s="192" t="s">
        <v>43</v>
      </c>
      <c r="V2" s="192" t="s">
        <v>261</v>
      </c>
      <c r="W2" s="192" t="s">
        <v>44</v>
      </c>
      <c r="X2" s="192" t="s">
        <v>45</v>
      </c>
      <c r="Y2" s="192" t="s">
        <v>46</v>
      </c>
      <c r="Z2" s="192" t="s">
        <v>47</v>
      </c>
      <c r="AA2" s="192" t="s">
        <v>48</v>
      </c>
      <c r="AB2" s="192" t="s">
        <v>262</v>
      </c>
      <c r="AC2" s="193" t="s">
        <v>49</v>
      </c>
      <c r="AD2" s="194" t="s">
        <v>380</v>
      </c>
    </row>
    <row r="3" spans="1:31" s="102" customFormat="1" ht="2.25" customHeight="1">
      <c r="A3" s="103"/>
      <c r="B3" s="147"/>
      <c r="C3" s="135"/>
      <c r="D3" s="106"/>
      <c r="E3" s="106"/>
      <c r="F3" s="106"/>
      <c r="G3" s="106"/>
      <c r="H3" s="106"/>
      <c r="I3" s="106"/>
      <c r="J3" s="106"/>
      <c r="K3" s="106"/>
      <c r="L3" s="106"/>
      <c r="M3" s="106"/>
      <c r="N3" s="106"/>
      <c r="O3" s="106"/>
      <c r="P3" s="106"/>
      <c r="Q3" s="106"/>
      <c r="R3" s="106"/>
      <c r="S3" s="106"/>
      <c r="T3" s="106"/>
      <c r="U3" s="106"/>
      <c r="V3" s="106"/>
      <c r="W3" s="106"/>
      <c r="X3" s="106"/>
      <c r="Y3" s="106"/>
      <c r="Z3" s="106"/>
      <c r="AA3" s="106"/>
      <c r="AB3" s="106"/>
      <c r="AC3" s="106"/>
      <c r="AD3" s="190"/>
    </row>
    <row r="4" spans="1:31" s="102" customFormat="1" ht="2.25" customHeight="1">
      <c r="A4" s="104"/>
      <c r="B4" s="148"/>
      <c r="C4" s="134"/>
      <c r="D4" s="105"/>
      <c r="E4" s="105"/>
      <c r="F4" s="105"/>
      <c r="G4" s="105"/>
      <c r="H4" s="105"/>
      <c r="I4" s="105"/>
      <c r="J4" s="105"/>
      <c r="K4" s="105"/>
      <c r="L4" s="105"/>
      <c r="M4" s="106"/>
      <c r="N4" s="105"/>
      <c r="O4" s="105"/>
      <c r="P4" s="105"/>
      <c r="Q4" s="105"/>
      <c r="R4" s="106"/>
      <c r="S4" s="105"/>
      <c r="T4" s="106"/>
      <c r="U4" s="106"/>
      <c r="V4" s="106"/>
      <c r="W4" s="106"/>
      <c r="X4" s="106"/>
      <c r="Y4" s="106"/>
      <c r="Z4" s="105"/>
      <c r="AA4" s="106"/>
      <c r="AB4" s="105"/>
      <c r="AC4" s="105"/>
      <c r="AD4" s="107"/>
    </row>
    <row r="5" spans="1:31" s="46" customFormat="1" ht="15">
      <c r="A5" s="98" t="s">
        <v>53</v>
      </c>
      <c r="B5" s="149" t="s">
        <v>51</v>
      </c>
      <c r="C5" s="201"/>
      <c r="D5" s="131"/>
      <c r="E5" s="131"/>
      <c r="F5" s="131"/>
      <c r="G5" s="131"/>
      <c r="H5" s="131"/>
      <c r="I5" s="131"/>
      <c r="J5" s="131"/>
      <c r="K5" s="131"/>
      <c r="L5" s="131"/>
      <c r="M5" s="132"/>
      <c r="N5" s="131"/>
      <c r="O5" s="131"/>
      <c r="P5" s="131"/>
      <c r="Q5" s="131"/>
      <c r="R5" s="132"/>
      <c r="S5" s="131"/>
      <c r="T5" s="132"/>
      <c r="U5" s="132"/>
      <c r="V5" s="132"/>
      <c r="W5" s="132"/>
      <c r="X5" s="132"/>
      <c r="Y5" s="132"/>
      <c r="Z5" s="131"/>
      <c r="AA5" s="132"/>
      <c r="AB5" s="131"/>
      <c r="AC5" s="131"/>
      <c r="AD5" s="133"/>
    </row>
    <row r="6" spans="1:31" s="46" customFormat="1">
      <c r="A6" s="108" t="s">
        <v>263</v>
      </c>
      <c r="B6" s="150" t="s">
        <v>264</v>
      </c>
      <c r="C6" s="355"/>
      <c r="D6" s="383">
        <f>3533.47/1000</f>
        <v>3.5334699999999999</v>
      </c>
      <c r="E6" s="359"/>
      <c r="F6" s="359"/>
      <c r="G6" s="359"/>
      <c r="H6" s="359"/>
      <c r="I6" s="359"/>
      <c r="J6" s="359">
        <f>1088458.13/1000</f>
        <v>1088.45813</v>
      </c>
      <c r="K6" s="359"/>
      <c r="L6" s="359"/>
      <c r="M6" s="368"/>
      <c r="N6" s="359"/>
      <c r="O6" s="359">
        <f>311274.3/1000</f>
        <v>311.27429999999998</v>
      </c>
      <c r="P6" s="359"/>
      <c r="Q6" s="359"/>
      <c r="R6" s="359"/>
      <c r="S6" s="359">
        <f>928.84/1000</f>
        <v>0.92884</v>
      </c>
      <c r="T6" s="367"/>
      <c r="U6" s="356"/>
      <c r="V6" s="356"/>
      <c r="W6" s="356"/>
      <c r="X6" s="356"/>
      <c r="Y6" s="354"/>
      <c r="Z6" s="359"/>
      <c r="AA6" s="359"/>
      <c r="AB6" s="359"/>
      <c r="AC6" s="357">
        <f>1038853.93/1000</f>
        <v>1038.85393</v>
      </c>
      <c r="AD6" s="358">
        <f t="shared" ref="AD6:AD14" si="0">SUM(C6:AC6)</f>
        <v>2443.0486700000001</v>
      </c>
      <c r="AE6" s="109"/>
    </row>
    <row r="7" spans="1:31" s="46" customFormat="1">
      <c r="A7" s="108" t="s">
        <v>20</v>
      </c>
      <c r="B7" s="150" t="s">
        <v>265</v>
      </c>
      <c r="C7" s="359"/>
      <c r="D7" s="383"/>
      <c r="E7" s="359"/>
      <c r="F7" s="359"/>
      <c r="G7" s="359"/>
      <c r="H7" s="359"/>
      <c r="I7" s="359"/>
      <c r="J7" s="359">
        <f>487518.46/1000</f>
        <v>487.51846</v>
      </c>
      <c r="K7" s="359"/>
      <c r="L7" s="359"/>
      <c r="M7" s="368"/>
      <c r="N7" s="359"/>
      <c r="O7" s="359">
        <f>-5000/1000</f>
        <v>-5</v>
      </c>
      <c r="P7" s="359"/>
      <c r="Q7" s="359"/>
      <c r="R7" s="359"/>
      <c r="S7" s="359">
        <f>(597081+163.68)/1000</f>
        <v>597.24468000000002</v>
      </c>
      <c r="T7" s="367"/>
      <c r="U7" s="356"/>
      <c r="V7" s="356"/>
      <c r="W7" s="356"/>
      <c r="X7" s="356"/>
      <c r="Y7" s="354"/>
      <c r="Z7" s="359"/>
      <c r="AA7" s="359"/>
      <c r="AB7" s="359"/>
      <c r="AC7" s="357">
        <f>2707701.11/1000</f>
        <v>2707.70111</v>
      </c>
      <c r="AD7" s="358">
        <f t="shared" si="0"/>
        <v>3787.46425</v>
      </c>
      <c r="AE7" s="109"/>
    </row>
    <row r="8" spans="1:31" s="46" customFormat="1">
      <c r="A8" s="108" t="s">
        <v>21</v>
      </c>
      <c r="B8" s="150" t="s">
        <v>266</v>
      </c>
      <c r="C8" s="359"/>
      <c r="D8" s="366"/>
      <c r="E8" s="384"/>
      <c r="F8" s="359"/>
      <c r="G8" s="359"/>
      <c r="H8" s="359"/>
      <c r="I8" s="359"/>
      <c r="J8" s="359"/>
      <c r="K8" s="359"/>
      <c r="L8" s="359"/>
      <c r="M8" s="368"/>
      <c r="N8" s="359"/>
      <c r="O8" s="359">
        <f>14775/1000</f>
        <v>14.775</v>
      </c>
      <c r="P8" s="359"/>
      <c r="Q8" s="359"/>
      <c r="R8" s="359"/>
      <c r="S8" s="359"/>
      <c r="T8" s="367"/>
      <c r="U8" s="356"/>
      <c r="V8" s="356"/>
      <c r="W8" s="356"/>
      <c r="X8" s="356"/>
      <c r="Y8" s="354"/>
      <c r="Z8" s="359"/>
      <c r="AA8" s="359"/>
      <c r="AB8" s="359"/>
      <c r="AC8" s="357">
        <f>1062749.09/1000</f>
        <v>1062.74909</v>
      </c>
      <c r="AD8" s="358">
        <f t="shared" si="0"/>
        <v>1077.5240900000001</v>
      </c>
      <c r="AE8" s="109"/>
    </row>
    <row r="9" spans="1:31" s="46" customFormat="1">
      <c r="A9" s="108" t="s">
        <v>267</v>
      </c>
      <c r="B9" s="150" t="s">
        <v>268</v>
      </c>
      <c r="C9" s="359"/>
      <c r="D9" s="356"/>
      <c r="E9" s="354"/>
      <c r="F9" s="359"/>
      <c r="G9" s="359"/>
      <c r="H9" s="359"/>
      <c r="I9" s="359"/>
      <c r="J9" s="359">
        <f>363353.5/1000</f>
        <v>363.3535</v>
      </c>
      <c r="K9" s="359"/>
      <c r="L9" s="359"/>
      <c r="M9" s="368"/>
      <c r="N9" s="359">
        <f>19092/1000</f>
        <v>19.091999999999999</v>
      </c>
      <c r="O9" s="359"/>
      <c r="P9" s="359"/>
      <c r="Q9" s="359"/>
      <c r="R9" s="359"/>
      <c r="S9" s="359"/>
      <c r="T9" s="367"/>
      <c r="U9" s="356"/>
      <c r="V9" s="356"/>
      <c r="W9" s="356"/>
      <c r="X9" s="356"/>
      <c r="Y9" s="354"/>
      <c r="Z9" s="359"/>
      <c r="AA9" s="359"/>
      <c r="AB9" s="359"/>
      <c r="AC9" s="357">
        <f>416495.14/1000</f>
        <v>416.49513999999999</v>
      </c>
      <c r="AD9" s="358">
        <f t="shared" si="0"/>
        <v>798.94064000000003</v>
      </c>
      <c r="AE9" s="109"/>
    </row>
    <row r="10" spans="1:31" s="46" customFormat="1">
      <c r="A10" s="108" t="s">
        <v>269</v>
      </c>
      <c r="B10" s="150" t="s">
        <v>270</v>
      </c>
      <c r="C10" s="359"/>
      <c r="D10" s="356"/>
      <c r="E10" s="354"/>
      <c r="F10" s="359"/>
      <c r="G10" s="359"/>
      <c r="H10" s="359"/>
      <c r="I10" s="359"/>
      <c r="J10" s="359"/>
      <c r="K10" s="359"/>
      <c r="L10" s="359"/>
      <c r="M10" s="368"/>
      <c r="N10" s="359"/>
      <c r="O10" s="359"/>
      <c r="P10" s="359"/>
      <c r="Q10" s="359"/>
      <c r="R10" s="359"/>
      <c r="S10" s="359"/>
      <c r="T10" s="367"/>
      <c r="U10" s="356"/>
      <c r="V10" s="356"/>
      <c r="W10" s="356"/>
      <c r="X10" s="356"/>
      <c r="Y10" s="354"/>
      <c r="Z10" s="359"/>
      <c r="AA10" s="359"/>
      <c r="AB10" s="359"/>
      <c r="AC10" s="357">
        <f>519149.69/1000</f>
        <v>519.14968999999996</v>
      </c>
      <c r="AD10" s="358">
        <f t="shared" si="0"/>
        <v>519.14968999999996</v>
      </c>
      <c r="AE10" s="109"/>
    </row>
    <row r="11" spans="1:31" s="46" customFormat="1">
      <c r="A11" s="108" t="s">
        <v>271</v>
      </c>
      <c r="B11" s="150" t="s">
        <v>272</v>
      </c>
      <c r="C11" s="359"/>
      <c r="D11" s="356"/>
      <c r="E11" s="354"/>
      <c r="F11" s="359"/>
      <c r="G11" s="359"/>
      <c r="H11" s="359"/>
      <c r="I11" s="359"/>
      <c r="J11" s="359">
        <f>469850.26/1000</f>
        <v>469.85025999999999</v>
      </c>
      <c r="K11" s="359"/>
      <c r="L11" s="359"/>
      <c r="M11" s="368"/>
      <c r="N11" s="359"/>
      <c r="O11" s="359"/>
      <c r="P11" s="359"/>
      <c r="Q11" s="359"/>
      <c r="R11" s="359"/>
      <c r="S11" s="359"/>
      <c r="T11" s="367"/>
      <c r="U11" s="356"/>
      <c r="V11" s="356"/>
      <c r="W11" s="356"/>
      <c r="X11" s="356"/>
      <c r="Y11" s="354"/>
      <c r="Z11" s="359"/>
      <c r="AA11" s="359"/>
      <c r="AB11" s="359"/>
      <c r="AC11" s="357">
        <f>1390193.46/1000</f>
        <v>1390.19346</v>
      </c>
      <c r="AD11" s="358">
        <f t="shared" si="0"/>
        <v>1860.0437199999999</v>
      </c>
      <c r="AE11" s="109"/>
    </row>
    <row r="12" spans="1:31" s="46" customFormat="1">
      <c r="A12" s="108" t="s">
        <v>273</v>
      </c>
      <c r="B12" s="150" t="s">
        <v>274</v>
      </c>
      <c r="C12" s="359"/>
      <c r="D12" s="356"/>
      <c r="E12" s="354"/>
      <c r="F12" s="359"/>
      <c r="G12" s="359"/>
      <c r="H12" s="359"/>
      <c r="I12" s="359">
        <f>1336.9/1000</f>
        <v>1.3369000000000002</v>
      </c>
      <c r="J12" s="359">
        <f>1365246.63/1000</f>
        <v>1365.2466299999999</v>
      </c>
      <c r="K12" s="359"/>
      <c r="L12" s="359"/>
      <c r="M12" s="368"/>
      <c r="N12" s="359">
        <f>28811.94/1000</f>
        <v>28.81194</v>
      </c>
      <c r="O12" s="359">
        <f>1139725.55/1000</f>
        <v>1139.7255500000001</v>
      </c>
      <c r="P12" s="359"/>
      <c r="Q12" s="359"/>
      <c r="R12" s="359"/>
      <c r="S12" s="359">
        <f>(951.09+783.52)/1000</f>
        <v>1.7346100000000002</v>
      </c>
      <c r="T12" s="367"/>
      <c r="U12" s="356"/>
      <c r="V12" s="356"/>
      <c r="W12" s="356"/>
      <c r="X12" s="356"/>
      <c r="Y12" s="354"/>
      <c r="Z12" s="359"/>
      <c r="AA12" s="359"/>
      <c r="AB12" s="359"/>
      <c r="AC12" s="357">
        <f>3459058.29/1000</f>
        <v>3459.0582899999999</v>
      </c>
      <c r="AD12" s="358">
        <f t="shared" si="0"/>
        <v>5995.91392</v>
      </c>
      <c r="AE12" s="109"/>
    </row>
    <row r="13" spans="1:31" s="46" customFormat="1">
      <c r="A13" s="110" t="s">
        <v>275</v>
      </c>
      <c r="B13" s="151" t="s">
        <v>276</v>
      </c>
      <c r="C13" s="360"/>
      <c r="D13" s="356"/>
      <c r="E13" s="354"/>
      <c r="F13" s="360"/>
      <c r="G13" s="360"/>
      <c r="H13" s="360"/>
      <c r="I13" s="360">
        <f>62.99/1000</f>
        <v>6.2990000000000004E-2</v>
      </c>
      <c r="J13" s="360">
        <f>179330.77/1000</f>
        <v>179.33077</v>
      </c>
      <c r="K13" s="360"/>
      <c r="L13" s="360">
        <f>-118.36/1000</f>
        <v>-0.11835999999999999</v>
      </c>
      <c r="M13" s="368"/>
      <c r="N13" s="360"/>
      <c r="O13" s="360">
        <f>-11500.53/1000</f>
        <v>-11.500530000000001</v>
      </c>
      <c r="P13" s="360"/>
      <c r="Q13" s="360"/>
      <c r="R13" s="360"/>
      <c r="S13" s="360"/>
      <c r="T13" s="367"/>
      <c r="U13" s="356"/>
      <c r="V13" s="356"/>
      <c r="W13" s="356"/>
      <c r="X13" s="356"/>
      <c r="Y13" s="354"/>
      <c r="Z13" s="360"/>
      <c r="AA13" s="360"/>
      <c r="AB13" s="360"/>
      <c r="AC13" s="361">
        <f>4819928.24/1000</f>
        <v>4819.9282400000002</v>
      </c>
      <c r="AD13" s="362">
        <f t="shared" si="0"/>
        <v>4987.7031100000004</v>
      </c>
      <c r="AE13" s="109"/>
    </row>
    <row r="14" spans="1:31" s="46" customFormat="1" ht="15" collapsed="1">
      <c r="A14" s="431" t="s">
        <v>56</v>
      </c>
      <c r="B14" s="432"/>
      <c r="C14" s="359">
        <f>SUM(C6:C13)</f>
        <v>0</v>
      </c>
      <c r="D14" s="383">
        <f t="shared" ref="D14:AC14" si="1">SUM(D6:D13)</f>
        <v>3.5334699999999999</v>
      </c>
      <c r="E14" s="359">
        <f t="shared" si="1"/>
        <v>0</v>
      </c>
      <c r="F14" s="359">
        <f t="shared" si="1"/>
        <v>0</v>
      </c>
      <c r="G14" s="359">
        <f t="shared" si="1"/>
        <v>0</v>
      </c>
      <c r="H14" s="359">
        <f t="shared" si="1"/>
        <v>0</v>
      </c>
      <c r="I14" s="359">
        <f t="shared" si="1"/>
        <v>1.3998900000000003</v>
      </c>
      <c r="J14" s="359">
        <f t="shared" si="1"/>
        <v>3953.7577500000002</v>
      </c>
      <c r="K14" s="359">
        <f t="shared" si="1"/>
        <v>0</v>
      </c>
      <c r="L14" s="359">
        <f t="shared" si="1"/>
        <v>-0.11835999999999999</v>
      </c>
      <c r="M14" s="368">
        <f t="shared" si="1"/>
        <v>0</v>
      </c>
      <c r="N14" s="359">
        <f t="shared" si="1"/>
        <v>47.903939999999999</v>
      </c>
      <c r="O14" s="359">
        <f t="shared" si="1"/>
        <v>1449.27432</v>
      </c>
      <c r="P14" s="359">
        <f t="shared" si="1"/>
        <v>0</v>
      </c>
      <c r="Q14" s="359">
        <f t="shared" si="1"/>
        <v>0</v>
      </c>
      <c r="R14" s="359">
        <f t="shared" si="1"/>
        <v>0</v>
      </c>
      <c r="S14" s="359">
        <f t="shared" si="1"/>
        <v>599.90813000000003</v>
      </c>
      <c r="T14" s="367">
        <f t="shared" si="1"/>
        <v>0</v>
      </c>
      <c r="U14" s="356">
        <f t="shared" si="1"/>
        <v>0</v>
      </c>
      <c r="V14" s="356">
        <f t="shared" si="1"/>
        <v>0</v>
      </c>
      <c r="W14" s="356">
        <f t="shared" si="1"/>
        <v>0</v>
      </c>
      <c r="X14" s="356">
        <f t="shared" si="1"/>
        <v>0</v>
      </c>
      <c r="Y14" s="354">
        <f t="shared" si="1"/>
        <v>0</v>
      </c>
      <c r="Z14" s="359">
        <f t="shared" si="1"/>
        <v>0</v>
      </c>
      <c r="AA14" s="359">
        <f t="shared" si="1"/>
        <v>0</v>
      </c>
      <c r="AB14" s="359">
        <f t="shared" si="1"/>
        <v>0</v>
      </c>
      <c r="AC14" s="357">
        <f t="shared" si="1"/>
        <v>15414.128950000002</v>
      </c>
      <c r="AD14" s="358">
        <f t="shared" si="0"/>
        <v>21469.788090000002</v>
      </c>
      <c r="AE14" s="109"/>
    </row>
    <row r="15" spans="1:31" s="46" customFormat="1">
      <c r="A15" s="111"/>
      <c r="B15" s="48"/>
      <c r="C15" s="364"/>
      <c r="D15" s="364"/>
      <c r="E15" s="364"/>
      <c r="F15" s="364"/>
      <c r="G15" s="364"/>
      <c r="H15" s="364"/>
      <c r="I15" s="364"/>
      <c r="J15" s="364"/>
      <c r="K15" s="364"/>
      <c r="L15" s="364"/>
      <c r="M15" s="363"/>
      <c r="N15" s="364"/>
      <c r="O15" s="364"/>
      <c r="P15" s="364"/>
      <c r="Q15" s="364"/>
      <c r="R15" s="363"/>
      <c r="S15" s="364"/>
      <c r="T15" s="363"/>
      <c r="U15" s="363"/>
      <c r="V15" s="363"/>
      <c r="W15" s="363"/>
      <c r="X15" s="363"/>
      <c r="Y15" s="363"/>
      <c r="Z15" s="364"/>
      <c r="AA15" s="363"/>
      <c r="AB15" s="364"/>
      <c r="AC15" s="364"/>
      <c r="AD15" s="365"/>
      <c r="AE15" s="109"/>
    </row>
    <row r="16" spans="1:31" s="46" customFormat="1" ht="15">
      <c r="A16" s="113" t="s">
        <v>57</v>
      </c>
      <c r="B16" s="152" t="s">
        <v>54</v>
      </c>
      <c r="C16" s="364"/>
      <c r="D16" s="366"/>
      <c r="E16" s="366"/>
      <c r="F16" s="364"/>
      <c r="G16" s="364"/>
      <c r="H16" s="364"/>
      <c r="I16" s="364"/>
      <c r="J16" s="364"/>
      <c r="K16" s="364"/>
      <c r="L16" s="364"/>
      <c r="M16" s="366"/>
      <c r="N16" s="364"/>
      <c r="O16" s="364"/>
      <c r="P16" s="364"/>
      <c r="Q16" s="364"/>
      <c r="R16" s="366"/>
      <c r="S16" s="364"/>
      <c r="T16" s="366"/>
      <c r="U16" s="366"/>
      <c r="V16" s="366"/>
      <c r="W16" s="366"/>
      <c r="X16" s="366"/>
      <c r="Y16" s="366"/>
      <c r="Z16" s="364"/>
      <c r="AA16" s="366"/>
      <c r="AB16" s="364"/>
      <c r="AC16" s="364"/>
      <c r="AD16" s="365"/>
      <c r="AE16" s="109"/>
    </row>
    <row r="17" spans="1:31" s="46" customFormat="1">
      <c r="A17" s="108" t="s">
        <v>277</v>
      </c>
      <c r="B17" s="150" t="s">
        <v>278</v>
      </c>
      <c r="C17" s="355"/>
      <c r="D17" s="356"/>
      <c r="E17" s="354"/>
      <c r="F17" s="359"/>
      <c r="G17" s="359"/>
      <c r="H17" s="359"/>
      <c r="I17" s="359">
        <f>7800/1000</f>
        <v>7.8</v>
      </c>
      <c r="J17" s="359">
        <f>122420.78/1000</f>
        <v>122.42077999999999</v>
      </c>
      <c r="K17" s="359"/>
      <c r="L17" s="359"/>
      <c r="M17" s="368"/>
      <c r="N17" s="359">
        <f>415343/1000</f>
        <v>415.34300000000002</v>
      </c>
      <c r="O17" s="359">
        <f>63157/1000</f>
        <v>63.156999999999996</v>
      </c>
      <c r="P17" s="359"/>
      <c r="Q17" s="359"/>
      <c r="R17" s="359"/>
      <c r="S17" s="359"/>
      <c r="T17" s="367"/>
      <c r="U17" s="356"/>
      <c r="V17" s="356"/>
      <c r="W17" s="356"/>
      <c r="X17" s="356"/>
      <c r="Y17" s="354"/>
      <c r="Z17" s="359"/>
      <c r="AA17" s="359"/>
      <c r="AB17" s="359"/>
      <c r="AC17" s="357">
        <f>776968.26/1000</f>
        <v>776.96825999999999</v>
      </c>
      <c r="AD17" s="358">
        <f>SUM(C17:AC17)</f>
        <v>1385.68904</v>
      </c>
      <c r="AE17" s="109"/>
    </row>
    <row r="18" spans="1:31" s="46" customFormat="1">
      <c r="A18" s="108" t="s">
        <v>22</v>
      </c>
      <c r="B18" s="150" t="s">
        <v>55</v>
      </c>
      <c r="C18" s="359"/>
      <c r="D18" s="356"/>
      <c r="E18" s="354"/>
      <c r="F18" s="359"/>
      <c r="G18" s="359"/>
      <c r="H18" s="359"/>
      <c r="I18" s="359"/>
      <c r="J18" s="359"/>
      <c r="K18" s="359"/>
      <c r="L18" s="359"/>
      <c r="M18" s="368"/>
      <c r="N18" s="359"/>
      <c r="O18" s="359"/>
      <c r="P18" s="359"/>
      <c r="Q18" s="359"/>
      <c r="R18" s="359"/>
      <c r="S18" s="359"/>
      <c r="T18" s="367"/>
      <c r="U18" s="356"/>
      <c r="V18" s="356"/>
      <c r="W18" s="356"/>
      <c r="X18" s="356"/>
      <c r="Y18" s="354"/>
      <c r="Z18" s="359"/>
      <c r="AA18" s="359"/>
      <c r="AB18" s="359"/>
      <c r="AC18" s="357"/>
      <c r="AD18" s="358">
        <f>SUM(C18:AC18)</f>
        <v>0</v>
      </c>
      <c r="AE18" s="109"/>
    </row>
    <row r="19" spans="1:31" s="46" customFormat="1">
      <c r="A19" s="110" t="s">
        <v>23</v>
      </c>
      <c r="B19" s="151" t="s">
        <v>279</v>
      </c>
      <c r="C19" s="360"/>
      <c r="D19" s="356"/>
      <c r="E19" s="354"/>
      <c r="F19" s="360"/>
      <c r="G19" s="360"/>
      <c r="H19" s="360"/>
      <c r="I19" s="360"/>
      <c r="J19" s="360"/>
      <c r="K19" s="360"/>
      <c r="L19" s="360"/>
      <c r="M19" s="368"/>
      <c r="N19" s="360"/>
      <c r="O19" s="360"/>
      <c r="P19" s="360"/>
      <c r="Q19" s="360"/>
      <c r="R19" s="360"/>
      <c r="S19" s="360"/>
      <c r="T19" s="367"/>
      <c r="U19" s="356"/>
      <c r="V19" s="356"/>
      <c r="W19" s="356"/>
      <c r="X19" s="356"/>
      <c r="Y19" s="354"/>
      <c r="Z19" s="360"/>
      <c r="AA19" s="360"/>
      <c r="AB19" s="360"/>
      <c r="AC19" s="361"/>
      <c r="AD19" s="362">
        <f>SUM(C19:AC19)</f>
        <v>0</v>
      </c>
      <c r="AE19" s="109"/>
    </row>
    <row r="20" spans="1:31" s="46" customFormat="1" ht="15" collapsed="1">
      <c r="A20" s="431" t="s">
        <v>58</v>
      </c>
      <c r="B20" s="432"/>
      <c r="C20" s="359">
        <f>SUM(C17:C19)</f>
        <v>0</v>
      </c>
      <c r="D20" s="356">
        <f t="shared" ref="D20:AC20" si="2">SUM(D17:D19)</f>
        <v>0</v>
      </c>
      <c r="E20" s="354">
        <f t="shared" si="2"/>
        <v>0</v>
      </c>
      <c r="F20" s="359">
        <f t="shared" si="2"/>
        <v>0</v>
      </c>
      <c r="G20" s="359">
        <f t="shared" si="2"/>
        <v>0</v>
      </c>
      <c r="H20" s="359">
        <f t="shared" si="2"/>
        <v>0</v>
      </c>
      <c r="I20" s="359">
        <f t="shared" si="2"/>
        <v>7.8</v>
      </c>
      <c r="J20" s="359">
        <f t="shared" si="2"/>
        <v>122.42077999999999</v>
      </c>
      <c r="K20" s="359">
        <f t="shared" si="2"/>
        <v>0</v>
      </c>
      <c r="L20" s="359">
        <f t="shared" si="2"/>
        <v>0</v>
      </c>
      <c r="M20" s="368">
        <f t="shared" si="2"/>
        <v>0</v>
      </c>
      <c r="N20" s="359">
        <f t="shared" si="2"/>
        <v>415.34300000000002</v>
      </c>
      <c r="O20" s="359">
        <f t="shared" si="2"/>
        <v>63.156999999999996</v>
      </c>
      <c r="P20" s="359">
        <f t="shared" si="2"/>
        <v>0</v>
      </c>
      <c r="Q20" s="359">
        <f t="shared" si="2"/>
        <v>0</v>
      </c>
      <c r="R20" s="359">
        <f t="shared" si="2"/>
        <v>0</v>
      </c>
      <c r="S20" s="359">
        <f t="shared" si="2"/>
        <v>0</v>
      </c>
      <c r="T20" s="367">
        <f t="shared" si="2"/>
        <v>0</v>
      </c>
      <c r="U20" s="356">
        <f t="shared" si="2"/>
        <v>0</v>
      </c>
      <c r="V20" s="356">
        <f t="shared" si="2"/>
        <v>0</v>
      </c>
      <c r="W20" s="356">
        <f t="shared" si="2"/>
        <v>0</v>
      </c>
      <c r="X20" s="356">
        <f t="shared" si="2"/>
        <v>0</v>
      </c>
      <c r="Y20" s="354">
        <f t="shared" si="2"/>
        <v>0</v>
      </c>
      <c r="Z20" s="359">
        <f t="shared" si="2"/>
        <v>0</v>
      </c>
      <c r="AA20" s="359">
        <f t="shared" si="2"/>
        <v>0</v>
      </c>
      <c r="AB20" s="359">
        <f t="shared" si="2"/>
        <v>0</v>
      </c>
      <c r="AC20" s="357">
        <f t="shared" si="2"/>
        <v>776.96825999999999</v>
      </c>
      <c r="AD20" s="358">
        <f>SUM(C20:AC20)</f>
        <v>1385.68904</v>
      </c>
      <c r="AE20" s="109"/>
    </row>
    <row r="21" spans="1:31" s="46" customFormat="1">
      <c r="A21" s="111"/>
      <c r="B21" s="48"/>
      <c r="C21" s="364"/>
      <c r="D21" s="363"/>
      <c r="E21" s="363"/>
      <c r="F21" s="364"/>
      <c r="G21" s="364"/>
      <c r="H21" s="364"/>
      <c r="I21" s="364"/>
      <c r="J21" s="364"/>
      <c r="K21" s="364"/>
      <c r="L21" s="364"/>
      <c r="M21" s="363"/>
      <c r="N21" s="364"/>
      <c r="O21" s="364"/>
      <c r="P21" s="364"/>
      <c r="Q21" s="364"/>
      <c r="R21" s="363"/>
      <c r="S21" s="364"/>
      <c r="T21" s="363"/>
      <c r="U21" s="363"/>
      <c r="V21" s="363"/>
      <c r="W21" s="363"/>
      <c r="X21" s="363"/>
      <c r="Y21" s="363"/>
      <c r="Z21" s="364"/>
      <c r="AA21" s="363"/>
      <c r="AB21" s="364"/>
      <c r="AC21" s="364"/>
      <c r="AD21" s="365"/>
      <c r="AE21" s="109"/>
    </row>
    <row r="22" spans="1:31" s="46" customFormat="1" ht="15">
      <c r="A22" s="113" t="s">
        <v>59</v>
      </c>
      <c r="B22" s="152" t="s">
        <v>280</v>
      </c>
      <c r="C22" s="364"/>
      <c r="D22" s="366"/>
      <c r="E22" s="366"/>
      <c r="F22" s="364"/>
      <c r="G22" s="364"/>
      <c r="H22" s="364"/>
      <c r="I22" s="364"/>
      <c r="J22" s="364"/>
      <c r="K22" s="364"/>
      <c r="L22" s="364"/>
      <c r="M22" s="364"/>
      <c r="N22" s="364"/>
      <c r="O22" s="364"/>
      <c r="P22" s="364"/>
      <c r="Q22" s="364"/>
      <c r="R22" s="366"/>
      <c r="S22" s="364"/>
      <c r="T22" s="366"/>
      <c r="U22" s="366"/>
      <c r="V22" s="366"/>
      <c r="W22" s="366"/>
      <c r="X22" s="366"/>
      <c r="Y22" s="366"/>
      <c r="Z22" s="364"/>
      <c r="AA22" s="366"/>
      <c r="AB22" s="364"/>
      <c r="AC22" s="364"/>
      <c r="AD22" s="365"/>
      <c r="AE22" s="109"/>
    </row>
    <row r="23" spans="1:31" s="46" customFormat="1">
      <c r="A23" s="108" t="s">
        <v>25</v>
      </c>
      <c r="B23" s="150" t="s">
        <v>281</v>
      </c>
      <c r="C23" s="355"/>
      <c r="D23" s="356"/>
      <c r="E23" s="354"/>
      <c r="F23" s="359"/>
      <c r="G23" s="359"/>
      <c r="H23" s="359"/>
      <c r="I23" s="359"/>
      <c r="J23" s="359">
        <f>1760324.27/1000</f>
        <v>1760.3242700000001</v>
      </c>
      <c r="K23" s="359"/>
      <c r="L23" s="359"/>
      <c r="M23" s="359"/>
      <c r="N23" s="359">
        <f>172237.42/1000</f>
        <v>172.23742000000001</v>
      </c>
      <c r="O23" s="359">
        <f>5000/1000</f>
        <v>5</v>
      </c>
      <c r="P23" s="359">
        <f>6106116/1000</f>
        <v>6106.116</v>
      </c>
      <c r="Q23" s="359"/>
      <c r="R23" s="359"/>
      <c r="S23" s="359">
        <f>131657.73/1000</f>
        <v>131.65773000000002</v>
      </c>
      <c r="T23" s="367"/>
      <c r="U23" s="356"/>
      <c r="V23" s="356"/>
      <c r="W23" s="356"/>
      <c r="X23" s="356"/>
      <c r="Y23" s="354"/>
      <c r="Z23" s="359"/>
      <c r="AA23" s="359"/>
      <c r="AB23" s="359"/>
      <c r="AC23" s="357">
        <f>1839566.54/1000</f>
        <v>1839.56654</v>
      </c>
      <c r="AD23" s="358">
        <f t="shared" ref="AD23:AD28" si="3">SUM(C23:AC23)</f>
        <v>10014.901960000001</v>
      </c>
      <c r="AE23" s="109"/>
    </row>
    <row r="24" spans="1:31" s="46" customFormat="1">
      <c r="A24" s="108" t="s">
        <v>26</v>
      </c>
      <c r="B24" s="150" t="s">
        <v>282</v>
      </c>
      <c r="C24" s="359"/>
      <c r="D24" s="356"/>
      <c r="E24" s="354"/>
      <c r="F24" s="359">
        <f>53272/1000</f>
        <v>53.271999999999998</v>
      </c>
      <c r="G24" s="359"/>
      <c r="H24" s="359">
        <f>102701.36/1000</f>
        <v>102.70135999999999</v>
      </c>
      <c r="I24" s="359">
        <f>5346.48/1000</f>
        <v>5.3464799999999997</v>
      </c>
      <c r="J24" s="359">
        <f>8164290.95/1000</f>
        <v>8164.2909500000005</v>
      </c>
      <c r="K24" s="359">
        <f>9524.08/1000</f>
        <v>9.5240799999999997</v>
      </c>
      <c r="L24" s="359">
        <f>111823.36/1000</f>
        <v>111.82335999999999</v>
      </c>
      <c r="M24" s="385"/>
      <c r="N24" s="359"/>
      <c r="O24" s="359"/>
      <c r="P24" s="359"/>
      <c r="Q24" s="359"/>
      <c r="R24" s="359"/>
      <c r="S24" s="359">
        <f>(2233595.33+1548834.87+16849991.64)/1000</f>
        <v>20632.421839999999</v>
      </c>
      <c r="T24" s="367"/>
      <c r="U24" s="356"/>
      <c r="V24" s="356"/>
      <c r="W24" s="356"/>
      <c r="X24" s="356"/>
      <c r="Y24" s="354"/>
      <c r="Z24" s="359"/>
      <c r="AA24" s="359"/>
      <c r="AB24" s="359"/>
      <c r="AC24" s="357">
        <f>9792370.01/1000</f>
        <v>9792.3700100000005</v>
      </c>
      <c r="AD24" s="358">
        <f t="shared" si="3"/>
        <v>38871.750079999998</v>
      </c>
      <c r="AE24" s="109"/>
    </row>
    <row r="25" spans="1:31" s="46" customFormat="1">
      <c r="A25" s="108" t="s">
        <v>283</v>
      </c>
      <c r="B25" s="150" t="s">
        <v>284</v>
      </c>
      <c r="C25" s="359"/>
      <c r="D25" s="356"/>
      <c r="E25" s="354"/>
      <c r="F25" s="359"/>
      <c r="G25" s="359"/>
      <c r="H25" s="359"/>
      <c r="I25" s="359"/>
      <c r="J25" s="359"/>
      <c r="K25" s="359"/>
      <c r="L25" s="359"/>
      <c r="M25" s="368"/>
      <c r="N25" s="359"/>
      <c r="O25" s="359"/>
      <c r="P25" s="359"/>
      <c r="Q25" s="359"/>
      <c r="R25" s="359"/>
      <c r="S25" s="359"/>
      <c r="T25" s="367"/>
      <c r="U25" s="356"/>
      <c r="V25" s="356"/>
      <c r="W25" s="356"/>
      <c r="X25" s="356"/>
      <c r="Y25" s="354"/>
      <c r="Z25" s="359"/>
      <c r="AA25" s="359"/>
      <c r="AB25" s="359"/>
      <c r="AC25" s="357"/>
      <c r="AD25" s="358">
        <f t="shared" si="3"/>
        <v>0</v>
      </c>
      <c r="AE25" s="109"/>
    </row>
    <row r="26" spans="1:31" s="46" customFormat="1">
      <c r="A26" s="108" t="s">
        <v>285</v>
      </c>
      <c r="B26" s="150" t="s">
        <v>286</v>
      </c>
      <c r="C26" s="359"/>
      <c r="D26" s="356"/>
      <c r="E26" s="354"/>
      <c r="F26" s="359"/>
      <c r="G26" s="359">
        <f>2724/1000</f>
        <v>2.7240000000000002</v>
      </c>
      <c r="H26" s="359"/>
      <c r="I26" s="359"/>
      <c r="J26" s="359">
        <f>3803260.91/1000</f>
        <v>3803.26091</v>
      </c>
      <c r="K26" s="359"/>
      <c r="L26" s="359">
        <f>55219.12/1000</f>
        <v>55.219120000000004</v>
      </c>
      <c r="M26" s="386"/>
      <c r="N26" s="359">
        <f>257071/1000</f>
        <v>257.07100000000003</v>
      </c>
      <c r="O26" s="359"/>
      <c r="P26" s="359">
        <f>500000/1000</f>
        <v>500</v>
      </c>
      <c r="Q26" s="359"/>
      <c r="R26" s="359"/>
      <c r="S26" s="359">
        <f>(1061865.52+1438944.66+3235534.21+388566)/1000</f>
        <v>6124.91039</v>
      </c>
      <c r="T26" s="367"/>
      <c r="U26" s="356"/>
      <c r="V26" s="356"/>
      <c r="W26" s="356"/>
      <c r="X26" s="356"/>
      <c r="Y26" s="354"/>
      <c r="Z26" s="359"/>
      <c r="AA26" s="359"/>
      <c r="AB26" s="359"/>
      <c r="AC26" s="357">
        <f>9604132.06/1000</f>
        <v>9604.1320599999999</v>
      </c>
      <c r="AD26" s="358">
        <f t="shared" si="3"/>
        <v>20347.317480000002</v>
      </c>
      <c r="AE26" s="109"/>
    </row>
    <row r="27" spans="1:31" s="46" customFormat="1">
      <c r="A27" s="110" t="s">
        <v>192</v>
      </c>
      <c r="B27" s="151" t="s">
        <v>287</v>
      </c>
      <c r="C27" s="360"/>
      <c r="D27" s="356"/>
      <c r="E27" s="354"/>
      <c r="F27" s="360"/>
      <c r="G27" s="360"/>
      <c r="H27" s="360"/>
      <c r="I27" s="360"/>
      <c r="J27" s="360">
        <f>2177704.81/1000</f>
        <v>2177.7048100000002</v>
      </c>
      <c r="K27" s="360"/>
      <c r="L27" s="360"/>
      <c r="M27" s="360">
        <f>14508341.11/1000</f>
        <v>14508.341109999999</v>
      </c>
      <c r="N27" s="360">
        <f>47368779/1000</f>
        <v>47368.779000000002</v>
      </c>
      <c r="O27" s="360">
        <f>5518188.91/1000</f>
        <v>5518.1889099999999</v>
      </c>
      <c r="P27" s="360">
        <f>1011666/1000</f>
        <v>1011.6660000000001</v>
      </c>
      <c r="Q27" s="360">
        <f>989304/1000</f>
        <v>989.30399999999997</v>
      </c>
      <c r="R27" s="360"/>
      <c r="S27" s="360">
        <f>2607759/1000</f>
        <v>2607.759</v>
      </c>
      <c r="T27" s="367"/>
      <c r="U27" s="356"/>
      <c r="V27" s="356"/>
      <c r="W27" s="356"/>
      <c r="X27" s="356"/>
      <c r="Y27" s="354"/>
      <c r="Z27" s="360"/>
      <c r="AA27" s="360"/>
      <c r="AB27" s="360"/>
      <c r="AC27" s="361">
        <f>899564.03/1000</f>
        <v>899.56403</v>
      </c>
      <c r="AD27" s="362">
        <f t="shared" si="3"/>
        <v>75081.306859999997</v>
      </c>
      <c r="AE27" s="109"/>
    </row>
    <row r="28" spans="1:31" s="46" customFormat="1" ht="15" collapsed="1">
      <c r="A28" s="431" t="s">
        <v>60</v>
      </c>
      <c r="B28" s="432"/>
      <c r="C28" s="359">
        <f>SUM(C23:C27)</f>
        <v>0</v>
      </c>
      <c r="D28" s="356">
        <f t="shared" ref="D28:AC28" si="4">SUM(D23:D27)</f>
        <v>0</v>
      </c>
      <c r="E28" s="354">
        <f t="shared" si="4"/>
        <v>0</v>
      </c>
      <c r="F28" s="359">
        <f t="shared" si="4"/>
        <v>53.271999999999998</v>
      </c>
      <c r="G28" s="359">
        <f t="shared" si="4"/>
        <v>2.7240000000000002</v>
      </c>
      <c r="H28" s="359">
        <f t="shared" si="4"/>
        <v>102.70135999999999</v>
      </c>
      <c r="I28" s="359">
        <f t="shared" si="4"/>
        <v>5.3464799999999997</v>
      </c>
      <c r="J28" s="359">
        <f t="shared" si="4"/>
        <v>15905.58094</v>
      </c>
      <c r="K28" s="359">
        <f t="shared" si="4"/>
        <v>9.5240799999999997</v>
      </c>
      <c r="L28" s="359">
        <f t="shared" si="4"/>
        <v>167.04248000000001</v>
      </c>
      <c r="M28" s="359">
        <f t="shared" si="4"/>
        <v>14508.341109999999</v>
      </c>
      <c r="N28" s="359">
        <f t="shared" si="4"/>
        <v>47798.087420000003</v>
      </c>
      <c r="O28" s="359">
        <f t="shared" si="4"/>
        <v>5523.1889099999999</v>
      </c>
      <c r="P28" s="359">
        <f t="shared" si="4"/>
        <v>7617.7820000000002</v>
      </c>
      <c r="Q28" s="359">
        <f t="shared" si="4"/>
        <v>989.30399999999997</v>
      </c>
      <c r="R28" s="359">
        <f t="shared" si="4"/>
        <v>0</v>
      </c>
      <c r="S28" s="359">
        <f t="shared" si="4"/>
        <v>29496.748959999997</v>
      </c>
      <c r="T28" s="367">
        <f t="shared" si="4"/>
        <v>0</v>
      </c>
      <c r="U28" s="356">
        <f t="shared" si="4"/>
        <v>0</v>
      </c>
      <c r="V28" s="356">
        <f t="shared" si="4"/>
        <v>0</v>
      </c>
      <c r="W28" s="356">
        <f t="shared" si="4"/>
        <v>0</v>
      </c>
      <c r="X28" s="356">
        <f t="shared" si="4"/>
        <v>0</v>
      </c>
      <c r="Y28" s="354">
        <f t="shared" si="4"/>
        <v>0</v>
      </c>
      <c r="Z28" s="359">
        <f t="shared" si="4"/>
        <v>0</v>
      </c>
      <c r="AA28" s="359">
        <f t="shared" si="4"/>
        <v>0</v>
      </c>
      <c r="AB28" s="359">
        <f t="shared" si="4"/>
        <v>0</v>
      </c>
      <c r="AC28" s="357">
        <f t="shared" si="4"/>
        <v>22135.632640000003</v>
      </c>
      <c r="AD28" s="358">
        <f t="shared" si="3"/>
        <v>144315.27638</v>
      </c>
      <c r="AE28" s="109"/>
    </row>
    <row r="29" spans="1:31" s="46" customFormat="1">
      <c r="A29" s="111"/>
      <c r="B29" s="48"/>
      <c r="C29" s="364"/>
      <c r="D29" s="363"/>
      <c r="E29" s="363"/>
      <c r="F29" s="364"/>
      <c r="G29" s="364"/>
      <c r="H29" s="364"/>
      <c r="I29" s="364"/>
      <c r="J29" s="364"/>
      <c r="K29" s="364"/>
      <c r="L29" s="364"/>
      <c r="M29" s="364"/>
      <c r="N29" s="364"/>
      <c r="O29" s="364"/>
      <c r="P29" s="364"/>
      <c r="Q29" s="364"/>
      <c r="R29" s="363"/>
      <c r="S29" s="364"/>
      <c r="T29" s="363"/>
      <c r="U29" s="363"/>
      <c r="V29" s="363"/>
      <c r="W29" s="363"/>
      <c r="X29" s="363"/>
      <c r="Y29" s="363"/>
      <c r="Z29" s="364"/>
      <c r="AA29" s="363"/>
      <c r="AB29" s="364"/>
      <c r="AC29" s="364"/>
      <c r="AD29" s="365"/>
      <c r="AE29" s="109"/>
    </row>
    <row r="30" spans="1:31" s="46" customFormat="1" ht="15">
      <c r="A30" s="113" t="s">
        <v>61</v>
      </c>
      <c r="B30" s="152" t="s">
        <v>288</v>
      </c>
      <c r="C30" s="364"/>
      <c r="D30" s="366"/>
      <c r="E30" s="366"/>
      <c r="F30" s="364"/>
      <c r="G30" s="364"/>
      <c r="H30" s="364"/>
      <c r="I30" s="364"/>
      <c r="J30" s="364"/>
      <c r="K30" s="364"/>
      <c r="L30" s="364"/>
      <c r="M30" s="366"/>
      <c r="N30" s="364"/>
      <c r="O30" s="364"/>
      <c r="P30" s="364"/>
      <c r="Q30" s="364"/>
      <c r="R30" s="366"/>
      <c r="S30" s="364"/>
      <c r="T30" s="366"/>
      <c r="U30" s="366"/>
      <c r="V30" s="366"/>
      <c r="W30" s="366"/>
      <c r="X30" s="366"/>
      <c r="Y30" s="366"/>
      <c r="Z30" s="364"/>
      <c r="AA30" s="366"/>
      <c r="AB30" s="364"/>
      <c r="AC30" s="364"/>
      <c r="AD30" s="365"/>
      <c r="AE30" s="109"/>
    </row>
    <row r="31" spans="1:31" s="46" customFormat="1">
      <c r="A31" s="108" t="s">
        <v>289</v>
      </c>
      <c r="B31" s="150" t="s">
        <v>290</v>
      </c>
      <c r="C31" s="355"/>
      <c r="D31" s="356"/>
      <c r="E31" s="354"/>
      <c r="F31" s="359"/>
      <c r="G31" s="359"/>
      <c r="H31" s="359"/>
      <c r="I31" s="359">
        <f>6969/1000</f>
        <v>6.9690000000000003</v>
      </c>
      <c r="J31" s="359">
        <f>400015.14/1000</f>
        <v>400.01514000000003</v>
      </c>
      <c r="K31" s="359"/>
      <c r="L31" s="359">
        <f>391.05/1000</f>
        <v>0.39105000000000001</v>
      </c>
      <c r="M31" s="368"/>
      <c r="N31" s="359">
        <f>7143/1000</f>
        <v>7.1429999999999998</v>
      </c>
      <c r="O31" s="359">
        <f>-50697.9/1000</f>
        <v>-50.697900000000004</v>
      </c>
      <c r="P31" s="359">
        <f>6133.89/1000</f>
        <v>6.1338900000000001</v>
      </c>
      <c r="Q31" s="359"/>
      <c r="R31" s="359"/>
      <c r="S31" s="359">
        <f>(198907.64+9512.64)/1000</f>
        <v>208.42028000000002</v>
      </c>
      <c r="T31" s="367"/>
      <c r="U31" s="356"/>
      <c r="V31" s="356"/>
      <c r="W31" s="356"/>
      <c r="X31" s="356"/>
      <c r="Y31" s="354"/>
      <c r="Z31" s="359"/>
      <c r="AA31" s="359"/>
      <c r="AB31" s="359"/>
      <c r="AC31" s="357">
        <f>1249776.94/1000</f>
        <v>1249.77694</v>
      </c>
      <c r="AD31" s="358">
        <f t="shared" ref="AD31:AD37" si="5">SUM(C31:AC31)</f>
        <v>1828.1514</v>
      </c>
      <c r="AE31" s="109"/>
    </row>
    <row r="32" spans="1:31" s="46" customFormat="1">
      <c r="A32" s="108" t="s">
        <v>291</v>
      </c>
      <c r="B32" s="150" t="s">
        <v>292</v>
      </c>
      <c r="C32" s="359"/>
      <c r="D32" s="356"/>
      <c r="E32" s="354"/>
      <c r="F32" s="359"/>
      <c r="G32" s="359"/>
      <c r="H32" s="359"/>
      <c r="I32" s="359"/>
      <c r="J32" s="359">
        <f>407504/1000</f>
        <v>407.50400000000002</v>
      </c>
      <c r="K32" s="359"/>
      <c r="L32" s="359"/>
      <c r="M32" s="368"/>
      <c r="N32" s="359"/>
      <c r="O32" s="359"/>
      <c r="P32" s="359"/>
      <c r="Q32" s="359"/>
      <c r="R32" s="359"/>
      <c r="S32" s="359"/>
      <c r="T32" s="367"/>
      <c r="U32" s="356"/>
      <c r="V32" s="356"/>
      <c r="W32" s="356"/>
      <c r="X32" s="356"/>
      <c r="Y32" s="354"/>
      <c r="Z32" s="359"/>
      <c r="AA32" s="359"/>
      <c r="AB32" s="359"/>
      <c r="AC32" s="357">
        <f>158070.55/1000</f>
        <v>158.07055</v>
      </c>
      <c r="AD32" s="358">
        <f t="shared" si="5"/>
        <v>565.57455000000004</v>
      </c>
      <c r="AE32" s="109"/>
    </row>
    <row r="33" spans="1:31" s="46" customFormat="1">
      <c r="A33" s="108" t="s">
        <v>293</v>
      </c>
      <c r="B33" s="150" t="s">
        <v>294</v>
      </c>
      <c r="C33" s="359"/>
      <c r="D33" s="356"/>
      <c r="E33" s="354"/>
      <c r="F33" s="359"/>
      <c r="G33" s="359"/>
      <c r="H33" s="359"/>
      <c r="I33" s="359"/>
      <c r="J33" s="359"/>
      <c r="K33" s="359"/>
      <c r="L33" s="359"/>
      <c r="M33" s="368"/>
      <c r="N33" s="359"/>
      <c r="O33" s="359"/>
      <c r="P33" s="359"/>
      <c r="Q33" s="359"/>
      <c r="R33" s="359"/>
      <c r="S33" s="359"/>
      <c r="T33" s="367"/>
      <c r="U33" s="356"/>
      <c r="V33" s="356"/>
      <c r="W33" s="356"/>
      <c r="X33" s="356"/>
      <c r="Y33" s="354"/>
      <c r="Z33" s="359"/>
      <c r="AA33" s="359"/>
      <c r="AB33" s="359"/>
      <c r="AC33" s="357"/>
      <c r="AD33" s="358">
        <f t="shared" si="5"/>
        <v>0</v>
      </c>
      <c r="AE33" s="109"/>
    </row>
    <row r="34" spans="1:31" s="46" customFormat="1">
      <c r="A34" s="108" t="s">
        <v>295</v>
      </c>
      <c r="B34" s="150" t="s">
        <v>296</v>
      </c>
      <c r="C34" s="359"/>
      <c r="D34" s="356"/>
      <c r="E34" s="354"/>
      <c r="F34" s="359"/>
      <c r="G34" s="359"/>
      <c r="H34" s="359"/>
      <c r="I34" s="359"/>
      <c r="J34" s="359"/>
      <c r="K34" s="359"/>
      <c r="L34" s="359"/>
      <c r="M34" s="368"/>
      <c r="N34" s="359"/>
      <c r="O34" s="359"/>
      <c r="P34" s="359"/>
      <c r="Q34" s="359"/>
      <c r="R34" s="359"/>
      <c r="S34" s="359"/>
      <c r="T34" s="367"/>
      <c r="U34" s="356"/>
      <c r="V34" s="356"/>
      <c r="W34" s="356"/>
      <c r="X34" s="356"/>
      <c r="Y34" s="354"/>
      <c r="Z34" s="359"/>
      <c r="AA34" s="359"/>
      <c r="AB34" s="359"/>
      <c r="AC34" s="357"/>
      <c r="AD34" s="358">
        <f t="shared" si="5"/>
        <v>0</v>
      </c>
      <c r="AE34" s="109"/>
    </row>
    <row r="35" spans="1:31" s="46" customFormat="1">
      <c r="A35" s="108" t="s">
        <v>297</v>
      </c>
      <c r="B35" s="150" t="s">
        <v>298</v>
      </c>
      <c r="C35" s="359"/>
      <c r="D35" s="356"/>
      <c r="E35" s="354"/>
      <c r="F35" s="359"/>
      <c r="G35" s="359"/>
      <c r="H35" s="359"/>
      <c r="I35" s="359"/>
      <c r="J35" s="359"/>
      <c r="K35" s="359"/>
      <c r="L35" s="359"/>
      <c r="M35" s="368"/>
      <c r="N35" s="359"/>
      <c r="O35" s="359"/>
      <c r="P35" s="359"/>
      <c r="Q35" s="359"/>
      <c r="R35" s="359"/>
      <c r="S35" s="359"/>
      <c r="T35" s="367"/>
      <c r="U35" s="356"/>
      <c r="V35" s="356"/>
      <c r="W35" s="356"/>
      <c r="X35" s="356"/>
      <c r="Y35" s="354"/>
      <c r="Z35" s="359"/>
      <c r="AA35" s="359"/>
      <c r="AB35" s="359"/>
      <c r="AC35" s="357"/>
      <c r="AD35" s="358">
        <f t="shared" si="5"/>
        <v>0</v>
      </c>
      <c r="AE35" s="109"/>
    </row>
    <row r="36" spans="1:31" s="46" customFormat="1">
      <c r="A36" s="110" t="s">
        <v>299</v>
      </c>
      <c r="B36" s="151" t="s">
        <v>300</v>
      </c>
      <c r="C36" s="360"/>
      <c r="D36" s="356"/>
      <c r="E36" s="354"/>
      <c r="F36" s="360"/>
      <c r="G36" s="360"/>
      <c r="H36" s="360"/>
      <c r="I36" s="360"/>
      <c r="J36" s="360"/>
      <c r="K36" s="360"/>
      <c r="L36" s="360"/>
      <c r="M36" s="368"/>
      <c r="N36" s="360"/>
      <c r="O36" s="360"/>
      <c r="P36" s="360"/>
      <c r="Q36" s="360"/>
      <c r="R36" s="360"/>
      <c r="S36" s="360"/>
      <c r="T36" s="367"/>
      <c r="U36" s="356"/>
      <c r="V36" s="356"/>
      <c r="W36" s="356"/>
      <c r="X36" s="356"/>
      <c r="Y36" s="354"/>
      <c r="Z36" s="360"/>
      <c r="AA36" s="360"/>
      <c r="AB36" s="360"/>
      <c r="AC36" s="361"/>
      <c r="AD36" s="362">
        <f t="shared" si="5"/>
        <v>0</v>
      </c>
      <c r="AE36" s="109"/>
    </row>
    <row r="37" spans="1:31" s="46" customFormat="1" ht="15" collapsed="1">
      <c r="A37" s="433" t="s">
        <v>62</v>
      </c>
      <c r="B37" s="434"/>
      <c r="C37" s="359">
        <f>SUM(C31:C36)</f>
        <v>0</v>
      </c>
      <c r="D37" s="356">
        <f t="shared" ref="D37:AC37" si="6">SUM(D31:D36)</f>
        <v>0</v>
      </c>
      <c r="E37" s="354">
        <f t="shared" si="6"/>
        <v>0</v>
      </c>
      <c r="F37" s="359">
        <f t="shared" si="6"/>
        <v>0</v>
      </c>
      <c r="G37" s="359">
        <f t="shared" si="6"/>
        <v>0</v>
      </c>
      <c r="H37" s="359">
        <f t="shared" si="6"/>
        <v>0</v>
      </c>
      <c r="I37" s="359">
        <f t="shared" si="6"/>
        <v>6.9690000000000003</v>
      </c>
      <c r="J37" s="359">
        <f t="shared" si="6"/>
        <v>807.51914000000011</v>
      </c>
      <c r="K37" s="359">
        <f t="shared" si="6"/>
        <v>0</v>
      </c>
      <c r="L37" s="359">
        <f t="shared" si="6"/>
        <v>0.39105000000000001</v>
      </c>
      <c r="M37" s="368">
        <f t="shared" si="6"/>
        <v>0</v>
      </c>
      <c r="N37" s="359">
        <f t="shared" si="6"/>
        <v>7.1429999999999998</v>
      </c>
      <c r="O37" s="359">
        <f t="shared" si="6"/>
        <v>-50.697900000000004</v>
      </c>
      <c r="P37" s="359">
        <f t="shared" si="6"/>
        <v>6.1338900000000001</v>
      </c>
      <c r="Q37" s="359">
        <f t="shared" si="6"/>
        <v>0</v>
      </c>
      <c r="R37" s="359">
        <f t="shared" si="6"/>
        <v>0</v>
      </c>
      <c r="S37" s="359">
        <f t="shared" si="6"/>
        <v>208.42028000000002</v>
      </c>
      <c r="T37" s="367">
        <f t="shared" si="6"/>
        <v>0</v>
      </c>
      <c r="U37" s="356">
        <f t="shared" si="6"/>
        <v>0</v>
      </c>
      <c r="V37" s="356">
        <f t="shared" si="6"/>
        <v>0</v>
      </c>
      <c r="W37" s="356">
        <f t="shared" si="6"/>
        <v>0</v>
      </c>
      <c r="X37" s="356">
        <f t="shared" si="6"/>
        <v>0</v>
      </c>
      <c r="Y37" s="354">
        <f t="shared" si="6"/>
        <v>0</v>
      </c>
      <c r="Z37" s="359">
        <f t="shared" si="6"/>
        <v>0</v>
      </c>
      <c r="AA37" s="359">
        <f t="shared" si="6"/>
        <v>0</v>
      </c>
      <c r="AB37" s="359">
        <f t="shared" si="6"/>
        <v>0</v>
      </c>
      <c r="AC37" s="357">
        <f t="shared" si="6"/>
        <v>1407.8474899999999</v>
      </c>
      <c r="AD37" s="358">
        <f t="shared" si="5"/>
        <v>2393.72595</v>
      </c>
      <c r="AE37" s="109"/>
    </row>
    <row r="38" spans="1:31" s="46" customFormat="1">
      <c r="A38" s="111"/>
      <c r="B38" s="48"/>
      <c r="C38" s="364"/>
      <c r="D38" s="363"/>
      <c r="E38" s="363"/>
      <c r="F38" s="364"/>
      <c r="G38" s="364"/>
      <c r="H38" s="364"/>
      <c r="I38" s="364"/>
      <c r="J38" s="364"/>
      <c r="K38" s="364"/>
      <c r="L38" s="364"/>
      <c r="M38" s="363"/>
      <c r="N38" s="364"/>
      <c r="O38" s="364"/>
      <c r="P38" s="364"/>
      <c r="Q38" s="364"/>
      <c r="R38" s="363"/>
      <c r="S38" s="364"/>
      <c r="T38" s="363"/>
      <c r="U38" s="363"/>
      <c r="V38" s="363"/>
      <c r="W38" s="363"/>
      <c r="X38" s="363"/>
      <c r="Y38" s="363"/>
      <c r="Z38" s="364"/>
      <c r="AA38" s="363"/>
      <c r="AB38" s="364"/>
      <c r="AC38" s="364"/>
      <c r="AD38" s="365"/>
      <c r="AE38" s="109"/>
    </row>
    <row r="39" spans="1:31" s="46" customFormat="1" ht="15">
      <c r="A39" s="113" t="s">
        <v>63</v>
      </c>
      <c r="B39" s="152" t="s">
        <v>301</v>
      </c>
      <c r="C39" s="364"/>
      <c r="D39" s="366"/>
      <c r="E39" s="366"/>
      <c r="F39" s="364"/>
      <c r="G39" s="364"/>
      <c r="H39" s="364"/>
      <c r="I39" s="364"/>
      <c r="J39" s="364"/>
      <c r="K39" s="364"/>
      <c r="L39" s="364"/>
      <c r="M39" s="364"/>
      <c r="N39" s="364"/>
      <c r="O39" s="364"/>
      <c r="P39" s="364"/>
      <c r="Q39" s="364"/>
      <c r="R39" s="366"/>
      <c r="S39" s="364"/>
      <c r="T39" s="366"/>
      <c r="U39" s="366"/>
      <c r="V39" s="366"/>
      <c r="W39" s="366"/>
      <c r="X39" s="366"/>
      <c r="Y39" s="366"/>
      <c r="Z39" s="364"/>
      <c r="AA39" s="366"/>
      <c r="AB39" s="364"/>
      <c r="AC39" s="364"/>
      <c r="AD39" s="365"/>
      <c r="AE39" s="109"/>
    </row>
    <row r="40" spans="1:31" s="46" customFormat="1">
      <c r="A40" s="108" t="s">
        <v>238</v>
      </c>
      <c r="B40" s="150" t="s">
        <v>302</v>
      </c>
      <c r="C40" s="355"/>
      <c r="D40" s="356"/>
      <c r="E40" s="354"/>
      <c r="F40" s="359"/>
      <c r="G40" s="359"/>
      <c r="H40" s="359"/>
      <c r="I40" s="359"/>
      <c r="J40" s="359">
        <f>700423.31/1000</f>
        <v>700.42331000000001</v>
      </c>
      <c r="K40" s="359"/>
      <c r="L40" s="359"/>
      <c r="M40" s="359"/>
      <c r="N40" s="359">
        <f>559242/1000</f>
        <v>559.24199999999996</v>
      </c>
      <c r="O40" s="359">
        <f>2132932.72/1000</f>
        <v>2132.9327200000002</v>
      </c>
      <c r="P40" s="359">
        <f>14000/1000</f>
        <v>14</v>
      </c>
      <c r="Q40" s="359"/>
      <c r="R40" s="359"/>
      <c r="S40" s="359">
        <f>694.32/1000</f>
        <v>0.69432000000000005</v>
      </c>
      <c r="T40" s="367"/>
      <c r="U40" s="356"/>
      <c r="V40" s="356"/>
      <c r="W40" s="356"/>
      <c r="X40" s="356"/>
      <c r="Y40" s="354"/>
      <c r="Z40" s="359"/>
      <c r="AA40" s="359"/>
      <c r="AB40" s="359"/>
      <c r="AC40" s="357">
        <f>3534460.37/1000</f>
        <v>3534.4603700000002</v>
      </c>
      <c r="AD40" s="358">
        <f t="shared" ref="AD40:AD47" si="7">SUM(C40:AC40)</f>
        <v>6941.7527200000004</v>
      </c>
      <c r="AE40" s="109"/>
    </row>
    <row r="41" spans="1:31" s="46" customFormat="1">
      <c r="A41" s="108" t="s">
        <v>29</v>
      </c>
      <c r="B41" s="150" t="s">
        <v>303</v>
      </c>
      <c r="C41" s="359"/>
      <c r="D41" s="356"/>
      <c r="E41" s="354"/>
      <c r="F41" s="359"/>
      <c r="G41" s="359"/>
      <c r="H41" s="359"/>
      <c r="I41" s="359"/>
      <c r="J41" s="359"/>
      <c r="K41" s="359"/>
      <c r="L41" s="359"/>
      <c r="M41" s="385"/>
      <c r="N41" s="359"/>
      <c r="O41" s="359"/>
      <c r="P41" s="359"/>
      <c r="Q41" s="359"/>
      <c r="R41" s="359"/>
      <c r="S41" s="359"/>
      <c r="T41" s="367"/>
      <c r="U41" s="356"/>
      <c r="V41" s="356"/>
      <c r="W41" s="356"/>
      <c r="X41" s="356"/>
      <c r="Y41" s="354"/>
      <c r="Z41" s="359"/>
      <c r="AA41" s="359"/>
      <c r="AB41" s="359"/>
      <c r="AC41" s="357"/>
      <c r="AD41" s="358">
        <f t="shared" si="7"/>
        <v>0</v>
      </c>
      <c r="AE41" s="109"/>
    </row>
    <row r="42" spans="1:31" s="46" customFormat="1">
      <c r="A42" s="108" t="s">
        <v>30</v>
      </c>
      <c r="B42" s="150" t="s">
        <v>304</v>
      </c>
      <c r="C42" s="359"/>
      <c r="D42" s="356"/>
      <c r="E42" s="354"/>
      <c r="F42" s="359"/>
      <c r="G42" s="359"/>
      <c r="H42" s="359"/>
      <c r="I42" s="359"/>
      <c r="J42" s="359">
        <f>1155784.23/1000</f>
        <v>1155.78423</v>
      </c>
      <c r="K42" s="359"/>
      <c r="L42" s="359"/>
      <c r="M42" s="368"/>
      <c r="N42" s="359">
        <f>455140.09/1000</f>
        <v>455.14009000000004</v>
      </c>
      <c r="O42" s="359"/>
      <c r="P42" s="359"/>
      <c r="Q42" s="359"/>
      <c r="R42" s="359"/>
      <c r="S42" s="359">
        <f>(263307.22+1507.45)/1000</f>
        <v>264.81466999999998</v>
      </c>
      <c r="T42" s="367"/>
      <c r="U42" s="356"/>
      <c r="V42" s="356"/>
      <c r="W42" s="356"/>
      <c r="X42" s="356"/>
      <c r="Y42" s="354"/>
      <c r="Z42" s="359"/>
      <c r="AA42" s="359"/>
      <c r="AB42" s="359"/>
      <c r="AC42" s="357">
        <f>2222417.14/1000</f>
        <v>2222.41714</v>
      </c>
      <c r="AD42" s="358">
        <f t="shared" si="7"/>
        <v>4098.1561300000003</v>
      </c>
      <c r="AE42" s="109"/>
    </row>
    <row r="43" spans="1:31" s="46" customFormat="1">
      <c r="A43" s="108" t="s">
        <v>31</v>
      </c>
      <c r="B43" s="150" t="s">
        <v>305</v>
      </c>
      <c r="C43" s="359"/>
      <c r="D43" s="356"/>
      <c r="E43" s="354"/>
      <c r="F43" s="359"/>
      <c r="G43" s="359"/>
      <c r="H43" s="359"/>
      <c r="I43" s="359"/>
      <c r="J43" s="359"/>
      <c r="K43" s="359"/>
      <c r="L43" s="359"/>
      <c r="M43" s="368"/>
      <c r="N43" s="359"/>
      <c r="O43" s="359"/>
      <c r="P43" s="359"/>
      <c r="Q43" s="359"/>
      <c r="R43" s="359"/>
      <c r="S43" s="359"/>
      <c r="T43" s="367"/>
      <c r="U43" s="356"/>
      <c r="V43" s="356"/>
      <c r="W43" s="356"/>
      <c r="X43" s="356"/>
      <c r="Y43" s="354"/>
      <c r="Z43" s="359"/>
      <c r="AA43" s="359"/>
      <c r="AB43" s="359"/>
      <c r="AC43" s="357"/>
      <c r="AD43" s="358">
        <f t="shared" si="7"/>
        <v>0</v>
      </c>
      <c r="AE43" s="109"/>
    </row>
    <row r="44" spans="1:31" s="46" customFormat="1">
      <c r="A44" s="108" t="s">
        <v>32</v>
      </c>
      <c r="B44" s="150" t="s">
        <v>306</v>
      </c>
      <c r="C44" s="359"/>
      <c r="D44" s="356"/>
      <c r="E44" s="354"/>
      <c r="F44" s="359"/>
      <c r="G44" s="359"/>
      <c r="H44" s="359"/>
      <c r="I44" s="359"/>
      <c r="J44" s="359"/>
      <c r="K44" s="359"/>
      <c r="L44" s="359"/>
      <c r="M44" s="368"/>
      <c r="N44" s="359"/>
      <c r="O44" s="359"/>
      <c r="P44" s="359"/>
      <c r="Q44" s="359"/>
      <c r="R44" s="359"/>
      <c r="S44" s="359"/>
      <c r="T44" s="367"/>
      <c r="U44" s="356"/>
      <c r="V44" s="356"/>
      <c r="W44" s="356"/>
      <c r="X44" s="356"/>
      <c r="Y44" s="354"/>
      <c r="Z44" s="359"/>
      <c r="AA44" s="359"/>
      <c r="AB44" s="359"/>
      <c r="AC44" s="357"/>
      <c r="AD44" s="358">
        <f t="shared" si="7"/>
        <v>0</v>
      </c>
      <c r="AE44" s="109"/>
    </row>
    <row r="45" spans="1:31" s="46" customFormat="1">
      <c r="A45" s="108" t="s">
        <v>33</v>
      </c>
      <c r="B45" s="150" t="s">
        <v>307</v>
      </c>
      <c r="C45" s="359"/>
      <c r="D45" s="356"/>
      <c r="E45" s="354"/>
      <c r="F45" s="359"/>
      <c r="G45" s="359"/>
      <c r="H45" s="359"/>
      <c r="I45" s="359">
        <f>4843.69/1000</f>
        <v>4.8436899999999996</v>
      </c>
      <c r="J45" s="359">
        <f>3142306.83/1000</f>
        <v>3142.30683</v>
      </c>
      <c r="K45" s="359"/>
      <c r="L45" s="359"/>
      <c r="M45" s="368"/>
      <c r="N45" s="359"/>
      <c r="O45" s="359"/>
      <c r="P45" s="359"/>
      <c r="Q45" s="359"/>
      <c r="R45" s="359"/>
      <c r="S45" s="359">
        <f>29239.99/1000</f>
        <v>29.239990000000002</v>
      </c>
      <c r="T45" s="367"/>
      <c r="U45" s="356"/>
      <c r="V45" s="356"/>
      <c r="W45" s="356"/>
      <c r="X45" s="356"/>
      <c r="Y45" s="354"/>
      <c r="Z45" s="359"/>
      <c r="AA45" s="359"/>
      <c r="AB45" s="359"/>
      <c r="AC45" s="357">
        <f>9640292.32/1000</f>
        <v>9640.2923200000005</v>
      </c>
      <c r="AD45" s="358">
        <f t="shared" si="7"/>
        <v>12816.682830000002</v>
      </c>
      <c r="AE45" s="109"/>
    </row>
    <row r="46" spans="1:31" s="46" customFormat="1">
      <c r="A46" s="110" t="s">
        <v>34</v>
      </c>
      <c r="B46" s="151" t="s">
        <v>308</v>
      </c>
      <c r="C46" s="360"/>
      <c r="D46" s="356"/>
      <c r="E46" s="354"/>
      <c r="F46" s="360"/>
      <c r="G46" s="360"/>
      <c r="H46" s="360"/>
      <c r="I46" s="360"/>
      <c r="J46" s="360">
        <f>3470/1000</f>
        <v>3.47</v>
      </c>
      <c r="K46" s="360"/>
      <c r="L46" s="360"/>
      <c r="M46" s="368"/>
      <c r="N46" s="360"/>
      <c r="O46" s="360"/>
      <c r="P46" s="360"/>
      <c r="Q46" s="360"/>
      <c r="R46" s="360"/>
      <c r="S46" s="360"/>
      <c r="T46" s="367"/>
      <c r="U46" s="356"/>
      <c r="V46" s="356"/>
      <c r="W46" s="356"/>
      <c r="X46" s="356"/>
      <c r="Y46" s="354"/>
      <c r="Z46" s="360"/>
      <c r="AA46" s="360"/>
      <c r="AB46" s="360"/>
      <c r="AC46" s="361">
        <f>332933.83/1000</f>
        <v>332.93383</v>
      </c>
      <c r="AD46" s="362">
        <f t="shared" si="7"/>
        <v>336.40383000000003</v>
      </c>
      <c r="AE46" s="109"/>
    </row>
    <row r="47" spans="1:31" s="46" customFormat="1" ht="15" collapsed="1">
      <c r="A47" s="431" t="s">
        <v>64</v>
      </c>
      <c r="B47" s="432"/>
      <c r="C47" s="359">
        <f>SUM(C40:C46)</f>
        <v>0</v>
      </c>
      <c r="D47" s="356">
        <f t="shared" ref="D47:AC47" si="8">SUM(D40:D46)</f>
        <v>0</v>
      </c>
      <c r="E47" s="354">
        <f t="shared" si="8"/>
        <v>0</v>
      </c>
      <c r="F47" s="359">
        <f t="shared" si="8"/>
        <v>0</v>
      </c>
      <c r="G47" s="359">
        <f t="shared" si="8"/>
        <v>0</v>
      </c>
      <c r="H47" s="359">
        <f t="shared" si="8"/>
        <v>0</v>
      </c>
      <c r="I47" s="359">
        <f t="shared" si="8"/>
        <v>4.8436899999999996</v>
      </c>
      <c r="J47" s="359">
        <f t="shared" si="8"/>
        <v>5001.9843700000001</v>
      </c>
      <c r="K47" s="359">
        <f t="shared" si="8"/>
        <v>0</v>
      </c>
      <c r="L47" s="359">
        <f t="shared" si="8"/>
        <v>0</v>
      </c>
      <c r="M47" s="359">
        <f t="shared" si="8"/>
        <v>0</v>
      </c>
      <c r="N47" s="359">
        <f t="shared" si="8"/>
        <v>1014.3820900000001</v>
      </c>
      <c r="O47" s="359">
        <f t="shared" si="8"/>
        <v>2132.9327200000002</v>
      </c>
      <c r="P47" s="359">
        <f t="shared" si="8"/>
        <v>14</v>
      </c>
      <c r="Q47" s="359">
        <f t="shared" si="8"/>
        <v>0</v>
      </c>
      <c r="R47" s="359">
        <f t="shared" si="8"/>
        <v>0</v>
      </c>
      <c r="S47" s="359">
        <f t="shared" si="8"/>
        <v>294.74897999999996</v>
      </c>
      <c r="T47" s="367">
        <f t="shared" si="8"/>
        <v>0</v>
      </c>
      <c r="U47" s="356">
        <f t="shared" si="8"/>
        <v>0</v>
      </c>
      <c r="V47" s="356">
        <f t="shared" si="8"/>
        <v>0</v>
      </c>
      <c r="W47" s="356">
        <f t="shared" si="8"/>
        <v>0</v>
      </c>
      <c r="X47" s="356">
        <f t="shared" si="8"/>
        <v>0</v>
      </c>
      <c r="Y47" s="354">
        <f t="shared" si="8"/>
        <v>0</v>
      </c>
      <c r="Z47" s="359">
        <f t="shared" si="8"/>
        <v>0</v>
      </c>
      <c r="AA47" s="359">
        <f t="shared" si="8"/>
        <v>0</v>
      </c>
      <c r="AB47" s="359">
        <f t="shared" si="8"/>
        <v>0</v>
      </c>
      <c r="AC47" s="357">
        <f t="shared" si="8"/>
        <v>15730.103660000001</v>
      </c>
      <c r="AD47" s="358">
        <f t="shared" si="7"/>
        <v>24192.995510000001</v>
      </c>
      <c r="AE47" s="109"/>
    </row>
    <row r="48" spans="1:31" s="46" customFormat="1">
      <c r="A48" s="111"/>
      <c r="B48" s="48"/>
      <c r="C48" s="364"/>
      <c r="D48" s="363"/>
      <c r="E48" s="363"/>
      <c r="F48" s="364"/>
      <c r="G48" s="364"/>
      <c r="H48" s="364"/>
      <c r="I48" s="364"/>
      <c r="J48" s="364"/>
      <c r="K48" s="364"/>
      <c r="L48" s="364"/>
      <c r="M48" s="364"/>
      <c r="N48" s="364"/>
      <c r="O48" s="364"/>
      <c r="P48" s="364"/>
      <c r="Q48" s="364"/>
      <c r="R48" s="363"/>
      <c r="S48" s="364"/>
      <c r="T48" s="363"/>
      <c r="U48" s="363"/>
      <c r="V48" s="363"/>
      <c r="W48" s="363"/>
      <c r="X48" s="363"/>
      <c r="Y48" s="363"/>
      <c r="Z48" s="364"/>
      <c r="AA48" s="363"/>
      <c r="AB48" s="364"/>
      <c r="AC48" s="364"/>
      <c r="AD48" s="365"/>
      <c r="AE48" s="109"/>
    </row>
    <row r="49" spans="1:31" s="46" customFormat="1" ht="15">
      <c r="A49" s="113" t="s">
        <v>65</v>
      </c>
      <c r="B49" s="152" t="s">
        <v>309</v>
      </c>
      <c r="C49" s="364"/>
      <c r="D49" s="366"/>
      <c r="E49" s="366"/>
      <c r="F49" s="364"/>
      <c r="G49" s="364"/>
      <c r="H49" s="364"/>
      <c r="I49" s="364"/>
      <c r="J49" s="364"/>
      <c r="K49" s="364"/>
      <c r="L49" s="364"/>
      <c r="M49" s="366"/>
      <c r="N49" s="364"/>
      <c r="O49" s="364"/>
      <c r="P49" s="364"/>
      <c r="Q49" s="364"/>
      <c r="R49" s="366"/>
      <c r="S49" s="364"/>
      <c r="T49" s="366"/>
      <c r="U49" s="366"/>
      <c r="V49" s="366"/>
      <c r="W49" s="366"/>
      <c r="X49" s="366"/>
      <c r="Y49" s="366"/>
      <c r="Z49" s="364"/>
      <c r="AA49" s="366"/>
      <c r="AB49" s="364"/>
      <c r="AC49" s="364"/>
      <c r="AD49" s="365"/>
      <c r="AE49" s="109"/>
    </row>
    <row r="50" spans="1:31" s="46" customFormat="1">
      <c r="A50" s="108" t="s">
        <v>35</v>
      </c>
      <c r="B50" s="150" t="s">
        <v>310</v>
      </c>
      <c r="C50" s="355"/>
      <c r="D50" s="356"/>
      <c r="E50" s="354"/>
      <c r="F50" s="359"/>
      <c r="G50" s="359"/>
      <c r="H50" s="359"/>
      <c r="I50" s="359"/>
      <c r="J50" s="359"/>
      <c r="K50" s="359"/>
      <c r="L50" s="359"/>
      <c r="M50" s="368"/>
      <c r="N50" s="359"/>
      <c r="O50" s="359"/>
      <c r="P50" s="359"/>
      <c r="Q50" s="359"/>
      <c r="R50" s="359"/>
      <c r="S50" s="359"/>
      <c r="T50" s="367"/>
      <c r="U50" s="356"/>
      <c r="V50" s="356"/>
      <c r="W50" s="356"/>
      <c r="X50" s="356"/>
      <c r="Y50" s="354"/>
      <c r="Z50" s="359"/>
      <c r="AA50" s="359"/>
      <c r="AB50" s="359"/>
      <c r="AC50" s="357"/>
      <c r="AD50" s="358">
        <f>SUM(C50:AC50)</f>
        <v>0</v>
      </c>
      <c r="AE50" s="109"/>
    </row>
    <row r="51" spans="1:31" s="46" customFormat="1">
      <c r="A51" s="108" t="s">
        <v>36</v>
      </c>
      <c r="B51" s="150" t="s">
        <v>311</v>
      </c>
      <c r="C51" s="359"/>
      <c r="D51" s="356"/>
      <c r="E51" s="354"/>
      <c r="F51" s="359"/>
      <c r="G51" s="359"/>
      <c r="H51" s="359">
        <f>98814.39/1000</f>
        <v>98.814390000000003</v>
      </c>
      <c r="I51" s="359"/>
      <c r="J51" s="359">
        <f>604742.96/1000</f>
        <v>604.74295999999993</v>
      </c>
      <c r="K51" s="359"/>
      <c r="L51" s="359"/>
      <c r="M51" s="368"/>
      <c r="N51" s="359">
        <f>173333.52/1000</f>
        <v>173.33351999999999</v>
      </c>
      <c r="O51" s="359">
        <f>379633.18/1000</f>
        <v>379.63317999999998</v>
      </c>
      <c r="P51" s="359">
        <f>1612872.2/1000</f>
        <v>1612.8722</v>
      </c>
      <c r="Q51" s="359">
        <f>190450/1000</f>
        <v>190.45</v>
      </c>
      <c r="R51" s="359"/>
      <c r="S51" s="359">
        <f>185187.48/1000</f>
        <v>185.18748000000002</v>
      </c>
      <c r="T51" s="367"/>
      <c r="U51" s="356"/>
      <c r="V51" s="356"/>
      <c r="W51" s="356"/>
      <c r="X51" s="356"/>
      <c r="Y51" s="354"/>
      <c r="Z51" s="359"/>
      <c r="AA51" s="359"/>
      <c r="AB51" s="359"/>
      <c r="AC51" s="357">
        <f>377613.56/1000</f>
        <v>377.61356000000001</v>
      </c>
      <c r="AD51" s="358">
        <f>SUM(C51:AC51)</f>
        <v>3622.6472899999999</v>
      </c>
      <c r="AE51" s="109"/>
    </row>
    <row r="52" spans="1:31" s="46" customFormat="1">
      <c r="A52" s="110" t="s">
        <v>312</v>
      </c>
      <c r="B52" s="151" t="s">
        <v>313</v>
      </c>
      <c r="C52" s="360"/>
      <c r="D52" s="356"/>
      <c r="E52" s="354"/>
      <c r="F52" s="360"/>
      <c r="G52" s="360"/>
      <c r="H52" s="360"/>
      <c r="I52" s="360"/>
      <c r="J52" s="360">
        <f>3009187.92/1000</f>
        <v>3009.1879199999998</v>
      </c>
      <c r="K52" s="360">
        <f>97/1000</f>
        <v>9.7000000000000003E-2</v>
      </c>
      <c r="L52" s="360">
        <f>47327.56/1000</f>
        <v>47.327559999999998</v>
      </c>
      <c r="M52" s="395"/>
      <c r="N52" s="360">
        <f>7037125.58/1000</f>
        <v>7037.1255799999999</v>
      </c>
      <c r="O52" s="360">
        <f>2049636.84/1000</f>
        <v>2049.6368400000001</v>
      </c>
      <c r="P52" s="360">
        <f>1105158.59/1000</f>
        <v>1105.15859</v>
      </c>
      <c r="Q52" s="360">
        <f>706537.95/1000</f>
        <v>706.53794999999991</v>
      </c>
      <c r="R52" s="360"/>
      <c r="S52" s="360">
        <f>(634061.78+321.86)/1000</f>
        <v>634.38364000000001</v>
      </c>
      <c r="T52" s="367"/>
      <c r="U52" s="356"/>
      <c r="V52" s="356"/>
      <c r="W52" s="356"/>
      <c r="X52" s="356"/>
      <c r="Y52" s="354"/>
      <c r="Z52" s="360"/>
      <c r="AA52" s="360"/>
      <c r="AB52" s="360"/>
      <c r="AC52" s="361">
        <f>3667492.25/1000</f>
        <v>3667.4922499999998</v>
      </c>
      <c r="AD52" s="362">
        <f>SUM(C52:AC52)</f>
        <v>18256.947329999999</v>
      </c>
      <c r="AE52" s="109"/>
    </row>
    <row r="53" spans="1:31" s="46" customFormat="1" ht="15" collapsed="1">
      <c r="A53" s="431" t="s">
        <v>66</v>
      </c>
      <c r="B53" s="432"/>
      <c r="C53" s="359">
        <f>+SUM(C50:C52)</f>
        <v>0</v>
      </c>
      <c r="D53" s="356">
        <f t="shared" ref="D53:AC53" si="9">+SUM(D50:D52)</f>
        <v>0</v>
      </c>
      <c r="E53" s="354">
        <f t="shared" si="9"/>
        <v>0</v>
      </c>
      <c r="F53" s="359">
        <f t="shared" si="9"/>
        <v>0</v>
      </c>
      <c r="G53" s="359">
        <f t="shared" si="9"/>
        <v>0</v>
      </c>
      <c r="H53" s="359">
        <f t="shared" si="9"/>
        <v>98.814390000000003</v>
      </c>
      <c r="I53" s="359">
        <f t="shared" si="9"/>
        <v>0</v>
      </c>
      <c r="J53" s="359">
        <f t="shared" si="9"/>
        <v>3613.9308799999999</v>
      </c>
      <c r="K53" s="359">
        <f t="shared" si="9"/>
        <v>9.7000000000000003E-2</v>
      </c>
      <c r="L53" s="359">
        <f t="shared" si="9"/>
        <v>47.327559999999998</v>
      </c>
      <c r="M53" s="368">
        <f t="shared" si="9"/>
        <v>0</v>
      </c>
      <c r="N53" s="359">
        <f t="shared" si="9"/>
        <v>7210.4591</v>
      </c>
      <c r="O53" s="359">
        <f t="shared" si="9"/>
        <v>2429.2700199999999</v>
      </c>
      <c r="P53" s="359">
        <f t="shared" si="9"/>
        <v>2718.0307899999998</v>
      </c>
      <c r="Q53" s="359">
        <f t="shared" si="9"/>
        <v>896.98794999999996</v>
      </c>
      <c r="R53" s="359">
        <f t="shared" si="9"/>
        <v>0</v>
      </c>
      <c r="S53" s="359">
        <f t="shared" si="9"/>
        <v>819.57112000000006</v>
      </c>
      <c r="T53" s="367">
        <f t="shared" si="9"/>
        <v>0</v>
      </c>
      <c r="U53" s="356">
        <f t="shared" si="9"/>
        <v>0</v>
      </c>
      <c r="V53" s="356">
        <f t="shared" si="9"/>
        <v>0</v>
      </c>
      <c r="W53" s="356">
        <f t="shared" si="9"/>
        <v>0</v>
      </c>
      <c r="X53" s="356">
        <f t="shared" si="9"/>
        <v>0</v>
      </c>
      <c r="Y53" s="354">
        <f t="shared" si="9"/>
        <v>0</v>
      </c>
      <c r="Z53" s="359">
        <f t="shared" si="9"/>
        <v>0</v>
      </c>
      <c r="AA53" s="359">
        <f t="shared" si="9"/>
        <v>0</v>
      </c>
      <c r="AB53" s="359">
        <f t="shared" si="9"/>
        <v>0</v>
      </c>
      <c r="AC53" s="357">
        <f t="shared" si="9"/>
        <v>4045.10581</v>
      </c>
      <c r="AD53" s="358">
        <f>SUM(C53:AC53)</f>
        <v>21879.59462</v>
      </c>
      <c r="AE53" s="109"/>
    </row>
    <row r="54" spans="1:31" s="46" customFormat="1">
      <c r="A54" s="111"/>
      <c r="B54" s="48"/>
      <c r="C54" s="364"/>
      <c r="D54" s="363"/>
      <c r="E54" s="363"/>
      <c r="F54" s="364"/>
      <c r="G54" s="364"/>
      <c r="H54" s="364"/>
      <c r="I54" s="364"/>
      <c r="J54" s="364"/>
      <c r="K54" s="364"/>
      <c r="L54" s="364"/>
      <c r="M54" s="363"/>
      <c r="N54" s="364"/>
      <c r="O54" s="364"/>
      <c r="P54" s="364"/>
      <c r="Q54" s="364"/>
      <c r="R54" s="363"/>
      <c r="S54" s="364"/>
      <c r="T54" s="363"/>
      <c r="U54" s="363"/>
      <c r="V54" s="363"/>
      <c r="W54" s="363"/>
      <c r="X54" s="363"/>
      <c r="Y54" s="363"/>
      <c r="Z54" s="364"/>
      <c r="AA54" s="363"/>
      <c r="AB54" s="364"/>
      <c r="AC54" s="364"/>
      <c r="AD54" s="365"/>
      <c r="AE54" s="109"/>
    </row>
    <row r="55" spans="1:31" s="46" customFormat="1" ht="15">
      <c r="A55" s="113" t="s">
        <v>67</v>
      </c>
      <c r="B55" s="152" t="s">
        <v>314</v>
      </c>
      <c r="C55" s="364"/>
      <c r="D55" s="366"/>
      <c r="E55" s="366"/>
      <c r="F55" s="364"/>
      <c r="G55" s="364"/>
      <c r="H55" s="364"/>
      <c r="I55" s="364"/>
      <c r="J55" s="364"/>
      <c r="K55" s="364"/>
      <c r="L55" s="364"/>
      <c r="M55" s="364"/>
      <c r="N55" s="364"/>
      <c r="O55" s="364"/>
      <c r="P55" s="364"/>
      <c r="Q55" s="364"/>
      <c r="R55" s="366"/>
      <c r="S55" s="364"/>
      <c r="T55" s="366"/>
      <c r="U55" s="366"/>
      <c r="V55" s="366"/>
      <c r="W55" s="366"/>
      <c r="X55" s="366"/>
      <c r="Y55" s="366"/>
      <c r="Z55" s="364"/>
      <c r="AA55" s="366"/>
      <c r="AB55" s="364"/>
      <c r="AC55" s="364"/>
      <c r="AD55" s="365"/>
      <c r="AE55" s="109"/>
    </row>
    <row r="56" spans="1:31" s="46" customFormat="1">
      <c r="A56" s="108" t="s">
        <v>315</v>
      </c>
      <c r="B56" s="150" t="s">
        <v>316</v>
      </c>
      <c r="C56" s="355"/>
      <c r="D56" s="356"/>
      <c r="E56" s="354"/>
      <c r="F56" s="359"/>
      <c r="G56" s="359"/>
      <c r="H56" s="359"/>
      <c r="I56" s="359"/>
      <c r="J56" s="359">
        <f>469833.96/1000</f>
        <v>469.83396000000005</v>
      </c>
      <c r="K56" s="359"/>
      <c r="L56" s="359"/>
      <c r="M56" s="359"/>
      <c r="N56" s="359"/>
      <c r="O56" s="359">
        <f>126455.2/1000</f>
        <v>126.45519999999999</v>
      </c>
      <c r="P56" s="359"/>
      <c r="Q56" s="359"/>
      <c r="R56" s="359"/>
      <c r="S56" s="359"/>
      <c r="T56" s="367"/>
      <c r="U56" s="356"/>
      <c r="V56" s="356"/>
      <c r="W56" s="356"/>
      <c r="X56" s="356"/>
      <c r="Y56" s="354"/>
      <c r="Z56" s="359"/>
      <c r="AA56" s="359"/>
      <c r="AB56" s="359"/>
      <c r="AC56" s="357">
        <f>254377.39/1000</f>
        <v>254.37739000000002</v>
      </c>
      <c r="AD56" s="358">
        <f>SUM(C56:AC56)</f>
        <v>850.66655000000003</v>
      </c>
      <c r="AE56" s="109"/>
    </row>
    <row r="57" spans="1:31" s="46" customFormat="1">
      <c r="A57" s="108" t="s">
        <v>239</v>
      </c>
      <c r="B57" s="150" t="s">
        <v>317</v>
      </c>
      <c r="C57" s="359"/>
      <c r="D57" s="356"/>
      <c r="E57" s="354"/>
      <c r="F57" s="359"/>
      <c r="G57" s="359"/>
      <c r="H57" s="359"/>
      <c r="I57" s="359"/>
      <c r="J57" s="359">
        <f>313065.14/1000</f>
        <v>313.06514000000004</v>
      </c>
      <c r="K57" s="359"/>
      <c r="L57" s="359"/>
      <c r="M57" s="359"/>
      <c r="N57" s="359">
        <f>13217904.43/1000</f>
        <v>13217.904430000001</v>
      </c>
      <c r="O57" s="359">
        <f>4539494.46/1000</f>
        <v>4539.4944599999999</v>
      </c>
      <c r="P57" s="359">
        <f>1172480/1000</f>
        <v>1172.48</v>
      </c>
      <c r="Q57" s="359">
        <f>5965188/1000</f>
        <v>5965.1880000000001</v>
      </c>
      <c r="R57" s="359"/>
      <c r="S57" s="359">
        <f>(402.81+20471.52)/1000</f>
        <v>20.87433</v>
      </c>
      <c r="T57" s="367"/>
      <c r="U57" s="356"/>
      <c r="V57" s="356"/>
      <c r="W57" s="356"/>
      <c r="X57" s="356"/>
      <c r="Y57" s="354"/>
      <c r="Z57" s="359"/>
      <c r="AA57" s="359"/>
      <c r="AB57" s="359"/>
      <c r="AC57" s="357">
        <f>4171140.27/1000</f>
        <v>4171.1402699999999</v>
      </c>
      <c r="AD57" s="358">
        <f>SUM(C57:AC57)</f>
        <v>29400.146629999999</v>
      </c>
      <c r="AE57" s="109"/>
    </row>
    <row r="58" spans="1:31" s="46" customFormat="1">
      <c r="A58" s="108" t="s">
        <v>240</v>
      </c>
      <c r="B58" s="150" t="s">
        <v>318</v>
      </c>
      <c r="C58" s="359"/>
      <c r="D58" s="356"/>
      <c r="E58" s="354"/>
      <c r="F58" s="359"/>
      <c r="G58" s="359"/>
      <c r="H58" s="359"/>
      <c r="I58" s="359"/>
      <c r="J58" s="359"/>
      <c r="K58" s="359"/>
      <c r="L58" s="359"/>
      <c r="M58" s="359"/>
      <c r="N58" s="359"/>
      <c r="O58" s="359"/>
      <c r="P58" s="359"/>
      <c r="Q58" s="359"/>
      <c r="R58" s="359"/>
      <c r="S58" s="359">
        <f>6937166.73/1000</f>
        <v>6937.1667300000008</v>
      </c>
      <c r="T58" s="367"/>
      <c r="U58" s="356"/>
      <c r="V58" s="356"/>
      <c r="W58" s="356"/>
      <c r="X58" s="356"/>
      <c r="Y58" s="354"/>
      <c r="Z58" s="359"/>
      <c r="AA58" s="359"/>
      <c r="AB58" s="359"/>
      <c r="AC58" s="357">
        <f>86290.28/1000</f>
        <v>86.290279999999996</v>
      </c>
      <c r="AD58" s="358">
        <f>SUM(C58:AC58)</f>
        <v>7023.457010000001</v>
      </c>
      <c r="AE58" s="109"/>
    </row>
    <row r="59" spans="1:31" s="46" customFormat="1">
      <c r="A59" s="110" t="s">
        <v>241</v>
      </c>
      <c r="B59" s="151" t="s">
        <v>319</v>
      </c>
      <c r="C59" s="360"/>
      <c r="D59" s="356"/>
      <c r="E59" s="354"/>
      <c r="F59" s="360"/>
      <c r="G59" s="360"/>
      <c r="H59" s="360"/>
      <c r="I59" s="360"/>
      <c r="J59" s="360">
        <f>265822.74/1000</f>
        <v>265.82274000000001</v>
      </c>
      <c r="K59" s="360"/>
      <c r="L59" s="360"/>
      <c r="M59" s="360">
        <f>33679.31/1000</f>
        <v>33.679310000000001</v>
      </c>
      <c r="N59" s="360">
        <f>121478.41/1000</f>
        <v>121.47841</v>
      </c>
      <c r="O59" s="360">
        <f>630710.92/1000</f>
        <v>630.71091999999999</v>
      </c>
      <c r="P59" s="360">
        <f>788374.44/1000</f>
        <v>788.37443999999994</v>
      </c>
      <c r="Q59" s="360">
        <f>36000/1000</f>
        <v>36</v>
      </c>
      <c r="R59" s="360"/>
      <c r="S59" s="360">
        <f>39.48/1000</f>
        <v>3.9479999999999994E-2</v>
      </c>
      <c r="T59" s="367"/>
      <c r="U59" s="356"/>
      <c r="V59" s="356"/>
      <c r="W59" s="356"/>
      <c r="X59" s="356"/>
      <c r="Y59" s="354"/>
      <c r="Z59" s="360"/>
      <c r="AA59" s="360"/>
      <c r="AB59" s="360"/>
      <c r="AC59" s="361">
        <f>624093.72/1000</f>
        <v>624.09371999999996</v>
      </c>
      <c r="AD59" s="362">
        <f>SUM(C59:AC59)</f>
        <v>2500.1990199999996</v>
      </c>
      <c r="AE59" s="109"/>
    </row>
    <row r="60" spans="1:31" s="46" customFormat="1" ht="15" collapsed="1">
      <c r="A60" s="431" t="s">
        <v>68</v>
      </c>
      <c r="B60" s="432"/>
      <c r="C60" s="359">
        <f>+SUM(C56:C59)</f>
        <v>0</v>
      </c>
      <c r="D60" s="356">
        <f t="shared" ref="D60:AC60" si="10">+SUM(D56:D59)</f>
        <v>0</v>
      </c>
      <c r="E60" s="354">
        <f t="shared" si="10"/>
        <v>0</v>
      </c>
      <c r="F60" s="359">
        <f t="shared" si="10"/>
        <v>0</v>
      </c>
      <c r="G60" s="359">
        <f t="shared" si="10"/>
        <v>0</v>
      </c>
      <c r="H60" s="359">
        <f t="shared" si="10"/>
        <v>0</v>
      </c>
      <c r="I60" s="359">
        <f t="shared" si="10"/>
        <v>0</v>
      </c>
      <c r="J60" s="359">
        <f t="shared" si="10"/>
        <v>1048.7218400000002</v>
      </c>
      <c r="K60" s="359">
        <f t="shared" si="10"/>
        <v>0</v>
      </c>
      <c r="L60" s="359">
        <f t="shared" si="10"/>
        <v>0</v>
      </c>
      <c r="M60" s="359">
        <f t="shared" si="10"/>
        <v>33.679310000000001</v>
      </c>
      <c r="N60" s="359">
        <f t="shared" si="10"/>
        <v>13339.38284</v>
      </c>
      <c r="O60" s="359">
        <f t="shared" si="10"/>
        <v>5296.6605799999998</v>
      </c>
      <c r="P60" s="359">
        <f t="shared" si="10"/>
        <v>1960.8544400000001</v>
      </c>
      <c r="Q60" s="359">
        <f t="shared" si="10"/>
        <v>6001.1880000000001</v>
      </c>
      <c r="R60" s="359">
        <f t="shared" si="10"/>
        <v>0</v>
      </c>
      <c r="S60" s="359">
        <f t="shared" si="10"/>
        <v>6958.0805400000008</v>
      </c>
      <c r="T60" s="367">
        <f t="shared" si="10"/>
        <v>0</v>
      </c>
      <c r="U60" s="356">
        <f t="shared" si="10"/>
        <v>0</v>
      </c>
      <c r="V60" s="356">
        <f t="shared" si="10"/>
        <v>0</v>
      </c>
      <c r="W60" s="356">
        <f t="shared" si="10"/>
        <v>0</v>
      </c>
      <c r="X60" s="356">
        <f t="shared" si="10"/>
        <v>0</v>
      </c>
      <c r="Y60" s="354">
        <f t="shared" si="10"/>
        <v>0</v>
      </c>
      <c r="Z60" s="359">
        <f t="shared" si="10"/>
        <v>0</v>
      </c>
      <c r="AA60" s="359">
        <f t="shared" si="10"/>
        <v>0</v>
      </c>
      <c r="AB60" s="359">
        <f t="shared" si="10"/>
        <v>0</v>
      </c>
      <c r="AC60" s="357">
        <f t="shared" si="10"/>
        <v>5135.9016599999995</v>
      </c>
      <c r="AD60" s="358">
        <f>SUM(C60:AC60)</f>
        <v>39774.469209999996</v>
      </c>
      <c r="AE60" s="109"/>
    </row>
    <row r="61" spans="1:31" s="46" customFormat="1">
      <c r="A61" s="111"/>
      <c r="B61" s="48"/>
      <c r="C61" s="364"/>
      <c r="D61" s="363"/>
      <c r="E61" s="363"/>
      <c r="F61" s="364"/>
      <c r="G61" s="364"/>
      <c r="H61" s="364"/>
      <c r="I61" s="364"/>
      <c r="J61" s="364"/>
      <c r="K61" s="364"/>
      <c r="L61" s="364"/>
      <c r="M61" s="364"/>
      <c r="N61" s="364"/>
      <c r="O61" s="364"/>
      <c r="P61" s="364"/>
      <c r="Q61" s="364"/>
      <c r="R61" s="363"/>
      <c r="S61" s="364"/>
      <c r="T61" s="363"/>
      <c r="U61" s="363"/>
      <c r="V61" s="363"/>
      <c r="W61" s="363"/>
      <c r="X61" s="363"/>
      <c r="Y61" s="363"/>
      <c r="Z61" s="364"/>
      <c r="AA61" s="363"/>
      <c r="AB61" s="364"/>
      <c r="AC61" s="364"/>
      <c r="AD61" s="365"/>
      <c r="AE61" s="109"/>
    </row>
    <row r="62" spans="1:31" s="46" customFormat="1" ht="15">
      <c r="A62" s="113" t="s">
        <v>69</v>
      </c>
      <c r="B62" s="152" t="s">
        <v>320</v>
      </c>
      <c r="C62" s="364"/>
      <c r="D62" s="366"/>
      <c r="E62" s="366"/>
      <c r="F62" s="364"/>
      <c r="G62" s="364"/>
      <c r="H62" s="364"/>
      <c r="I62" s="364"/>
      <c r="J62" s="364"/>
      <c r="K62" s="364"/>
      <c r="L62" s="364"/>
      <c r="M62" s="366"/>
      <c r="N62" s="364"/>
      <c r="O62" s="364"/>
      <c r="P62" s="364"/>
      <c r="Q62" s="364"/>
      <c r="R62" s="366"/>
      <c r="S62" s="364"/>
      <c r="T62" s="366"/>
      <c r="U62" s="366"/>
      <c r="V62" s="366"/>
      <c r="W62" s="366"/>
      <c r="X62" s="366"/>
      <c r="Y62" s="366"/>
      <c r="Z62" s="364"/>
      <c r="AA62" s="366"/>
      <c r="AB62" s="364"/>
      <c r="AC62" s="364"/>
      <c r="AD62" s="365"/>
      <c r="AE62" s="109"/>
    </row>
    <row r="63" spans="1:31" s="46" customFormat="1">
      <c r="A63" s="108" t="s">
        <v>321</v>
      </c>
      <c r="B63" s="150" t="s">
        <v>322</v>
      </c>
      <c r="C63" s="355"/>
      <c r="D63" s="356"/>
      <c r="E63" s="354"/>
      <c r="F63" s="359"/>
      <c r="G63" s="359"/>
      <c r="H63" s="359"/>
      <c r="I63" s="359"/>
      <c r="J63" s="359">
        <f>49078.04/1000</f>
        <v>49.078040000000001</v>
      </c>
      <c r="K63" s="359"/>
      <c r="L63" s="359"/>
      <c r="M63" s="368"/>
      <c r="N63" s="359">
        <f>70340.6/1000</f>
        <v>70.340600000000009</v>
      </c>
      <c r="O63" s="359">
        <f>10722467.25/1000</f>
        <v>10722.46725</v>
      </c>
      <c r="P63" s="359"/>
      <c r="Q63" s="359">
        <f>4537.8/1000</f>
        <v>4.5377999999999998</v>
      </c>
      <c r="R63" s="359"/>
      <c r="S63" s="359"/>
      <c r="T63" s="367"/>
      <c r="U63" s="356"/>
      <c r="V63" s="356"/>
      <c r="W63" s="356"/>
      <c r="X63" s="356"/>
      <c r="Y63" s="354"/>
      <c r="Z63" s="359"/>
      <c r="AA63" s="359"/>
      <c r="AB63" s="359"/>
      <c r="AC63" s="357">
        <f>479966.96/1000</f>
        <v>479.96696000000003</v>
      </c>
      <c r="AD63" s="358">
        <f t="shared" ref="AD63:AD72" si="11">SUM(C63:AC63)</f>
        <v>11326.390649999999</v>
      </c>
      <c r="AE63" s="109"/>
    </row>
    <row r="64" spans="1:31" s="46" customFormat="1">
      <c r="A64" s="108" t="s">
        <v>247</v>
      </c>
      <c r="B64" s="150" t="s">
        <v>323</v>
      </c>
      <c r="C64" s="359"/>
      <c r="D64" s="356"/>
      <c r="E64" s="354"/>
      <c r="F64" s="359"/>
      <c r="G64" s="359"/>
      <c r="H64" s="359"/>
      <c r="I64" s="359"/>
      <c r="J64" s="359">
        <f>7800.56/1000</f>
        <v>7.8005600000000008</v>
      </c>
      <c r="K64" s="359"/>
      <c r="L64" s="359"/>
      <c r="M64" s="386"/>
      <c r="N64" s="359"/>
      <c r="O64" s="359">
        <f>469064.7/1000</f>
        <v>469.06470000000002</v>
      </c>
      <c r="P64" s="359"/>
      <c r="Q64" s="359"/>
      <c r="R64" s="359"/>
      <c r="S64" s="359">
        <f>43.48/1000</f>
        <v>4.3479999999999998E-2</v>
      </c>
      <c r="T64" s="367"/>
      <c r="U64" s="356"/>
      <c r="V64" s="356"/>
      <c r="W64" s="356"/>
      <c r="X64" s="356"/>
      <c r="Y64" s="354"/>
      <c r="Z64" s="359"/>
      <c r="AA64" s="359"/>
      <c r="AB64" s="359"/>
      <c r="AC64" s="357">
        <f>302746.02/1000</f>
        <v>302.74602000000004</v>
      </c>
      <c r="AD64" s="358">
        <f t="shared" si="11"/>
        <v>779.65476000000012</v>
      </c>
      <c r="AE64" s="109"/>
    </row>
    <row r="65" spans="1:31" s="46" customFormat="1">
      <c r="A65" s="108" t="s">
        <v>248</v>
      </c>
      <c r="B65" s="150" t="s">
        <v>324</v>
      </c>
      <c r="C65" s="359"/>
      <c r="D65" s="356"/>
      <c r="E65" s="354"/>
      <c r="F65" s="359"/>
      <c r="G65" s="359"/>
      <c r="H65" s="359"/>
      <c r="I65" s="359"/>
      <c r="J65" s="359">
        <f>5500/1000</f>
        <v>5.5</v>
      </c>
      <c r="K65" s="359"/>
      <c r="L65" s="359"/>
      <c r="M65" s="359"/>
      <c r="N65" s="359"/>
      <c r="O65" s="359">
        <f>241255.94/1000</f>
        <v>241.25594000000001</v>
      </c>
      <c r="P65" s="359"/>
      <c r="Q65" s="359"/>
      <c r="R65" s="359"/>
      <c r="S65" s="359">
        <f>14654.75/1000</f>
        <v>14.65475</v>
      </c>
      <c r="T65" s="367"/>
      <c r="U65" s="356"/>
      <c r="V65" s="356"/>
      <c r="W65" s="356"/>
      <c r="X65" s="356"/>
      <c r="Y65" s="354"/>
      <c r="Z65" s="359"/>
      <c r="AA65" s="359"/>
      <c r="AB65" s="359"/>
      <c r="AC65" s="357">
        <f>77802.71/1000</f>
        <v>77.802710000000005</v>
      </c>
      <c r="AD65" s="358">
        <f t="shared" si="11"/>
        <v>339.21339999999998</v>
      </c>
      <c r="AE65" s="109"/>
    </row>
    <row r="66" spans="1:31" s="46" customFormat="1">
      <c r="A66" s="108" t="s">
        <v>325</v>
      </c>
      <c r="B66" s="150" t="s">
        <v>326</v>
      </c>
      <c r="C66" s="359"/>
      <c r="D66" s="356"/>
      <c r="E66" s="354"/>
      <c r="F66" s="359"/>
      <c r="G66" s="359"/>
      <c r="H66" s="359"/>
      <c r="I66" s="359"/>
      <c r="J66" s="359">
        <f>41925.52/1000</f>
        <v>41.925519999999999</v>
      </c>
      <c r="K66" s="359"/>
      <c r="L66" s="359"/>
      <c r="M66" s="359"/>
      <c r="N66" s="359">
        <f>34250/1000</f>
        <v>34.25</v>
      </c>
      <c r="O66" s="359">
        <f>5597865.01/1000</f>
        <v>5597.8650099999995</v>
      </c>
      <c r="P66" s="359">
        <f>500000/1000</f>
        <v>500</v>
      </c>
      <c r="Q66" s="359">
        <f>1397603.14/1000</f>
        <v>1397.6031399999999</v>
      </c>
      <c r="R66" s="359"/>
      <c r="S66" s="359">
        <f>(34292.61+43805.86)/1000</f>
        <v>78.098470000000006</v>
      </c>
      <c r="T66" s="367"/>
      <c r="U66" s="356"/>
      <c r="V66" s="356"/>
      <c r="W66" s="356"/>
      <c r="X66" s="356"/>
      <c r="Y66" s="354"/>
      <c r="Z66" s="359"/>
      <c r="AA66" s="359"/>
      <c r="AB66" s="359"/>
      <c r="AC66" s="357">
        <f>1686181.72/1000</f>
        <v>1686.18172</v>
      </c>
      <c r="AD66" s="358">
        <f t="shared" si="11"/>
        <v>9335.923859999999</v>
      </c>
      <c r="AE66" s="109"/>
    </row>
    <row r="67" spans="1:31" s="46" customFormat="1">
      <c r="A67" s="108" t="s">
        <v>327</v>
      </c>
      <c r="B67" s="150" t="s">
        <v>328</v>
      </c>
      <c r="C67" s="359"/>
      <c r="D67" s="356"/>
      <c r="E67" s="354"/>
      <c r="F67" s="359"/>
      <c r="G67" s="359"/>
      <c r="H67" s="359"/>
      <c r="I67" s="359"/>
      <c r="J67" s="359"/>
      <c r="K67" s="359"/>
      <c r="L67" s="359"/>
      <c r="M67" s="387"/>
      <c r="N67" s="359">
        <f>118500/1000</f>
        <v>118.5</v>
      </c>
      <c r="O67" s="359">
        <f>2700000/1000</f>
        <v>2700</v>
      </c>
      <c r="P67" s="359"/>
      <c r="Q67" s="359"/>
      <c r="R67" s="359"/>
      <c r="S67" s="359"/>
      <c r="T67" s="367"/>
      <c r="U67" s="356"/>
      <c r="V67" s="356"/>
      <c r="W67" s="356"/>
      <c r="X67" s="356"/>
      <c r="Y67" s="354"/>
      <c r="Z67" s="359"/>
      <c r="AA67" s="359"/>
      <c r="AB67" s="359"/>
      <c r="AC67" s="357">
        <f>30538.6/1000</f>
        <v>30.538599999999999</v>
      </c>
      <c r="AD67" s="358">
        <f t="shared" si="11"/>
        <v>2849.0385999999999</v>
      </c>
      <c r="AE67" s="109"/>
    </row>
    <row r="68" spans="1:31" s="46" customFormat="1">
      <c r="A68" s="108" t="s">
        <v>329</v>
      </c>
      <c r="B68" s="150" t="s">
        <v>330</v>
      </c>
      <c r="C68" s="359"/>
      <c r="D68" s="356"/>
      <c r="E68" s="354"/>
      <c r="F68" s="359"/>
      <c r="G68" s="359"/>
      <c r="H68" s="359"/>
      <c r="I68" s="359"/>
      <c r="J68" s="359"/>
      <c r="K68" s="359"/>
      <c r="L68" s="359"/>
      <c r="M68" s="359"/>
      <c r="N68" s="359"/>
      <c r="O68" s="359"/>
      <c r="P68" s="359"/>
      <c r="Q68" s="359"/>
      <c r="R68" s="359"/>
      <c r="S68" s="359"/>
      <c r="T68" s="367"/>
      <c r="U68" s="356"/>
      <c r="V68" s="356"/>
      <c r="W68" s="356"/>
      <c r="X68" s="356"/>
      <c r="Y68" s="354"/>
      <c r="Z68" s="359"/>
      <c r="AA68" s="359"/>
      <c r="AB68" s="359"/>
      <c r="AC68" s="357"/>
      <c r="AD68" s="358">
        <f t="shared" si="11"/>
        <v>0</v>
      </c>
      <c r="AE68" s="109"/>
    </row>
    <row r="69" spans="1:31" s="46" customFormat="1">
      <c r="A69" s="108" t="s">
        <v>331</v>
      </c>
      <c r="B69" s="150" t="s">
        <v>332</v>
      </c>
      <c r="C69" s="359"/>
      <c r="D69" s="356"/>
      <c r="E69" s="354"/>
      <c r="F69" s="359"/>
      <c r="G69" s="359"/>
      <c r="H69" s="359"/>
      <c r="I69" s="359"/>
      <c r="J69" s="359"/>
      <c r="K69" s="359"/>
      <c r="L69" s="359"/>
      <c r="M69" s="387"/>
      <c r="N69" s="359">
        <f>851040/1000</f>
        <v>851.04</v>
      </c>
      <c r="O69" s="359">
        <f>56250/1000</f>
        <v>56.25</v>
      </c>
      <c r="P69" s="359"/>
      <c r="Q69" s="359"/>
      <c r="R69" s="359"/>
      <c r="S69" s="359"/>
      <c r="T69" s="367"/>
      <c r="U69" s="356"/>
      <c r="V69" s="356"/>
      <c r="W69" s="356"/>
      <c r="X69" s="356"/>
      <c r="Y69" s="354"/>
      <c r="Z69" s="359"/>
      <c r="AA69" s="359"/>
      <c r="AB69" s="359"/>
      <c r="AC69" s="357">
        <f>182429.1/1000</f>
        <v>182.42910000000001</v>
      </c>
      <c r="AD69" s="358">
        <f t="shared" si="11"/>
        <v>1089.7191</v>
      </c>
      <c r="AE69" s="109"/>
    </row>
    <row r="70" spans="1:31" s="46" customFormat="1">
      <c r="A70" s="108" t="s">
        <v>333</v>
      </c>
      <c r="B70" s="150" t="s">
        <v>334</v>
      </c>
      <c r="C70" s="359"/>
      <c r="D70" s="356"/>
      <c r="E70" s="354"/>
      <c r="F70" s="359"/>
      <c r="G70" s="359"/>
      <c r="H70" s="359"/>
      <c r="I70" s="359"/>
      <c r="J70" s="359"/>
      <c r="K70" s="359"/>
      <c r="L70" s="359"/>
      <c r="M70" s="359"/>
      <c r="N70" s="359"/>
      <c r="O70" s="359">
        <f>573380.75/1000</f>
        <v>573.38075000000003</v>
      </c>
      <c r="P70" s="359"/>
      <c r="Q70" s="359">
        <f>96336.08/1000</f>
        <v>96.336079999999995</v>
      </c>
      <c r="R70" s="359"/>
      <c r="S70" s="359">
        <f>199729.46/1000</f>
        <v>199.72945999999999</v>
      </c>
      <c r="T70" s="367"/>
      <c r="U70" s="356"/>
      <c r="V70" s="356"/>
      <c r="W70" s="356"/>
      <c r="X70" s="356"/>
      <c r="Y70" s="354"/>
      <c r="Z70" s="359"/>
      <c r="AA70" s="359"/>
      <c r="AB70" s="359"/>
      <c r="AC70" s="357">
        <f>234083.06/1000</f>
        <v>234.08305999999999</v>
      </c>
      <c r="AD70" s="358">
        <f t="shared" si="11"/>
        <v>1103.52935</v>
      </c>
      <c r="AE70" s="109"/>
    </row>
    <row r="71" spans="1:31" s="46" customFormat="1">
      <c r="A71" s="110" t="s">
        <v>335</v>
      </c>
      <c r="B71" s="151" t="s">
        <v>336</v>
      </c>
      <c r="C71" s="360"/>
      <c r="D71" s="356"/>
      <c r="E71" s="354"/>
      <c r="F71" s="360"/>
      <c r="G71" s="360"/>
      <c r="H71" s="360"/>
      <c r="I71" s="360"/>
      <c r="J71" s="360">
        <f>1812.24/1000</f>
        <v>1.8122400000000001</v>
      </c>
      <c r="K71" s="360"/>
      <c r="L71" s="360"/>
      <c r="M71" s="385"/>
      <c r="N71" s="360">
        <f>47965302.66/1000</f>
        <v>47965.302659999994</v>
      </c>
      <c r="O71" s="360">
        <f>3368.73/1000</f>
        <v>3.3687300000000002</v>
      </c>
      <c r="P71" s="360"/>
      <c r="Q71" s="360"/>
      <c r="R71" s="360"/>
      <c r="S71" s="360"/>
      <c r="T71" s="367"/>
      <c r="U71" s="356"/>
      <c r="V71" s="356"/>
      <c r="W71" s="356"/>
      <c r="X71" s="356"/>
      <c r="Y71" s="354"/>
      <c r="Z71" s="360"/>
      <c r="AA71" s="360"/>
      <c r="AB71" s="360"/>
      <c r="AC71" s="361">
        <f>1721996.37/1000</f>
        <v>1721.9963700000001</v>
      </c>
      <c r="AD71" s="362">
        <f t="shared" si="11"/>
        <v>49692.479999999996</v>
      </c>
      <c r="AE71" s="109"/>
    </row>
    <row r="72" spans="1:31" s="46" customFormat="1" ht="15" collapsed="1">
      <c r="A72" s="431" t="s">
        <v>72</v>
      </c>
      <c r="B72" s="432"/>
      <c r="C72" s="359">
        <f>SUM(C63:C71)</f>
        <v>0</v>
      </c>
      <c r="D72" s="356">
        <f t="shared" ref="D72:AC72" si="12">SUM(D63:D71)</f>
        <v>0</v>
      </c>
      <c r="E72" s="354">
        <f t="shared" si="12"/>
        <v>0</v>
      </c>
      <c r="F72" s="359">
        <f t="shared" si="12"/>
        <v>0</v>
      </c>
      <c r="G72" s="359">
        <f t="shared" si="12"/>
        <v>0</v>
      </c>
      <c r="H72" s="359">
        <f t="shared" si="12"/>
        <v>0</v>
      </c>
      <c r="I72" s="359">
        <f t="shared" si="12"/>
        <v>0</v>
      </c>
      <c r="J72" s="359">
        <f t="shared" si="12"/>
        <v>106.11636000000001</v>
      </c>
      <c r="K72" s="359">
        <f t="shared" si="12"/>
        <v>0</v>
      </c>
      <c r="L72" s="359">
        <f t="shared" si="12"/>
        <v>0</v>
      </c>
      <c r="M72" s="359">
        <f t="shared" si="12"/>
        <v>0</v>
      </c>
      <c r="N72" s="359">
        <f t="shared" si="12"/>
        <v>49039.433259999991</v>
      </c>
      <c r="O72" s="359">
        <f t="shared" si="12"/>
        <v>20363.65238</v>
      </c>
      <c r="P72" s="359">
        <f t="shared" si="12"/>
        <v>500</v>
      </c>
      <c r="Q72" s="359">
        <f t="shared" si="12"/>
        <v>1498.47702</v>
      </c>
      <c r="R72" s="359">
        <f t="shared" si="12"/>
        <v>0</v>
      </c>
      <c r="S72" s="359">
        <f t="shared" si="12"/>
        <v>292.52616</v>
      </c>
      <c r="T72" s="367">
        <f t="shared" si="12"/>
        <v>0</v>
      </c>
      <c r="U72" s="356">
        <f t="shared" si="12"/>
        <v>0</v>
      </c>
      <c r="V72" s="356">
        <f t="shared" si="12"/>
        <v>0</v>
      </c>
      <c r="W72" s="356">
        <f t="shared" si="12"/>
        <v>0</v>
      </c>
      <c r="X72" s="356">
        <f t="shared" si="12"/>
        <v>0</v>
      </c>
      <c r="Y72" s="354">
        <f t="shared" si="12"/>
        <v>0</v>
      </c>
      <c r="Z72" s="359">
        <f t="shared" si="12"/>
        <v>0</v>
      </c>
      <c r="AA72" s="359">
        <f t="shared" si="12"/>
        <v>0</v>
      </c>
      <c r="AB72" s="359">
        <f t="shared" si="12"/>
        <v>0</v>
      </c>
      <c r="AC72" s="357">
        <f t="shared" si="12"/>
        <v>4715.7445399999997</v>
      </c>
      <c r="AD72" s="358">
        <f t="shared" si="11"/>
        <v>76515.94971999999</v>
      </c>
      <c r="AE72" s="109"/>
    </row>
    <row r="73" spans="1:31" s="46" customFormat="1">
      <c r="A73" s="111"/>
      <c r="B73" s="48"/>
      <c r="C73" s="364"/>
      <c r="D73" s="363"/>
      <c r="E73" s="363"/>
      <c r="F73" s="364"/>
      <c r="G73" s="364"/>
      <c r="H73" s="364"/>
      <c r="I73" s="364"/>
      <c r="J73" s="364"/>
      <c r="K73" s="364"/>
      <c r="L73" s="364"/>
      <c r="M73" s="364"/>
      <c r="N73" s="364"/>
      <c r="O73" s="364"/>
      <c r="P73" s="364"/>
      <c r="Q73" s="364"/>
      <c r="R73" s="363"/>
      <c r="S73" s="364"/>
      <c r="T73" s="363"/>
      <c r="U73" s="363"/>
      <c r="V73" s="363"/>
      <c r="W73" s="363"/>
      <c r="X73" s="363"/>
      <c r="Y73" s="363"/>
      <c r="Z73" s="364"/>
      <c r="AA73" s="363"/>
      <c r="AB73" s="364"/>
      <c r="AC73" s="364"/>
      <c r="AD73" s="365"/>
      <c r="AE73" s="109"/>
    </row>
    <row r="74" spans="1:31" s="46" customFormat="1" ht="15">
      <c r="A74" s="113" t="s">
        <v>73</v>
      </c>
      <c r="B74" s="152" t="s">
        <v>70</v>
      </c>
      <c r="C74" s="364"/>
      <c r="D74" s="366"/>
      <c r="E74" s="366"/>
      <c r="F74" s="364"/>
      <c r="G74" s="364"/>
      <c r="H74" s="364"/>
      <c r="I74" s="364"/>
      <c r="J74" s="364"/>
      <c r="K74" s="364"/>
      <c r="L74" s="364"/>
      <c r="M74" s="366"/>
      <c r="N74" s="364"/>
      <c r="O74" s="364"/>
      <c r="P74" s="364"/>
      <c r="Q74" s="364"/>
      <c r="R74" s="366"/>
      <c r="S74" s="364"/>
      <c r="T74" s="366"/>
      <c r="U74" s="366"/>
      <c r="V74" s="366"/>
      <c r="W74" s="366"/>
      <c r="X74" s="366"/>
      <c r="Y74" s="366"/>
      <c r="Z74" s="364"/>
      <c r="AA74" s="366"/>
      <c r="AB74" s="364"/>
      <c r="AC74" s="364"/>
      <c r="AD74" s="365"/>
      <c r="AE74" s="109"/>
    </row>
    <row r="75" spans="1:31" s="46" customFormat="1">
      <c r="A75" s="108" t="s">
        <v>337</v>
      </c>
      <c r="B75" s="150" t="s">
        <v>338</v>
      </c>
      <c r="C75" s="355"/>
      <c r="D75" s="356"/>
      <c r="E75" s="354"/>
      <c r="F75" s="359"/>
      <c r="G75" s="359"/>
      <c r="H75" s="359"/>
      <c r="I75" s="359"/>
      <c r="J75" s="359"/>
      <c r="K75" s="359"/>
      <c r="L75" s="359"/>
      <c r="M75" s="368"/>
      <c r="N75" s="359"/>
      <c r="O75" s="359"/>
      <c r="P75" s="359"/>
      <c r="Q75" s="359"/>
      <c r="R75" s="359"/>
      <c r="S75" s="359"/>
      <c r="T75" s="367"/>
      <c r="U75" s="356"/>
      <c r="V75" s="356"/>
      <c r="W75" s="356"/>
      <c r="X75" s="356"/>
      <c r="Y75" s="354"/>
      <c r="Z75" s="359"/>
      <c r="AA75" s="359"/>
      <c r="AB75" s="359"/>
      <c r="AC75" s="357"/>
      <c r="AD75" s="358">
        <f>SUM(C75:AC75)</f>
        <v>0</v>
      </c>
      <c r="AE75" s="109"/>
    </row>
    <row r="76" spans="1:31" s="46" customFormat="1">
      <c r="A76" s="108" t="s">
        <v>339</v>
      </c>
      <c r="B76" s="150" t="s">
        <v>71</v>
      </c>
      <c r="C76" s="359"/>
      <c r="D76" s="356"/>
      <c r="E76" s="354"/>
      <c r="F76" s="359"/>
      <c r="G76" s="359"/>
      <c r="H76" s="359">
        <f>997818.81/1000</f>
        <v>997.8188100000001</v>
      </c>
      <c r="I76" s="359">
        <f>9300.33/1000</f>
        <v>9.3003300000000007</v>
      </c>
      <c r="J76" s="359">
        <f>1503797.63/1000</f>
        <v>1503.7976299999998</v>
      </c>
      <c r="K76" s="359">
        <f>97/1000</f>
        <v>9.7000000000000003E-2</v>
      </c>
      <c r="L76" s="359">
        <f>61008.51/1000</f>
        <v>61.008510000000001</v>
      </c>
      <c r="M76" s="395"/>
      <c r="N76" s="359">
        <f>4801689.87/1000</f>
        <v>4801.6898700000002</v>
      </c>
      <c r="O76" s="359">
        <f>2229138.43/1000</f>
        <v>2229.13843</v>
      </c>
      <c r="P76" s="359">
        <f>650000/1000</f>
        <v>650</v>
      </c>
      <c r="Q76" s="359">
        <f>42094.99/1000</f>
        <v>42.094989999999996</v>
      </c>
      <c r="R76" s="359"/>
      <c r="S76" s="359">
        <f>(118392.01+158.14)/1000</f>
        <v>118.55014999999999</v>
      </c>
      <c r="T76" s="367"/>
      <c r="U76" s="356"/>
      <c r="V76" s="356"/>
      <c r="W76" s="356"/>
      <c r="X76" s="356"/>
      <c r="Y76" s="354"/>
      <c r="Z76" s="359"/>
      <c r="AA76" s="359"/>
      <c r="AB76" s="359"/>
      <c r="AC76" s="357">
        <f>6233233.44/1000</f>
        <v>6233.23344</v>
      </c>
      <c r="AD76" s="358">
        <f>SUM(C76:AC76)</f>
        <v>16646.729159999999</v>
      </c>
      <c r="AE76" s="109"/>
    </row>
    <row r="77" spans="1:31" s="46" customFormat="1">
      <c r="A77" s="108" t="s">
        <v>340</v>
      </c>
      <c r="B77" s="150" t="s">
        <v>341</v>
      </c>
      <c r="C77" s="359"/>
      <c r="D77" s="356"/>
      <c r="E77" s="354"/>
      <c r="F77" s="359"/>
      <c r="G77" s="359"/>
      <c r="H77" s="359"/>
      <c r="I77" s="359">
        <f>2594.8/1000</f>
        <v>2.5948000000000002</v>
      </c>
      <c r="J77" s="359">
        <f>64764.53/1000</f>
        <v>64.764529999999993</v>
      </c>
      <c r="K77" s="359"/>
      <c r="L77" s="359"/>
      <c r="M77" s="368"/>
      <c r="N77" s="359">
        <f>948936.5/1000</f>
        <v>948.93650000000002</v>
      </c>
      <c r="O77" s="359">
        <f>1073022.25/1000</f>
        <v>1073.02225</v>
      </c>
      <c r="P77" s="359">
        <f>7524053.41/1000</f>
        <v>7524.0534100000004</v>
      </c>
      <c r="Q77" s="359">
        <f>160000/1000</f>
        <v>160</v>
      </c>
      <c r="R77" s="359"/>
      <c r="S77" s="359"/>
      <c r="T77" s="367"/>
      <c r="U77" s="356"/>
      <c r="V77" s="356"/>
      <c r="W77" s="356"/>
      <c r="X77" s="356"/>
      <c r="Y77" s="354"/>
      <c r="Z77" s="359"/>
      <c r="AA77" s="359"/>
      <c r="AB77" s="359"/>
      <c r="AC77" s="357">
        <f>1225532.73/1000</f>
        <v>1225.5327299999999</v>
      </c>
      <c r="AD77" s="358">
        <f>SUM(C77:AC77)</f>
        <v>10998.90422</v>
      </c>
      <c r="AE77" s="109"/>
    </row>
    <row r="78" spans="1:31" s="46" customFormat="1">
      <c r="A78" s="110" t="s">
        <v>342</v>
      </c>
      <c r="B78" s="151" t="s">
        <v>343</v>
      </c>
      <c r="C78" s="360"/>
      <c r="D78" s="356"/>
      <c r="E78" s="354"/>
      <c r="F78" s="360"/>
      <c r="G78" s="360"/>
      <c r="H78" s="360"/>
      <c r="I78" s="360"/>
      <c r="J78" s="360"/>
      <c r="K78" s="360"/>
      <c r="L78" s="360"/>
      <c r="M78" s="368"/>
      <c r="N78" s="360"/>
      <c r="O78" s="360"/>
      <c r="P78" s="360"/>
      <c r="Q78" s="360"/>
      <c r="R78" s="360"/>
      <c r="S78" s="360"/>
      <c r="T78" s="367"/>
      <c r="U78" s="356"/>
      <c r="V78" s="356"/>
      <c r="W78" s="356"/>
      <c r="X78" s="356"/>
      <c r="Y78" s="354"/>
      <c r="Z78" s="360"/>
      <c r="AA78" s="360"/>
      <c r="AB78" s="360"/>
      <c r="AC78" s="361"/>
      <c r="AD78" s="362">
        <f>SUM(C78:AC78)</f>
        <v>0</v>
      </c>
      <c r="AE78" s="109"/>
    </row>
    <row r="79" spans="1:31" s="46" customFormat="1" ht="15" collapsed="1">
      <c r="A79" s="431" t="s">
        <v>81</v>
      </c>
      <c r="B79" s="432"/>
      <c r="C79" s="359">
        <f>SUM(C75:C78)</f>
        <v>0</v>
      </c>
      <c r="D79" s="356">
        <f t="shared" ref="D79:AC79" si="13">SUM(D75:D78)</f>
        <v>0</v>
      </c>
      <c r="E79" s="354">
        <f t="shared" si="13"/>
        <v>0</v>
      </c>
      <c r="F79" s="359">
        <f t="shared" si="13"/>
        <v>0</v>
      </c>
      <c r="G79" s="359">
        <f t="shared" si="13"/>
        <v>0</v>
      </c>
      <c r="H79" s="359">
        <f t="shared" si="13"/>
        <v>997.8188100000001</v>
      </c>
      <c r="I79" s="359">
        <f t="shared" si="13"/>
        <v>11.895130000000002</v>
      </c>
      <c r="J79" s="359">
        <f t="shared" si="13"/>
        <v>1568.5621599999997</v>
      </c>
      <c r="K79" s="359">
        <f t="shared" si="13"/>
        <v>9.7000000000000003E-2</v>
      </c>
      <c r="L79" s="359">
        <f t="shared" si="13"/>
        <v>61.008510000000001</v>
      </c>
      <c r="M79" s="368">
        <f t="shared" si="13"/>
        <v>0</v>
      </c>
      <c r="N79" s="359">
        <f t="shared" si="13"/>
        <v>5750.62637</v>
      </c>
      <c r="O79" s="359">
        <f t="shared" si="13"/>
        <v>3302.16068</v>
      </c>
      <c r="P79" s="359">
        <f t="shared" si="13"/>
        <v>8174.0534100000004</v>
      </c>
      <c r="Q79" s="359">
        <f t="shared" si="13"/>
        <v>202.09499</v>
      </c>
      <c r="R79" s="359">
        <f t="shared" si="13"/>
        <v>0</v>
      </c>
      <c r="S79" s="359">
        <f t="shared" si="13"/>
        <v>118.55014999999999</v>
      </c>
      <c r="T79" s="367">
        <f t="shared" si="13"/>
        <v>0</v>
      </c>
      <c r="U79" s="356">
        <f t="shared" si="13"/>
        <v>0</v>
      </c>
      <c r="V79" s="356">
        <f t="shared" si="13"/>
        <v>0</v>
      </c>
      <c r="W79" s="356">
        <f t="shared" si="13"/>
        <v>0</v>
      </c>
      <c r="X79" s="356">
        <f t="shared" si="13"/>
        <v>0</v>
      </c>
      <c r="Y79" s="354">
        <f t="shared" si="13"/>
        <v>0</v>
      </c>
      <c r="Z79" s="359">
        <f t="shared" si="13"/>
        <v>0</v>
      </c>
      <c r="AA79" s="359">
        <f t="shared" si="13"/>
        <v>0</v>
      </c>
      <c r="AB79" s="359">
        <f t="shared" si="13"/>
        <v>0</v>
      </c>
      <c r="AC79" s="357">
        <f t="shared" si="13"/>
        <v>7458.7661699999999</v>
      </c>
      <c r="AD79" s="358">
        <f>SUM(C79:AC79)</f>
        <v>27645.633379999999</v>
      </c>
      <c r="AE79" s="109"/>
    </row>
    <row r="80" spans="1:31" s="46" customFormat="1">
      <c r="A80" s="111"/>
      <c r="B80" s="48"/>
      <c r="C80" s="364"/>
      <c r="D80" s="363"/>
      <c r="E80" s="363"/>
      <c r="F80" s="364"/>
      <c r="G80" s="364"/>
      <c r="H80" s="364"/>
      <c r="I80" s="364"/>
      <c r="J80" s="364"/>
      <c r="K80" s="364"/>
      <c r="L80" s="364"/>
      <c r="M80" s="363"/>
      <c r="N80" s="364"/>
      <c r="O80" s="364"/>
      <c r="P80" s="364"/>
      <c r="Q80" s="364"/>
      <c r="R80" s="363"/>
      <c r="S80" s="364"/>
      <c r="T80" s="363"/>
      <c r="U80" s="363"/>
      <c r="V80" s="363"/>
      <c r="W80" s="363"/>
      <c r="X80" s="363"/>
      <c r="Y80" s="363"/>
      <c r="Z80" s="364"/>
      <c r="AA80" s="363"/>
      <c r="AB80" s="364"/>
      <c r="AC80" s="364"/>
      <c r="AD80" s="365"/>
      <c r="AE80" s="109"/>
    </row>
    <row r="81" spans="1:31" s="46" customFormat="1" ht="15">
      <c r="A81" s="45" t="s">
        <v>50</v>
      </c>
      <c r="B81" s="153" t="s">
        <v>74</v>
      </c>
      <c r="C81" s="364"/>
      <c r="D81" s="366"/>
      <c r="E81" s="366"/>
      <c r="F81" s="364"/>
      <c r="G81" s="364"/>
      <c r="H81" s="364"/>
      <c r="I81" s="364"/>
      <c r="J81" s="364"/>
      <c r="K81" s="364"/>
      <c r="L81" s="364"/>
      <c r="M81" s="366"/>
      <c r="N81" s="364"/>
      <c r="O81" s="364"/>
      <c r="P81" s="364"/>
      <c r="Q81" s="364"/>
      <c r="R81" s="366"/>
      <c r="S81" s="364"/>
      <c r="T81" s="366"/>
      <c r="U81" s="366"/>
      <c r="V81" s="366"/>
      <c r="W81" s="364"/>
      <c r="X81" s="366"/>
      <c r="Y81" s="366"/>
      <c r="Z81" s="366"/>
      <c r="AA81" s="366"/>
      <c r="AB81" s="364"/>
      <c r="AC81" s="364"/>
      <c r="AD81" s="365"/>
      <c r="AE81" s="109"/>
    </row>
    <row r="82" spans="1:31" s="46" customFormat="1">
      <c r="A82" s="108" t="s">
        <v>19</v>
      </c>
      <c r="B82" s="150" t="s">
        <v>75</v>
      </c>
      <c r="C82" s="355"/>
      <c r="D82" s="356"/>
      <c r="E82" s="354"/>
      <c r="F82" s="359"/>
      <c r="G82" s="359"/>
      <c r="H82" s="359"/>
      <c r="I82" s="359"/>
      <c r="J82" s="359"/>
      <c r="K82" s="359"/>
      <c r="L82" s="359"/>
      <c r="M82" s="368"/>
      <c r="N82" s="359"/>
      <c r="O82" s="359"/>
      <c r="P82" s="359"/>
      <c r="Q82" s="359"/>
      <c r="R82" s="359">
        <f>2589354.85/1000</f>
        <v>2589.3548500000002</v>
      </c>
      <c r="S82" s="359">
        <f>2888089.68/1000</f>
        <v>2888.08968</v>
      </c>
      <c r="T82" s="359"/>
      <c r="U82" s="359"/>
      <c r="V82" s="354"/>
      <c r="W82" s="359"/>
      <c r="X82" s="367"/>
      <c r="Y82" s="356"/>
      <c r="Z82" s="356"/>
      <c r="AA82" s="354"/>
      <c r="AB82" s="359"/>
      <c r="AC82" s="357"/>
      <c r="AD82" s="358">
        <f t="shared" ref="AD82:AD92" si="14">SUM(C82:AC82)</f>
        <v>5477.4445300000007</v>
      </c>
      <c r="AE82" s="109"/>
    </row>
    <row r="83" spans="1:31" s="46" customFormat="1">
      <c r="A83" s="108" t="s">
        <v>344</v>
      </c>
      <c r="B83" s="150" t="s">
        <v>77</v>
      </c>
      <c r="C83" s="359"/>
      <c r="D83" s="356"/>
      <c r="E83" s="354"/>
      <c r="F83" s="359"/>
      <c r="G83" s="359"/>
      <c r="H83" s="359"/>
      <c r="I83" s="359"/>
      <c r="J83" s="359"/>
      <c r="K83" s="359"/>
      <c r="L83" s="359"/>
      <c r="M83" s="368"/>
      <c r="N83" s="359"/>
      <c r="O83" s="359"/>
      <c r="P83" s="359"/>
      <c r="Q83" s="359"/>
      <c r="R83" s="359">
        <f>18542.57/1000</f>
        <v>18.542570000000001</v>
      </c>
      <c r="S83" s="359">
        <f>18454343.39/1000</f>
        <v>18454.343390000002</v>
      </c>
      <c r="T83" s="367"/>
      <c r="U83" s="356"/>
      <c r="V83" s="359"/>
      <c r="W83" s="359"/>
      <c r="X83" s="367"/>
      <c r="Y83" s="356"/>
      <c r="Z83" s="356"/>
      <c r="AA83" s="354"/>
      <c r="AB83" s="359"/>
      <c r="AC83" s="357"/>
      <c r="AD83" s="358">
        <f t="shared" si="14"/>
        <v>18472.885960000003</v>
      </c>
      <c r="AE83" s="109"/>
    </row>
    <row r="84" spans="1:31" s="46" customFormat="1">
      <c r="A84" s="108" t="s">
        <v>345</v>
      </c>
      <c r="B84" s="150" t="s">
        <v>346</v>
      </c>
      <c r="C84" s="359"/>
      <c r="D84" s="356"/>
      <c r="E84" s="354"/>
      <c r="F84" s="359"/>
      <c r="G84" s="359"/>
      <c r="H84" s="359"/>
      <c r="I84" s="359"/>
      <c r="J84" s="359"/>
      <c r="K84" s="359"/>
      <c r="L84" s="359"/>
      <c r="M84" s="368"/>
      <c r="N84" s="359"/>
      <c r="O84" s="359"/>
      <c r="P84" s="359"/>
      <c r="Q84" s="359"/>
      <c r="R84" s="359"/>
      <c r="S84" s="359"/>
      <c r="T84" s="367"/>
      <c r="U84" s="356"/>
      <c r="V84" s="356"/>
      <c r="W84" s="366"/>
      <c r="X84" s="356"/>
      <c r="Y84" s="356"/>
      <c r="Z84" s="356"/>
      <c r="AA84" s="354"/>
      <c r="AB84" s="359"/>
      <c r="AC84" s="357"/>
      <c r="AD84" s="358">
        <f t="shared" si="14"/>
        <v>0</v>
      </c>
      <c r="AE84" s="109"/>
    </row>
    <row r="85" spans="1:31" s="46" customFormat="1">
      <c r="A85" s="108" t="s">
        <v>347</v>
      </c>
      <c r="B85" s="154" t="s">
        <v>348</v>
      </c>
      <c r="C85" s="359"/>
      <c r="D85" s="356"/>
      <c r="E85" s="354"/>
      <c r="F85" s="359"/>
      <c r="G85" s="359"/>
      <c r="H85" s="359"/>
      <c r="I85" s="359"/>
      <c r="J85" s="359"/>
      <c r="K85" s="359"/>
      <c r="L85" s="359"/>
      <c r="M85" s="368"/>
      <c r="N85" s="359"/>
      <c r="O85" s="359"/>
      <c r="P85" s="359"/>
      <c r="Q85" s="359"/>
      <c r="R85" s="359"/>
      <c r="S85" s="359"/>
      <c r="T85" s="367"/>
      <c r="U85" s="356"/>
      <c r="V85" s="356"/>
      <c r="W85" s="356"/>
      <c r="X85" s="356"/>
      <c r="Y85" s="356"/>
      <c r="Z85" s="363"/>
      <c r="AA85" s="354"/>
      <c r="AB85" s="359"/>
      <c r="AC85" s="357"/>
      <c r="AD85" s="358">
        <f t="shared" si="14"/>
        <v>0</v>
      </c>
      <c r="AE85" s="109"/>
    </row>
    <row r="86" spans="1:31" s="46" customFormat="1">
      <c r="A86" s="115" t="s">
        <v>349</v>
      </c>
      <c r="B86" s="154" t="s">
        <v>76</v>
      </c>
      <c r="C86" s="359"/>
      <c r="D86" s="356"/>
      <c r="E86" s="354"/>
      <c r="F86" s="360"/>
      <c r="G86" s="360"/>
      <c r="H86" s="360"/>
      <c r="I86" s="360"/>
      <c r="J86" s="360"/>
      <c r="K86" s="360"/>
      <c r="L86" s="360"/>
      <c r="M86" s="368"/>
      <c r="N86" s="360"/>
      <c r="O86" s="360"/>
      <c r="P86" s="360"/>
      <c r="Q86" s="360"/>
      <c r="R86" s="360"/>
      <c r="S86" s="360">
        <f>36265.9/1000</f>
        <v>36.265900000000002</v>
      </c>
      <c r="T86" s="367"/>
      <c r="U86" s="356"/>
      <c r="V86" s="356"/>
      <c r="W86" s="356"/>
      <c r="X86" s="356"/>
      <c r="Y86" s="354"/>
      <c r="Z86" s="360"/>
      <c r="AA86" s="368"/>
      <c r="AB86" s="360"/>
      <c r="AC86" s="361"/>
      <c r="AD86" s="358">
        <f t="shared" si="14"/>
        <v>36.265900000000002</v>
      </c>
      <c r="AE86" s="109"/>
    </row>
    <row r="87" spans="1:31" s="46" customFormat="1">
      <c r="A87" s="115" t="s">
        <v>350</v>
      </c>
      <c r="B87" s="154" t="s">
        <v>351</v>
      </c>
      <c r="C87" s="359"/>
      <c r="D87" s="356"/>
      <c r="E87" s="354"/>
      <c r="F87" s="360"/>
      <c r="G87" s="360"/>
      <c r="H87" s="360"/>
      <c r="I87" s="360"/>
      <c r="J87" s="360"/>
      <c r="K87" s="360"/>
      <c r="L87" s="360"/>
      <c r="M87" s="368"/>
      <c r="N87" s="360"/>
      <c r="O87" s="360"/>
      <c r="P87" s="360"/>
      <c r="Q87" s="360"/>
      <c r="R87" s="360"/>
      <c r="S87" s="360"/>
      <c r="T87" s="367"/>
      <c r="U87" s="356"/>
      <c r="V87" s="356"/>
      <c r="W87" s="356"/>
      <c r="X87" s="356"/>
      <c r="Y87" s="356"/>
      <c r="Z87" s="366"/>
      <c r="AA87" s="354"/>
      <c r="AB87" s="360"/>
      <c r="AC87" s="361"/>
      <c r="AD87" s="358">
        <f t="shared" si="14"/>
        <v>0</v>
      </c>
      <c r="AE87" s="109"/>
    </row>
    <row r="88" spans="1:31" s="46" customFormat="1">
      <c r="A88" s="115" t="s">
        <v>352</v>
      </c>
      <c r="B88" s="154" t="s">
        <v>78</v>
      </c>
      <c r="C88" s="359"/>
      <c r="D88" s="356"/>
      <c r="E88" s="356"/>
      <c r="F88" s="366"/>
      <c r="G88" s="366"/>
      <c r="H88" s="366"/>
      <c r="I88" s="366"/>
      <c r="J88" s="366"/>
      <c r="K88" s="366"/>
      <c r="L88" s="366"/>
      <c r="M88" s="356"/>
      <c r="N88" s="366"/>
      <c r="O88" s="366"/>
      <c r="P88" s="366"/>
      <c r="Q88" s="366"/>
      <c r="R88" s="366"/>
      <c r="S88" s="360"/>
      <c r="T88" s="367"/>
      <c r="U88" s="356"/>
      <c r="V88" s="356"/>
      <c r="W88" s="356"/>
      <c r="X88" s="356"/>
      <c r="Y88" s="356"/>
      <c r="Z88" s="356"/>
      <c r="AA88" s="354"/>
      <c r="AB88" s="360"/>
      <c r="AC88" s="361"/>
      <c r="AD88" s="358">
        <f t="shared" si="14"/>
        <v>0</v>
      </c>
      <c r="AE88" s="109"/>
    </row>
    <row r="89" spans="1:31" s="46" customFormat="1">
      <c r="A89" s="115" t="s">
        <v>353</v>
      </c>
      <c r="B89" s="154" t="s">
        <v>79</v>
      </c>
      <c r="C89" s="359"/>
      <c r="D89" s="356"/>
      <c r="E89" s="356"/>
      <c r="F89" s="356"/>
      <c r="G89" s="356"/>
      <c r="H89" s="356"/>
      <c r="I89" s="356"/>
      <c r="J89" s="356"/>
      <c r="K89" s="356"/>
      <c r="L89" s="356"/>
      <c r="M89" s="356"/>
      <c r="N89" s="356"/>
      <c r="O89" s="356"/>
      <c r="P89" s="356"/>
      <c r="Q89" s="356"/>
      <c r="R89" s="356"/>
      <c r="S89" s="360"/>
      <c r="T89" s="367"/>
      <c r="U89" s="356"/>
      <c r="V89" s="356"/>
      <c r="W89" s="356"/>
      <c r="X89" s="356"/>
      <c r="Y89" s="356"/>
      <c r="Z89" s="356"/>
      <c r="AA89" s="354"/>
      <c r="AB89" s="360"/>
      <c r="AC89" s="361"/>
      <c r="AD89" s="358">
        <f t="shared" si="14"/>
        <v>0</v>
      </c>
      <c r="AE89" s="109"/>
    </row>
    <row r="90" spans="1:31" s="46" customFormat="1">
      <c r="A90" s="115" t="s">
        <v>354</v>
      </c>
      <c r="B90" s="155" t="s">
        <v>355</v>
      </c>
      <c r="C90" s="359"/>
      <c r="D90" s="356"/>
      <c r="E90" s="356"/>
      <c r="F90" s="356"/>
      <c r="G90" s="356"/>
      <c r="H90" s="356"/>
      <c r="I90" s="356"/>
      <c r="J90" s="356"/>
      <c r="K90" s="356"/>
      <c r="L90" s="356"/>
      <c r="M90" s="356"/>
      <c r="N90" s="356"/>
      <c r="O90" s="356"/>
      <c r="P90" s="356"/>
      <c r="Q90" s="356"/>
      <c r="R90" s="356"/>
      <c r="S90" s="360">
        <f>92935018.15/1000</f>
        <v>92935.018150000004</v>
      </c>
      <c r="T90" s="367"/>
      <c r="U90" s="356"/>
      <c r="V90" s="356"/>
      <c r="W90" s="356"/>
      <c r="X90" s="356"/>
      <c r="Y90" s="356"/>
      <c r="Z90" s="356"/>
      <c r="AA90" s="354"/>
      <c r="AB90" s="360"/>
      <c r="AC90" s="361"/>
      <c r="AD90" s="358">
        <f t="shared" si="14"/>
        <v>92935.018150000004</v>
      </c>
      <c r="AE90" s="109"/>
    </row>
    <row r="91" spans="1:31" s="46" customFormat="1">
      <c r="A91" s="116" t="s">
        <v>356</v>
      </c>
      <c r="B91" s="156" t="s">
        <v>80</v>
      </c>
      <c r="C91" s="359"/>
      <c r="D91" s="356"/>
      <c r="E91" s="356"/>
      <c r="F91" s="356"/>
      <c r="G91" s="356"/>
      <c r="H91" s="356"/>
      <c r="I91" s="356"/>
      <c r="J91" s="356"/>
      <c r="K91" s="356"/>
      <c r="L91" s="356"/>
      <c r="M91" s="356"/>
      <c r="N91" s="356"/>
      <c r="O91" s="356"/>
      <c r="P91" s="356"/>
      <c r="Q91" s="356"/>
      <c r="R91" s="356"/>
      <c r="S91" s="360"/>
      <c r="T91" s="367"/>
      <c r="U91" s="356"/>
      <c r="V91" s="356"/>
      <c r="W91" s="356"/>
      <c r="X91" s="356"/>
      <c r="Y91" s="356"/>
      <c r="Z91" s="356"/>
      <c r="AA91" s="354"/>
      <c r="AB91" s="360"/>
      <c r="AC91" s="361"/>
      <c r="AD91" s="362">
        <f t="shared" si="14"/>
        <v>0</v>
      </c>
      <c r="AE91" s="109"/>
    </row>
    <row r="92" spans="1:31" s="46" customFormat="1" ht="15" collapsed="1">
      <c r="A92" s="431" t="s">
        <v>52</v>
      </c>
      <c r="B92" s="432"/>
      <c r="C92" s="359">
        <f>SUM(C82:C91)-C89</f>
        <v>0</v>
      </c>
      <c r="D92" s="356">
        <f t="shared" ref="D92:AC92" si="15">SUM(D82:D91)-D89</f>
        <v>0</v>
      </c>
      <c r="E92" s="354">
        <f t="shared" si="15"/>
        <v>0</v>
      </c>
      <c r="F92" s="359">
        <f t="shared" si="15"/>
        <v>0</v>
      </c>
      <c r="G92" s="359">
        <f t="shared" si="15"/>
        <v>0</v>
      </c>
      <c r="H92" s="359">
        <f t="shared" si="15"/>
        <v>0</v>
      </c>
      <c r="I92" s="359">
        <f t="shared" si="15"/>
        <v>0</v>
      </c>
      <c r="J92" s="359">
        <f t="shared" si="15"/>
        <v>0</v>
      </c>
      <c r="K92" s="359">
        <f t="shared" si="15"/>
        <v>0</v>
      </c>
      <c r="L92" s="359">
        <f t="shared" si="15"/>
        <v>0</v>
      </c>
      <c r="M92" s="368">
        <f t="shared" si="15"/>
        <v>0</v>
      </c>
      <c r="N92" s="359">
        <f t="shared" si="15"/>
        <v>0</v>
      </c>
      <c r="O92" s="359">
        <f t="shared" si="15"/>
        <v>0</v>
      </c>
      <c r="P92" s="359">
        <f t="shared" si="15"/>
        <v>0</v>
      </c>
      <c r="Q92" s="359">
        <f t="shared" si="15"/>
        <v>0</v>
      </c>
      <c r="R92" s="359">
        <f t="shared" si="15"/>
        <v>2607.8974200000002</v>
      </c>
      <c r="S92" s="359">
        <f t="shared" si="15"/>
        <v>114313.71712</v>
      </c>
      <c r="T92" s="359">
        <f>SUM(T82:T91)-T89</f>
        <v>0</v>
      </c>
      <c r="U92" s="359">
        <f>SUM(U82:U91)-U89</f>
        <v>0</v>
      </c>
      <c r="V92" s="359">
        <f>SUM(V82:V91)-V89</f>
        <v>0</v>
      </c>
      <c r="W92" s="359">
        <f t="shared" si="15"/>
        <v>0</v>
      </c>
      <c r="X92" s="367">
        <f t="shared" si="15"/>
        <v>0</v>
      </c>
      <c r="Y92" s="354">
        <f t="shared" si="15"/>
        <v>0</v>
      </c>
      <c r="Z92" s="359">
        <f t="shared" si="15"/>
        <v>0</v>
      </c>
      <c r="AA92" s="368">
        <f t="shared" si="15"/>
        <v>0</v>
      </c>
      <c r="AB92" s="359">
        <f t="shared" si="15"/>
        <v>0</v>
      </c>
      <c r="AC92" s="357">
        <f t="shared" si="15"/>
        <v>0</v>
      </c>
      <c r="AD92" s="358">
        <f t="shared" si="14"/>
        <v>116921.61454</v>
      </c>
      <c r="AE92" s="109"/>
    </row>
    <row r="93" spans="1:31" s="46" customFormat="1" ht="15" thickBot="1">
      <c r="A93" s="117"/>
      <c r="B93" s="157"/>
      <c r="C93" s="366"/>
      <c r="D93" s="356"/>
      <c r="E93" s="356"/>
      <c r="F93" s="366"/>
      <c r="G93" s="366"/>
      <c r="H93" s="366"/>
      <c r="I93" s="366"/>
      <c r="J93" s="366"/>
      <c r="K93" s="366"/>
      <c r="L93" s="366"/>
      <c r="M93" s="356"/>
      <c r="N93" s="366"/>
      <c r="O93" s="366"/>
      <c r="P93" s="366"/>
      <c r="Q93" s="366"/>
      <c r="R93" s="366"/>
      <c r="S93" s="366"/>
      <c r="T93" s="356"/>
      <c r="U93" s="356"/>
      <c r="V93" s="356"/>
      <c r="W93" s="366"/>
      <c r="X93" s="356"/>
      <c r="Y93" s="356"/>
      <c r="Z93" s="366"/>
      <c r="AA93" s="356"/>
      <c r="AB93" s="366"/>
      <c r="AC93" s="366"/>
      <c r="AD93" s="369"/>
      <c r="AE93" s="109"/>
    </row>
    <row r="94" spans="1:31" s="46" customFormat="1" ht="15.75" thickBot="1">
      <c r="A94" s="437" t="s">
        <v>357</v>
      </c>
      <c r="B94" s="438"/>
      <c r="C94" s="370">
        <f>SUM(C14,C20,C28,C37,C47,C53,C60,C72,C79,C92)</f>
        <v>0</v>
      </c>
      <c r="D94" s="388">
        <f t="shared" ref="D94:AC94" si="16">SUM(D14,D20,D28,D37,D47,D53,D60,D72,D79,D92)</f>
        <v>3.5334699999999999</v>
      </c>
      <c r="E94" s="370">
        <f t="shared" si="16"/>
        <v>0</v>
      </c>
      <c r="F94" s="370">
        <f t="shared" si="16"/>
        <v>53.271999999999998</v>
      </c>
      <c r="G94" s="370">
        <f t="shared" si="16"/>
        <v>2.7240000000000002</v>
      </c>
      <c r="H94" s="370">
        <f t="shared" si="16"/>
        <v>1199.33456</v>
      </c>
      <c r="I94" s="370">
        <f t="shared" si="16"/>
        <v>38.254190000000001</v>
      </c>
      <c r="J94" s="370">
        <f t="shared" si="16"/>
        <v>32128.594219999999</v>
      </c>
      <c r="K94" s="370">
        <f t="shared" si="16"/>
        <v>9.7180799999999987</v>
      </c>
      <c r="L94" s="370">
        <f t="shared" si="16"/>
        <v>275.65124000000003</v>
      </c>
      <c r="M94" s="370">
        <f t="shared" si="16"/>
        <v>14542.020419999999</v>
      </c>
      <c r="N94" s="370">
        <f t="shared" si="16"/>
        <v>124622.76101999999</v>
      </c>
      <c r="O94" s="370">
        <f t="shared" si="16"/>
        <v>40509.598709999998</v>
      </c>
      <c r="P94" s="370">
        <f t="shared" si="16"/>
        <v>20990.854530000001</v>
      </c>
      <c r="Q94" s="370">
        <f t="shared" si="16"/>
        <v>9588.0519599999989</v>
      </c>
      <c r="R94" s="370">
        <f>SUM(R14,R20,R28,R37,R47,R53,R60,R72,R79,R92)</f>
        <v>2607.8974200000002</v>
      </c>
      <c r="S94" s="370">
        <f t="shared" si="16"/>
        <v>153102.27144000001</v>
      </c>
      <c r="T94" s="370">
        <f t="shared" si="16"/>
        <v>0</v>
      </c>
      <c r="U94" s="370">
        <f t="shared" si="16"/>
        <v>0</v>
      </c>
      <c r="V94" s="370">
        <f t="shared" si="16"/>
        <v>0</v>
      </c>
      <c r="W94" s="370">
        <f t="shared" si="16"/>
        <v>0</v>
      </c>
      <c r="X94" s="372">
        <f t="shared" si="16"/>
        <v>0</v>
      </c>
      <c r="Y94" s="373">
        <f t="shared" si="16"/>
        <v>0</v>
      </c>
      <c r="Z94" s="370">
        <f t="shared" si="16"/>
        <v>0</v>
      </c>
      <c r="AA94" s="370">
        <f>SUM(AA14,AA20,AA28,AA37,AA47,AA53,AA60,AA72,AA79)</f>
        <v>0</v>
      </c>
      <c r="AB94" s="370">
        <f t="shared" si="16"/>
        <v>0</v>
      </c>
      <c r="AC94" s="375">
        <f t="shared" si="16"/>
        <v>76820.199180000011</v>
      </c>
      <c r="AD94" s="376">
        <f>SUM(C94:AC94)</f>
        <v>476494.73644000001</v>
      </c>
      <c r="AE94" s="109"/>
    </row>
    <row r="95" spans="1:31" s="46" customFormat="1">
      <c r="A95" s="119"/>
      <c r="B95" s="158"/>
      <c r="C95" s="363"/>
      <c r="D95" s="363"/>
      <c r="E95" s="363"/>
      <c r="F95" s="363"/>
      <c r="G95" s="363"/>
      <c r="H95" s="363"/>
      <c r="I95" s="363"/>
      <c r="J95" s="363"/>
      <c r="K95" s="363"/>
      <c r="L95" s="363"/>
      <c r="M95" s="363"/>
      <c r="N95" s="363"/>
      <c r="O95" s="363"/>
      <c r="P95" s="363"/>
      <c r="Q95" s="363"/>
      <c r="R95" s="363"/>
      <c r="S95" s="363"/>
      <c r="T95" s="363"/>
      <c r="U95" s="363"/>
      <c r="V95" s="363"/>
      <c r="W95" s="363"/>
      <c r="X95" s="363"/>
      <c r="Y95" s="363"/>
      <c r="Z95" s="363"/>
      <c r="AA95" s="363"/>
      <c r="AB95" s="363"/>
      <c r="AC95" s="363"/>
      <c r="AD95" s="377"/>
      <c r="AE95" s="109"/>
    </row>
    <row r="96" spans="1:31" s="121" customFormat="1" ht="18">
      <c r="A96" s="439" t="s">
        <v>82</v>
      </c>
      <c r="B96" s="440"/>
      <c r="C96" s="378"/>
      <c r="D96" s="378"/>
      <c r="E96" s="378"/>
      <c r="F96" s="378"/>
      <c r="G96" s="378"/>
      <c r="H96" s="378"/>
      <c r="I96" s="378"/>
      <c r="J96" s="378"/>
      <c r="K96" s="378"/>
      <c r="L96" s="378"/>
      <c r="M96" s="378"/>
      <c r="N96" s="378"/>
      <c r="O96" s="378"/>
      <c r="P96" s="378"/>
      <c r="Q96" s="378"/>
      <c r="R96" s="378"/>
      <c r="S96" s="378"/>
      <c r="T96" s="378"/>
      <c r="U96" s="378"/>
      <c r="V96" s="378"/>
      <c r="W96" s="378"/>
      <c r="X96" s="378"/>
      <c r="Y96" s="378"/>
      <c r="Z96" s="378"/>
      <c r="AA96" s="378"/>
      <c r="AB96" s="378"/>
      <c r="AC96" s="378"/>
      <c r="AD96" s="379"/>
      <c r="AE96" s="120"/>
    </row>
    <row r="97" spans="1:31" s="46" customFormat="1">
      <c r="A97" s="111"/>
      <c r="B97" s="48"/>
      <c r="C97" s="356"/>
      <c r="D97" s="356"/>
      <c r="E97" s="356"/>
      <c r="F97" s="363"/>
      <c r="G97" s="363"/>
      <c r="H97" s="363"/>
      <c r="I97" s="363"/>
      <c r="J97" s="363"/>
      <c r="K97" s="363"/>
      <c r="L97" s="363"/>
      <c r="M97" s="356"/>
      <c r="N97" s="363"/>
      <c r="O97" s="363"/>
      <c r="P97" s="363"/>
      <c r="Q97" s="363"/>
      <c r="R97" s="363"/>
      <c r="S97" s="363"/>
      <c r="T97" s="356"/>
      <c r="U97" s="356"/>
      <c r="V97" s="356"/>
      <c r="W97" s="356"/>
      <c r="X97" s="356"/>
      <c r="Y97" s="356"/>
      <c r="Z97" s="363"/>
      <c r="AA97" s="356"/>
      <c r="AB97" s="363"/>
      <c r="AC97" s="363"/>
      <c r="AD97" s="377"/>
      <c r="AE97" s="109"/>
    </row>
    <row r="98" spans="1:31" s="46" customFormat="1">
      <c r="A98" s="122" t="s">
        <v>470</v>
      </c>
      <c r="B98" s="150" t="s">
        <v>83</v>
      </c>
      <c r="C98" s="360"/>
      <c r="D98" s="363"/>
      <c r="E98" s="389"/>
      <c r="F98" s="355"/>
      <c r="G98" s="355"/>
      <c r="H98" s="355"/>
      <c r="I98" s="359"/>
      <c r="J98" s="355"/>
      <c r="K98" s="355"/>
      <c r="L98" s="355"/>
      <c r="M98" s="368"/>
      <c r="N98" s="355"/>
      <c r="O98" s="355"/>
      <c r="P98" s="355"/>
      <c r="Q98" s="355"/>
      <c r="R98" s="355"/>
      <c r="S98" s="359"/>
      <c r="T98" s="367"/>
      <c r="U98" s="356"/>
      <c r="V98" s="356"/>
      <c r="W98" s="356"/>
      <c r="X98" s="356"/>
      <c r="Y98" s="354"/>
      <c r="Z98" s="359"/>
      <c r="AA98" s="368"/>
      <c r="AB98" s="359"/>
      <c r="AC98" s="357"/>
      <c r="AD98" s="358">
        <f>SUM(C98:AC98)</f>
        <v>0</v>
      </c>
      <c r="AE98" s="109"/>
    </row>
    <row r="99" spans="1:31" s="46" customFormat="1">
      <c r="A99" s="122" t="s">
        <v>471</v>
      </c>
      <c r="B99" s="150" t="s">
        <v>84</v>
      </c>
      <c r="C99" s="360"/>
      <c r="D99" s="383">
        <f>56363010.9/1000</f>
        <v>56363.010900000001</v>
      </c>
      <c r="E99" s="359">
        <f>39411.49/1000</f>
        <v>39.411490000000001</v>
      </c>
      <c r="F99" s="359"/>
      <c r="G99" s="359">
        <f>15000/1000</f>
        <v>15</v>
      </c>
      <c r="H99" s="359">
        <f>82941.01/1000</f>
        <v>82.941009999999991</v>
      </c>
      <c r="I99" s="359">
        <f>3048941.61/1000</f>
        <v>3048.9416099999999</v>
      </c>
      <c r="J99" s="359">
        <f>16593321.45/1000</f>
        <v>16593.321449999999</v>
      </c>
      <c r="K99" s="359"/>
      <c r="L99" s="359">
        <f>332627.35/1000</f>
        <v>332.62734999999998</v>
      </c>
      <c r="M99" s="368"/>
      <c r="N99" s="359">
        <f>22793/1000</f>
        <v>22.792999999999999</v>
      </c>
      <c r="O99" s="359">
        <f>117323/1000</f>
        <v>117.32299999999999</v>
      </c>
      <c r="P99" s="359"/>
      <c r="Q99" s="359"/>
      <c r="R99" s="402"/>
      <c r="S99" s="359">
        <f>(1752505.04+2337925.18+38808.39+937297.87)/1000</f>
        <v>5066.5364800000007</v>
      </c>
      <c r="T99" s="367"/>
      <c r="U99" s="356"/>
      <c r="V99" s="356"/>
      <c r="W99" s="356"/>
      <c r="X99" s="356"/>
      <c r="Y99" s="354"/>
      <c r="Z99" s="359"/>
      <c r="AA99" s="368"/>
      <c r="AB99" s="359"/>
      <c r="AC99" s="357">
        <f>29945511.38/1000</f>
        <v>29945.51138</v>
      </c>
      <c r="AD99" s="358">
        <f>SUM(C99:AC99)</f>
        <v>111627.41767</v>
      </c>
      <c r="AE99" s="109"/>
    </row>
    <row r="100" spans="1:31" s="46" customFormat="1" ht="15">
      <c r="A100" s="98" t="s">
        <v>85</v>
      </c>
      <c r="B100" s="150"/>
      <c r="C100" s="359">
        <f>SUM(C98:C99)</f>
        <v>0</v>
      </c>
      <c r="D100" s="383">
        <f t="shared" ref="D100:AC100" si="17">SUM(D98:D99)</f>
        <v>56363.010900000001</v>
      </c>
      <c r="E100" s="359">
        <f t="shared" si="17"/>
        <v>39.411490000000001</v>
      </c>
      <c r="F100" s="359">
        <f t="shared" si="17"/>
        <v>0</v>
      </c>
      <c r="G100" s="359">
        <f t="shared" si="17"/>
        <v>15</v>
      </c>
      <c r="H100" s="359">
        <f t="shared" si="17"/>
        <v>82.941009999999991</v>
      </c>
      <c r="I100" s="359">
        <f t="shared" si="17"/>
        <v>3048.9416099999999</v>
      </c>
      <c r="J100" s="359">
        <f t="shared" si="17"/>
        <v>16593.321449999999</v>
      </c>
      <c r="K100" s="359">
        <f t="shared" si="17"/>
        <v>0</v>
      </c>
      <c r="L100" s="359">
        <f t="shared" si="17"/>
        <v>332.62734999999998</v>
      </c>
      <c r="M100" s="368">
        <f t="shared" si="17"/>
        <v>0</v>
      </c>
      <c r="N100" s="359">
        <f t="shared" si="17"/>
        <v>22.792999999999999</v>
      </c>
      <c r="O100" s="359">
        <f t="shared" si="17"/>
        <v>117.32299999999999</v>
      </c>
      <c r="P100" s="359">
        <f t="shared" si="17"/>
        <v>0</v>
      </c>
      <c r="Q100" s="359">
        <f t="shared" si="17"/>
        <v>0</v>
      </c>
      <c r="R100" s="359">
        <f t="shared" si="17"/>
        <v>0</v>
      </c>
      <c r="S100" s="359">
        <f t="shared" si="17"/>
        <v>5066.5364800000007</v>
      </c>
      <c r="T100" s="367">
        <f t="shared" si="17"/>
        <v>0</v>
      </c>
      <c r="U100" s="356">
        <f t="shared" si="17"/>
        <v>0</v>
      </c>
      <c r="V100" s="356">
        <f t="shared" si="17"/>
        <v>0</v>
      </c>
      <c r="W100" s="356">
        <f t="shared" si="17"/>
        <v>0</v>
      </c>
      <c r="X100" s="356">
        <f t="shared" si="17"/>
        <v>0</v>
      </c>
      <c r="Y100" s="354">
        <f t="shared" si="17"/>
        <v>0</v>
      </c>
      <c r="Z100" s="360">
        <f t="shared" si="17"/>
        <v>0</v>
      </c>
      <c r="AA100" s="368">
        <f t="shared" si="17"/>
        <v>0</v>
      </c>
      <c r="AB100" s="359">
        <f t="shared" si="17"/>
        <v>0</v>
      </c>
      <c r="AC100" s="357">
        <f t="shared" si="17"/>
        <v>29945.51138</v>
      </c>
      <c r="AD100" s="358">
        <f>SUM(C100:AC100)</f>
        <v>111627.41767</v>
      </c>
      <c r="AE100" s="109"/>
    </row>
    <row r="101" spans="1:31" s="46" customFormat="1">
      <c r="A101" s="111"/>
      <c r="B101" s="48"/>
      <c r="C101" s="364"/>
      <c r="D101" s="364"/>
      <c r="E101" s="364"/>
      <c r="F101" s="364"/>
      <c r="G101" s="364"/>
      <c r="H101" s="364"/>
      <c r="I101" s="364"/>
      <c r="J101" s="364"/>
      <c r="K101" s="364"/>
      <c r="L101" s="364"/>
      <c r="M101" s="363"/>
      <c r="N101" s="364"/>
      <c r="O101" s="364"/>
      <c r="P101" s="364"/>
      <c r="Q101" s="364"/>
      <c r="R101" s="364"/>
      <c r="S101" s="364"/>
      <c r="T101" s="363"/>
      <c r="U101" s="363"/>
      <c r="V101" s="363"/>
      <c r="W101" s="363"/>
      <c r="X101" s="363"/>
      <c r="Y101" s="363"/>
      <c r="Z101" s="364"/>
      <c r="AA101" s="363"/>
      <c r="AB101" s="364"/>
      <c r="AC101" s="364"/>
      <c r="AD101" s="365"/>
      <c r="AE101" s="109"/>
    </row>
    <row r="102" spans="1:31" s="121" customFormat="1" ht="18">
      <c r="A102" s="435" t="s">
        <v>86</v>
      </c>
      <c r="B102" s="436"/>
      <c r="C102" s="378"/>
      <c r="D102" s="378"/>
      <c r="E102" s="378"/>
      <c r="F102" s="378"/>
      <c r="G102" s="378"/>
      <c r="H102" s="378"/>
      <c r="I102" s="378"/>
      <c r="J102" s="378"/>
      <c r="K102" s="378"/>
      <c r="L102" s="378"/>
      <c r="M102" s="378"/>
      <c r="N102" s="378"/>
      <c r="O102" s="378"/>
      <c r="P102" s="378"/>
      <c r="Q102" s="378"/>
      <c r="R102" s="378"/>
      <c r="S102" s="378"/>
      <c r="T102" s="378"/>
      <c r="U102" s="378"/>
      <c r="V102" s="378"/>
      <c r="W102" s="378"/>
      <c r="X102" s="378"/>
      <c r="Y102" s="378"/>
      <c r="Z102" s="378"/>
      <c r="AA102" s="378"/>
      <c r="AB102" s="378"/>
      <c r="AC102" s="378"/>
      <c r="AD102" s="379"/>
      <c r="AE102" s="120"/>
    </row>
    <row r="103" spans="1:31" s="46" customFormat="1">
      <c r="A103" s="111"/>
      <c r="B103" s="48"/>
      <c r="C103" s="363"/>
      <c r="D103" s="363"/>
      <c r="E103" s="363"/>
      <c r="F103" s="363"/>
      <c r="G103" s="363"/>
      <c r="H103" s="363"/>
      <c r="I103" s="363"/>
      <c r="J103" s="363"/>
      <c r="K103" s="363"/>
      <c r="L103" s="363"/>
      <c r="M103" s="363"/>
      <c r="N103" s="363"/>
      <c r="O103" s="363"/>
      <c r="P103" s="363"/>
      <c r="Q103" s="363"/>
      <c r="R103" s="363"/>
      <c r="S103" s="363"/>
      <c r="T103" s="363"/>
      <c r="U103" s="363"/>
      <c r="V103" s="363"/>
      <c r="W103" s="363"/>
      <c r="X103" s="363"/>
      <c r="Y103" s="363"/>
      <c r="Z103" s="363"/>
      <c r="AA103" s="363"/>
      <c r="AB103" s="363"/>
      <c r="AC103" s="363"/>
      <c r="AD103" s="377"/>
      <c r="AE103" s="109"/>
    </row>
    <row r="104" spans="1:31" s="62" customFormat="1" ht="15">
      <c r="A104" s="98" t="s">
        <v>87</v>
      </c>
      <c r="B104" s="150"/>
      <c r="C104" s="364"/>
      <c r="D104" s="356"/>
      <c r="E104" s="356"/>
      <c r="F104" s="363"/>
      <c r="G104" s="363"/>
      <c r="H104" s="363"/>
      <c r="I104" s="363"/>
      <c r="J104" s="363"/>
      <c r="K104" s="363"/>
      <c r="L104" s="363"/>
      <c r="M104" s="356"/>
      <c r="N104" s="363"/>
      <c r="O104" s="363"/>
      <c r="P104" s="363"/>
      <c r="Q104" s="363"/>
      <c r="R104" s="356"/>
      <c r="S104" s="363"/>
      <c r="T104" s="356"/>
      <c r="U104" s="356"/>
      <c r="V104" s="356"/>
      <c r="W104" s="356"/>
      <c r="X104" s="356"/>
      <c r="Y104" s="356"/>
      <c r="Z104" s="356"/>
      <c r="AA104" s="356"/>
      <c r="AB104" s="363"/>
      <c r="AC104" s="363"/>
      <c r="AD104" s="377"/>
      <c r="AE104" s="123"/>
    </row>
    <row r="105" spans="1:31" s="62" customFormat="1" ht="15">
      <c r="A105" s="124" t="s">
        <v>88</v>
      </c>
      <c r="B105" s="154" t="s">
        <v>89</v>
      </c>
      <c r="C105" s="355"/>
      <c r="D105" s="356"/>
      <c r="E105" s="354"/>
      <c r="F105" s="355"/>
      <c r="G105" s="355"/>
      <c r="H105" s="355"/>
      <c r="I105" s="355"/>
      <c r="J105" s="355"/>
      <c r="K105" s="355"/>
      <c r="L105" s="355"/>
      <c r="M105" s="368"/>
      <c r="N105" s="355"/>
      <c r="O105" s="355"/>
      <c r="P105" s="355"/>
      <c r="Q105" s="355"/>
      <c r="R105" s="368"/>
      <c r="S105" s="355"/>
      <c r="T105" s="367"/>
      <c r="U105" s="356"/>
      <c r="V105" s="359"/>
      <c r="W105" s="356"/>
      <c r="X105" s="356"/>
      <c r="Y105" s="356"/>
      <c r="Z105" s="356"/>
      <c r="AA105" s="354"/>
      <c r="AB105" s="355"/>
      <c r="AC105" s="380"/>
      <c r="AD105" s="358">
        <f t="shared" ref="AD105:AD123" si="18">SUM(C105:AC105)</f>
        <v>0</v>
      </c>
      <c r="AE105" s="123"/>
    </row>
    <row r="106" spans="1:31" s="62" customFormat="1" ht="15.95" customHeight="1">
      <c r="A106" s="124" t="s">
        <v>90</v>
      </c>
      <c r="B106" s="154" t="s">
        <v>91</v>
      </c>
      <c r="C106" s="359"/>
      <c r="D106" s="356"/>
      <c r="E106" s="354"/>
      <c r="F106" s="359"/>
      <c r="G106" s="359"/>
      <c r="H106" s="359"/>
      <c r="I106" s="359"/>
      <c r="J106" s="359"/>
      <c r="K106" s="359"/>
      <c r="L106" s="359"/>
      <c r="M106" s="368"/>
      <c r="N106" s="359"/>
      <c r="O106" s="359"/>
      <c r="P106" s="359"/>
      <c r="Q106" s="359"/>
      <c r="R106" s="368"/>
      <c r="S106" s="359"/>
      <c r="T106" s="367"/>
      <c r="U106" s="356"/>
      <c r="V106" s="356"/>
      <c r="W106" s="356"/>
      <c r="X106" s="356"/>
      <c r="Y106" s="356"/>
      <c r="Z106" s="356"/>
      <c r="AA106" s="354"/>
      <c r="AB106" s="359"/>
      <c r="AC106" s="357"/>
      <c r="AD106" s="358">
        <f t="shared" si="18"/>
        <v>0</v>
      </c>
      <c r="AE106" s="123"/>
    </row>
    <row r="107" spans="1:31" s="62" customFormat="1" ht="15.95" customHeight="1">
      <c r="A107" s="124" t="s">
        <v>92</v>
      </c>
      <c r="B107" s="154" t="s">
        <v>93</v>
      </c>
      <c r="C107" s="359"/>
      <c r="D107" s="356"/>
      <c r="E107" s="354"/>
      <c r="F107" s="359"/>
      <c r="G107" s="359"/>
      <c r="H107" s="359"/>
      <c r="I107" s="359"/>
      <c r="J107" s="359"/>
      <c r="K107" s="359"/>
      <c r="L107" s="359"/>
      <c r="M107" s="368"/>
      <c r="N107" s="359"/>
      <c r="O107" s="359"/>
      <c r="P107" s="359"/>
      <c r="Q107" s="359"/>
      <c r="R107" s="368"/>
      <c r="S107" s="359"/>
      <c r="T107" s="367"/>
      <c r="U107" s="356"/>
      <c r="V107" s="356"/>
      <c r="W107" s="356"/>
      <c r="X107" s="356"/>
      <c r="Y107" s="356"/>
      <c r="Z107" s="356"/>
      <c r="AA107" s="354"/>
      <c r="AB107" s="359"/>
      <c r="AC107" s="357"/>
      <c r="AD107" s="358">
        <f t="shared" si="18"/>
        <v>0</v>
      </c>
      <c r="AE107" s="123"/>
    </row>
    <row r="108" spans="1:31" s="62" customFormat="1" ht="15.95" customHeight="1">
      <c r="A108" s="124" t="s">
        <v>94</v>
      </c>
      <c r="B108" s="154" t="s">
        <v>95</v>
      </c>
      <c r="C108" s="359"/>
      <c r="D108" s="356"/>
      <c r="E108" s="354"/>
      <c r="F108" s="359"/>
      <c r="G108" s="359"/>
      <c r="H108" s="359"/>
      <c r="I108" s="359"/>
      <c r="J108" s="359"/>
      <c r="K108" s="359"/>
      <c r="L108" s="359"/>
      <c r="M108" s="368"/>
      <c r="N108" s="359"/>
      <c r="O108" s="359"/>
      <c r="P108" s="359"/>
      <c r="Q108" s="359"/>
      <c r="R108" s="368"/>
      <c r="S108" s="359"/>
      <c r="T108" s="367"/>
      <c r="U108" s="356"/>
      <c r="V108" s="356"/>
      <c r="W108" s="356"/>
      <c r="X108" s="356"/>
      <c r="Y108" s="356"/>
      <c r="Z108" s="356"/>
      <c r="AA108" s="354"/>
      <c r="AB108" s="359"/>
      <c r="AC108" s="357"/>
      <c r="AD108" s="358">
        <f t="shared" si="18"/>
        <v>0</v>
      </c>
      <c r="AE108" s="123"/>
    </row>
    <row r="109" spans="1:31" s="62" customFormat="1" ht="16.5" customHeight="1">
      <c r="A109" s="124" t="s">
        <v>96</v>
      </c>
      <c r="B109" s="154" t="s">
        <v>97</v>
      </c>
      <c r="C109" s="359"/>
      <c r="D109" s="356"/>
      <c r="E109" s="354"/>
      <c r="F109" s="359"/>
      <c r="G109" s="359"/>
      <c r="H109" s="359">
        <f>4412771.95/1000</f>
        <v>4412.7719500000003</v>
      </c>
      <c r="I109" s="359">
        <f>369843.13/1000</f>
        <v>369.84313000000003</v>
      </c>
      <c r="J109" s="359">
        <f>1822743.49/1000</f>
        <v>1822.7434900000001</v>
      </c>
      <c r="K109" s="359"/>
      <c r="L109" s="359"/>
      <c r="M109" s="368"/>
      <c r="N109" s="359"/>
      <c r="O109" s="359"/>
      <c r="P109" s="359"/>
      <c r="Q109" s="359"/>
      <c r="R109" s="368"/>
      <c r="S109" s="359"/>
      <c r="T109" s="367"/>
      <c r="U109" s="356"/>
      <c r="V109" s="356"/>
      <c r="W109" s="356"/>
      <c r="X109" s="356"/>
      <c r="Y109" s="356"/>
      <c r="Z109" s="356"/>
      <c r="AA109" s="354"/>
      <c r="AB109" s="359"/>
      <c r="AC109" s="357"/>
      <c r="AD109" s="358">
        <f t="shared" si="18"/>
        <v>6605.3585700000003</v>
      </c>
      <c r="AE109" s="123"/>
    </row>
    <row r="110" spans="1:31" s="62" customFormat="1" ht="15.95" customHeight="1">
      <c r="A110" s="124" t="s">
        <v>98</v>
      </c>
      <c r="B110" s="154" t="s">
        <v>99</v>
      </c>
      <c r="C110" s="359"/>
      <c r="D110" s="356"/>
      <c r="E110" s="354"/>
      <c r="F110" s="359">
        <f>29806.87/1000</f>
        <v>29.80687</v>
      </c>
      <c r="G110" s="359">
        <f>32438.95/1000</f>
        <v>32.438949999999998</v>
      </c>
      <c r="H110" s="359">
        <f>40707352.92/1000</f>
        <v>40707.352920000005</v>
      </c>
      <c r="I110" s="359">
        <f>946950.24/1000</f>
        <v>946.95024000000001</v>
      </c>
      <c r="J110" s="359">
        <f>3506856.84/1000</f>
        <v>3506.8568399999999</v>
      </c>
      <c r="K110" s="359">
        <f>858/1000</f>
        <v>0.85799999999999998</v>
      </c>
      <c r="L110" s="359">
        <f>8870.67/1000</f>
        <v>8.8706700000000005</v>
      </c>
      <c r="M110" s="368"/>
      <c r="N110" s="359"/>
      <c r="O110" s="359"/>
      <c r="P110" s="359"/>
      <c r="Q110" s="359"/>
      <c r="R110" s="368"/>
      <c r="S110" s="359">
        <f>(2166667.08+11579228.17)/1000</f>
        <v>13745.89525</v>
      </c>
      <c r="T110" s="367"/>
      <c r="U110" s="356"/>
      <c r="V110" s="356"/>
      <c r="W110" s="356"/>
      <c r="X110" s="356"/>
      <c r="Y110" s="356"/>
      <c r="Z110" s="356"/>
      <c r="AA110" s="354"/>
      <c r="AB110" s="359"/>
      <c r="AC110" s="357">
        <f>3951725.89/1000</f>
        <v>3951.7258900000002</v>
      </c>
      <c r="AD110" s="358">
        <f t="shared" si="18"/>
        <v>62930.75563</v>
      </c>
      <c r="AE110" s="123"/>
    </row>
    <row r="111" spans="1:31" s="62" customFormat="1" ht="15.95" customHeight="1">
      <c r="A111" s="124" t="s">
        <v>100</v>
      </c>
      <c r="B111" s="154" t="s">
        <v>101</v>
      </c>
      <c r="C111" s="359"/>
      <c r="D111" s="356"/>
      <c r="E111" s="354"/>
      <c r="F111" s="359"/>
      <c r="G111" s="359"/>
      <c r="H111" s="359"/>
      <c r="I111" s="359"/>
      <c r="J111" s="359"/>
      <c r="K111" s="359"/>
      <c r="L111" s="359"/>
      <c r="M111" s="368"/>
      <c r="N111" s="359"/>
      <c r="O111" s="359"/>
      <c r="P111" s="359"/>
      <c r="Q111" s="359"/>
      <c r="R111" s="368"/>
      <c r="S111" s="359"/>
      <c r="T111" s="367"/>
      <c r="U111" s="356"/>
      <c r="V111" s="356"/>
      <c r="W111" s="356"/>
      <c r="X111" s="356"/>
      <c r="Y111" s="356"/>
      <c r="Z111" s="356"/>
      <c r="AA111" s="354"/>
      <c r="AB111" s="359"/>
      <c r="AC111" s="357"/>
      <c r="AD111" s="358">
        <f t="shared" si="18"/>
        <v>0</v>
      </c>
      <c r="AE111" s="123"/>
    </row>
    <row r="112" spans="1:31" s="62" customFormat="1" ht="15.95" customHeight="1">
      <c r="A112" s="124" t="s">
        <v>102</v>
      </c>
      <c r="B112" s="154" t="s">
        <v>103</v>
      </c>
      <c r="C112" s="359"/>
      <c r="D112" s="356"/>
      <c r="E112" s="354"/>
      <c r="F112" s="359"/>
      <c r="G112" s="359"/>
      <c r="H112" s="359"/>
      <c r="I112" s="359"/>
      <c r="J112" s="359"/>
      <c r="K112" s="359"/>
      <c r="L112" s="359"/>
      <c r="M112" s="368"/>
      <c r="N112" s="359"/>
      <c r="O112" s="359"/>
      <c r="P112" s="359"/>
      <c r="Q112" s="359"/>
      <c r="R112" s="368"/>
      <c r="S112" s="359"/>
      <c r="T112" s="367"/>
      <c r="U112" s="356"/>
      <c r="V112" s="356"/>
      <c r="W112" s="356"/>
      <c r="X112" s="356"/>
      <c r="Y112" s="356"/>
      <c r="Z112" s="356"/>
      <c r="AA112" s="354"/>
      <c r="AB112" s="359"/>
      <c r="AC112" s="357"/>
      <c r="AD112" s="358">
        <f t="shared" si="18"/>
        <v>0</v>
      </c>
      <c r="AE112" s="123"/>
    </row>
    <row r="113" spans="1:31" s="62" customFormat="1" ht="15.95" customHeight="1">
      <c r="A113" s="124" t="s">
        <v>104</v>
      </c>
      <c r="B113" s="154" t="s">
        <v>105</v>
      </c>
      <c r="C113" s="359"/>
      <c r="D113" s="356"/>
      <c r="E113" s="354"/>
      <c r="F113" s="359"/>
      <c r="G113" s="359"/>
      <c r="H113" s="359"/>
      <c r="I113" s="359"/>
      <c r="J113" s="359"/>
      <c r="K113" s="359"/>
      <c r="L113" s="359"/>
      <c r="M113" s="368"/>
      <c r="N113" s="359"/>
      <c r="O113" s="359"/>
      <c r="P113" s="359"/>
      <c r="Q113" s="359"/>
      <c r="R113" s="368"/>
      <c r="S113" s="359"/>
      <c r="T113" s="367"/>
      <c r="U113" s="356"/>
      <c r="V113" s="356"/>
      <c r="W113" s="356"/>
      <c r="X113" s="356"/>
      <c r="Y113" s="356"/>
      <c r="Z113" s="363"/>
      <c r="AA113" s="354"/>
      <c r="AB113" s="359"/>
      <c r="AC113" s="357"/>
      <c r="AD113" s="358">
        <f t="shared" si="18"/>
        <v>0</v>
      </c>
      <c r="AE113" s="123"/>
    </row>
    <row r="114" spans="1:31" s="62" customFormat="1" ht="15.95" customHeight="1">
      <c r="A114" s="124" t="s">
        <v>106</v>
      </c>
      <c r="B114" s="154" t="s">
        <v>107</v>
      </c>
      <c r="C114" s="359"/>
      <c r="D114" s="356"/>
      <c r="E114" s="356"/>
      <c r="F114" s="366"/>
      <c r="G114" s="366"/>
      <c r="H114" s="366"/>
      <c r="I114" s="366"/>
      <c r="J114" s="366"/>
      <c r="K114" s="366"/>
      <c r="L114" s="366"/>
      <c r="M114" s="356"/>
      <c r="N114" s="366"/>
      <c r="O114" s="366"/>
      <c r="P114" s="366"/>
      <c r="Q114" s="366"/>
      <c r="R114" s="356"/>
      <c r="S114" s="366"/>
      <c r="T114" s="356"/>
      <c r="U114" s="356"/>
      <c r="V114" s="356"/>
      <c r="W114" s="359"/>
      <c r="X114" s="356"/>
      <c r="Y114" s="389"/>
      <c r="Z114" s="359"/>
      <c r="AA114" s="367"/>
      <c r="AB114" s="366"/>
      <c r="AC114" s="366"/>
      <c r="AD114" s="358">
        <f t="shared" si="18"/>
        <v>0</v>
      </c>
      <c r="AE114" s="123"/>
    </row>
    <row r="115" spans="1:31" s="62" customFormat="1" ht="15.95" customHeight="1">
      <c r="A115" s="124" t="s">
        <v>108</v>
      </c>
      <c r="B115" s="154" t="s">
        <v>109</v>
      </c>
      <c r="C115" s="359"/>
      <c r="D115" s="356"/>
      <c r="E115" s="356"/>
      <c r="F115" s="356"/>
      <c r="G115" s="356"/>
      <c r="H115" s="356"/>
      <c r="I115" s="356"/>
      <c r="J115" s="356"/>
      <c r="K115" s="356"/>
      <c r="L115" s="356"/>
      <c r="M115" s="356"/>
      <c r="N115" s="356"/>
      <c r="O115" s="356"/>
      <c r="P115" s="356"/>
      <c r="Q115" s="356"/>
      <c r="R115" s="356"/>
      <c r="S115" s="356"/>
      <c r="T115" s="356"/>
      <c r="U115" s="356"/>
      <c r="V115" s="354"/>
      <c r="W115" s="359"/>
      <c r="X115" s="368"/>
      <c r="Y115" s="359"/>
      <c r="Z115" s="390"/>
      <c r="AA115" s="356"/>
      <c r="AB115" s="356"/>
      <c r="AC115" s="356"/>
      <c r="AD115" s="358">
        <f t="shared" si="18"/>
        <v>0</v>
      </c>
      <c r="AE115" s="123"/>
    </row>
    <row r="116" spans="1:31" s="62" customFormat="1" ht="15.95" customHeight="1">
      <c r="A116" s="124" t="s">
        <v>110</v>
      </c>
      <c r="B116" s="154" t="s">
        <v>111</v>
      </c>
      <c r="C116" s="359"/>
      <c r="D116" s="356"/>
      <c r="E116" s="356"/>
      <c r="F116" s="356"/>
      <c r="G116" s="356"/>
      <c r="H116" s="356"/>
      <c r="I116" s="356"/>
      <c r="J116" s="356"/>
      <c r="K116" s="356"/>
      <c r="L116" s="356"/>
      <c r="M116" s="356"/>
      <c r="N116" s="356"/>
      <c r="O116" s="356"/>
      <c r="P116" s="356"/>
      <c r="Q116" s="356"/>
      <c r="R116" s="356"/>
      <c r="S116" s="356"/>
      <c r="T116" s="356"/>
      <c r="U116" s="356"/>
      <c r="V116" s="354"/>
      <c r="W116" s="359"/>
      <c r="X116" s="368"/>
      <c r="Y116" s="359"/>
      <c r="Z116" s="359"/>
      <c r="AA116" s="367"/>
      <c r="AB116" s="356"/>
      <c r="AC116" s="356"/>
      <c r="AD116" s="358">
        <f t="shared" si="18"/>
        <v>0</v>
      </c>
      <c r="AE116" s="123"/>
    </row>
    <row r="117" spans="1:31" s="62" customFormat="1" ht="15.95" customHeight="1">
      <c r="A117" s="124" t="s">
        <v>112</v>
      </c>
      <c r="B117" s="154" t="s">
        <v>113</v>
      </c>
      <c r="C117" s="359"/>
      <c r="D117" s="356"/>
      <c r="E117" s="356"/>
      <c r="F117" s="356"/>
      <c r="G117" s="356"/>
      <c r="H117" s="356"/>
      <c r="I117" s="356"/>
      <c r="J117" s="356"/>
      <c r="K117" s="356"/>
      <c r="L117" s="356"/>
      <c r="M117" s="356"/>
      <c r="N117" s="356"/>
      <c r="O117" s="356"/>
      <c r="P117" s="356"/>
      <c r="Q117" s="356"/>
      <c r="R117" s="356"/>
      <c r="S117" s="356"/>
      <c r="T117" s="356"/>
      <c r="U117" s="356"/>
      <c r="V117" s="356"/>
      <c r="W117" s="364"/>
      <c r="X117" s="363"/>
      <c r="Y117" s="364"/>
      <c r="Z117" s="364"/>
      <c r="AA117" s="356"/>
      <c r="AB117" s="356"/>
      <c r="AC117" s="356"/>
      <c r="AD117" s="358">
        <f t="shared" si="18"/>
        <v>0</v>
      </c>
      <c r="AE117" s="123"/>
    </row>
    <row r="118" spans="1:31" s="62" customFormat="1" ht="15.95" customHeight="1">
      <c r="A118" s="124" t="s">
        <v>114</v>
      </c>
      <c r="B118" s="154" t="s">
        <v>115</v>
      </c>
      <c r="C118" s="359"/>
      <c r="D118" s="356"/>
      <c r="E118" s="356"/>
      <c r="F118" s="356"/>
      <c r="G118" s="356"/>
      <c r="H118" s="356"/>
      <c r="I118" s="356"/>
      <c r="J118" s="356"/>
      <c r="K118" s="356"/>
      <c r="L118" s="356"/>
      <c r="M118" s="356"/>
      <c r="N118" s="356"/>
      <c r="O118" s="356"/>
      <c r="P118" s="356"/>
      <c r="Q118" s="356"/>
      <c r="R118" s="356"/>
      <c r="S118" s="356"/>
      <c r="T118" s="356"/>
      <c r="U118" s="356"/>
      <c r="V118" s="354"/>
      <c r="W118" s="359"/>
      <c r="X118" s="359"/>
      <c r="Y118" s="359"/>
      <c r="Z118" s="359"/>
      <c r="AA118" s="367"/>
      <c r="AB118" s="356"/>
      <c r="AC118" s="356"/>
      <c r="AD118" s="358">
        <f t="shared" si="18"/>
        <v>0</v>
      </c>
      <c r="AE118" s="123"/>
    </row>
    <row r="119" spans="1:31" s="62" customFormat="1" ht="15.95" customHeight="1">
      <c r="A119" s="124" t="s">
        <v>116</v>
      </c>
      <c r="B119" s="154" t="s">
        <v>117</v>
      </c>
      <c r="C119" s="359"/>
      <c r="D119" s="356"/>
      <c r="E119" s="356"/>
      <c r="F119" s="356"/>
      <c r="G119" s="356"/>
      <c r="H119" s="356"/>
      <c r="I119" s="356"/>
      <c r="J119" s="356"/>
      <c r="K119" s="356"/>
      <c r="L119" s="356"/>
      <c r="M119" s="356"/>
      <c r="N119" s="356"/>
      <c r="O119" s="356"/>
      <c r="P119" s="356"/>
      <c r="Q119" s="356"/>
      <c r="R119" s="356"/>
      <c r="S119" s="356"/>
      <c r="T119" s="356"/>
      <c r="U119" s="356"/>
      <c r="V119" s="354"/>
      <c r="W119" s="359"/>
      <c r="X119" s="359"/>
      <c r="Y119" s="359"/>
      <c r="Z119" s="391"/>
      <c r="AA119" s="356"/>
      <c r="AB119" s="356"/>
      <c r="AC119" s="356"/>
      <c r="AD119" s="358">
        <f t="shared" si="18"/>
        <v>0</v>
      </c>
      <c r="AE119" s="123"/>
    </row>
    <row r="120" spans="1:31" s="62" customFormat="1" ht="15.95" customHeight="1">
      <c r="A120" s="124" t="s">
        <v>118</v>
      </c>
      <c r="B120" s="154" t="s">
        <v>119</v>
      </c>
      <c r="C120" s="359"/>
      <c r="D120" s="356"/>
      <c r="E120" s="356"/>
      <c r="F120" s="356"/>
      <c r="G120" s="356"/>
      <c r="H120" s="356"/>
      <c r="I120" s="356"/>
      <c r="J120" s="356"/>
      <c r="K120" s="356"/>
      <c r="L120" s="356"/>
      <c r="M120" s="356"/>
      <c r="N120" s="356"/>
      <c r="O120" s="356"/>
      <c r="P120" s="356"/>
      <c r="Q120" s="356"/>
      <c r="R120" s="356"/>
      <c r="S120" s="356"/>
      <c r="T120" s="356"/>
      <c r="U120" s="356"/>
      <c r="V120" s="389"/>
      <c r="W120" s="359"/>
      <c r="X120" s="385"/>
      <c r="Y120" s="359">
        <f>-350000/1000</f>
        <v>-350</v>
      </c>
      <c r="Z120" s="367"/>
      <c r="AA120" s="356"/>
      <c r="AB120" s="356"/>
      <c r="AC120" s="356"/>
      <c r="AD120" s="358">
        <f t="shared" si="18"/>
        <v>-350</v>
      </c>
      <c r="AE120" s="123"/>
    </row>
    <row r="121" spans="1:31" s="62" customFormat="1" ht="15.95" customHeight="1">
      <c r="A121" s="124" t="s">
        <v>120</v>
      </c>
      <c r="B121" s="154" t="s">
        <v>121</v>
      </c>
      <c r="C121" s="359"/>
      <c r="D121" s="356"/>
      <c r="E121" s="356"/>
      <c r="F121" s="363"/>
      <c r="G121" s="363"/>
      <c r="H121" s="363"/>
      <c r="I121" s="363"/>
      <c r="J121" s="363"/>
      <c r="K121" s="363"/>
      <c r="L121" s="363"/>
      <c r="M121" s="356"/>
      <c r="N121" s="363"/>
      <c r="O121" s="363"/>
      <c r="P121" s="363"/>
      <c r="Q121" s="363"/>
      <c r="R121" s="356"/>
      <c r="S121" s="363"/>
      <c r="T121" s="356"/>
      <c r="U121" s="354"/>
      <c r="V121" s="359">
        <f>185476009.64/1000</f>
        <v>185476.00963999997</v>
      </c>
      <c r="W121" s="359"/>
      <c r="X121" s="367"/>
      <c r="Y121" s="366"/>
      <c r="Z121" s="356"/>
      <c r="AA121" s="356"/>
      <c r="AB121" s="363"/>
      <c r="AC121" s="363"/>
      <c r="AD121" s="358">
        <f t="shared" si="18"/>
        <v>185476.00963999997</v>
      </c>
      <c r="AE121" s="123"/>
    </row>
    <row r="122" spans="1:31" s="62" customFormat="1" ht="15.95" customHeight="1">
      <c r="A122" s="124" t="s">
        <v>122</v>
      </c>
      <c r="B122" s="154" t="s">
        <v>123</v>
      </c>
      <c r="C122" s="360"/>
      <c r="D122" s="356"/>
      <c r="E122" s="354"/>
      <c r="F122" s="359"/>
      <c r="G122" s="359"/>
      <c r="H122" s="359"/>
      <c r="I122" s="359"/>
      <c r="J122" s="359"/>
      <c r="K122" s="359"/>
      <c r="L122" s="359"/>
      <c r="M122" s="368"/>
      <c r="N122" s="359"/>
      <c r="O122" s="359"/>
      <c r="P122" s="359"/>
      <c r="Q122" s="359"/>
      <c r="R122" s="368"/>
      <c r="S122" s="359"/>
      <c r="T122" s="367"/>
      <c r="U122" s="356"/>
      <c r="V122" s="363"/>
      <c r="W122" s="363"/>
      <c r="X122" s="363"/>
      <c r="Y122" s="363"/>
      <c r="Z122" s="363"/>
      <c r="AA122" s="354"/>
      <c r="AB122" s="359"/>
      <c r="AC122" s="357"/>
      <c r="AD122" s="358">
        <f t="shared" si="18"/>
        <v>0</v>
      </c>
      <c r="AE122" s="123"/>
    </row>
    <row r="123" spans="1:31" s="46" customFormat="1" ht="15.95" customHeight="1">
      <c r="A123" s="427" t="s">
        <v>124</v>
      </c>
      <c r="B123" s="428"/>
      <c r="C123" s="359">
        <f>SUM(C105:C122)</f>
        <v>0</v>
      </c>
      <c r="D123" s="356">
        <f t="shared" ref="D123:AC123" si="19">SUM(D105:D122)</f>
        <v>0</v>
      </c>
      <c r="E123" s="354">
        <f t="shared" si="19"/>
        <v>0</v>
      </c>
      <c r="F123" s="359">
        <f t="shared" si="19"/>
        <v>29.80687</v>
      </c>
      <c r="G123" s="359">
        <f t="shared" si="19"/>
        <v>32.438949999999998</v>
      </c>
      <c r="H123" s="359">
        <f t="shared" si="19"/>
        <v>45120.124870000007</v>
      </c>
      <c r="I123" s="359">
        <f t="shared" si="19"/>
        <v>1316.7933700000001</v>
      </c>
      <c r="J123" s="359">
        <f t="shared" si="19"/>
        <v>5329.6003300000002</v>
      </c>
      <c r="K123" s="359">
        <f t="shared" si="19"/>
        <v>0.85799999999999998</v>
      </c>
      <c r="L123" s="359">
        <f t="shared" si="19"/>
        <v>8.8706700000000005</v>
      </c>
      <c r="M123" s="368">
        <f t="shared" si="19"/>
        <v>0</v>
      </c>
      <c r="N123" s="359">
        <f t="shared" si="19"/>
        <v>0</v>
      </c>
      <c r="O123" s="359">
        <f t="shared" si="19"/>
        <v>0</v>
      </c>
      <c r="P123" s="359">
        <f t="shared" si="19"/>
        <v>0</v>
      </c>
      <c r="Q123" s="359">
        <f t="shared" si="19"/>
        <v>0</v>
      </c>
      <c r="R123" s="368">
        <f t="shared" si="19"/>
        <v>0</v>
      </c>
      <c r="S123" s="359">
        <f t="shared" si="19"/>
        <v>13745.89525</v>
      </c>
      <c r="T123" s="367">
        <f t="shared" si="19"/>
        <v>0</v>
      </c>
      <c r="U123" s="354">
        <f t="shared" si="19"/>
        <v>0</v>
      </c>
      <c r="V123" s="359">
        <f t="shared" si="19"/>
        <v>185476.00963999997</v>
      </c>
      <c r="W123" s="359">
        <f t="shared" si="19"/>
        <v>0</v>
      </c>
      <c r="X123" s="359">
        <f t="shared" si="19"/>
        <v>0</v>
      </c>
      <c r="Y123" s="359">
        <f t="shared" si="19"/>
        <v>-350</v>
      </c>
      <c r="Z123" s="359">
        <f t="shared" si="19"/>
        <v>0</v>
      </c>
      <c r="AA123" s="368">
        <f t="shared" si="19"/>
        <v>0</v>
      </c>
      <c r="AB123" s="359">
        <f t="shared" si="19"/>
        <v>0</v>
      </c>
      <c r="AC123" s="357">
        <f t="shared" si="19"/>
        <v>3951.7258900000002</v>
      </c>
      <c r="AD123" s="358">
        <f t="shared" si="18"/>
        <v>254662.12383999996</v>
      </c>
      <c r="AE123" s="109"/>
    </row>
    <row r="124" spans="1:31" s="46" customFormat="1" ht="8.4499999999999993" customHeight="1">
      <c r="A124" s="111"/>
      <c r="B124" s="48"/>
      <c r="C124" s="364"/>
      <c r="D124" s="363"/>
      <c r="E124" s="363"/>
      <c r="F124" s="364"/>
      <c r="G124" s="364"/>
      <c r="H124" s="364"/>
      <c r="I124" s="364"/>
      <c r="J124" s="364"/>
      <c r="K124" s="364"/>
      <c r="L124" s="364"/>
      <c r="M124" s="363"/>
      <c r="N124" s="364"/>
      <c r="O124" s="364"/>
      <c r="P124" s="364"/>
      <c r="Q124" s="364"/>
      <c r="R124" s="363"/>
      <c r="S124" s="364"/>
      <c r="T124" s="363"/>
      <c r="U124" s="363"/>
      <c r="V124" s="363"/>
      <c r="W124" s="363"/>
      <c r="X124" s="363"/>
      <c r="Y124" s="363"/>
      <c r="Z124" s="364"/>
      <c r="AA124" s="363"/>
      <c r="AB124" s="364"/>
      <c r="AC124" s="364"/>
      <c r="AD124" s="365"/>
      <c r="AE124" s="109"/>
    </row>
    <row r="125" spans="1:31" s="46" customFormat="1" ht="15.95" customHeight="1">
      <c r="A125" s="98" t="s">
        <v>125</v>
      </c>
      <c r="B125" s="150"/>
      <c r="C125" s="366"/>
      <c r="D125" s="366"/>
      <c r="E125" s="366"/>
      <c r="F125" s="366"/>
      <c r="G125" s="366"/>
      <c r="H125" s="366"/>
      <c r="I125" s="366"/>
      <c r="J125" s="366"/>
      <c r="K125" s="366"/>
      <c r="L125" s="366"/>
      <c r="M125" s="366"/>
      <c r="N125" s="366"/>
      <c r="O125" s="366"/>
      <c r="P125" s="366"/>
      <c r="Q125" s="366"/>
      <c r="R125" s="366"/>
      <c r="S125" s="366"/>
      <c r="T125" s="366"/>
      <c r="U125" s="366"/>
      <c r="V125" s="366"/>
      <c r="W125" s="366"/>
      <c r="X125" s="366"/>
      <c r="Y125" s="366"/>
      <c r="Z125" s="366"/>
      <c r="AA125" s="366"/>
      <c r="AB125" s="366"/>
      <c r="AC125" s="366"/>
      <c r="AD125" s="365"/>
      <c r="AE125" s="109"/>
    </row>
    <row r="126" spans="1:31" s="62" customFormat="1" ht="15.95" customHeight="1">
      <c r="A126" s="124" t="s">
        <v>126</v>
      </c>
      <c r="B126" s="154" t="s">
        <v>127</v>
      </c>
      <c r="C126" s="359"/>
      <c r="D126" s="356"/>
      <c r="E126" s="356"/>
      <c r="F126" s="363"/>
      <c r="G126" s="363"/>
      <c r="H126" s="363"/>
      <c r="I126" s="363"/>
      <c r="J126" s="363"/>
      <c r="K126" s="363"/>
      <c r="L126" s="363"/>
      <c r="M126" s="356"/>
      <c r="N126" s="363"/>
      <c r="O126" s="363"/>
      <c r="P126" s="363"/>
      <c r="Q126" s="363"/>
      <c r="R126" s="356"/>
      <c r="S126" s="363"/>
      <c r="T126" s="356"/>
      <c r="U126" s="356"/>
      <c r="V126" s="356"/>
      <c r="W126" s="356"/>
      <c r="X126" s="356"/>
      <c r="Y126" s="356"/>
      <c r="Z126" s="356"/>
      <c r="AA126" s="356"/>
      <c r="AB126" s="363"/>
      <c r="AC126" s="363"/>
      <c r="AD126" s="358">
        <f t="shared" ref="AD126:AD138" si="20">SUM(C126:AC126)</f>
        <v>0</v>
      </c>
      <c r="AE126" s="123"/>
    </row>
    <row r="127" spans="1:31" s="62" customFormat="1" ht="15.95" customHeight="1">
      <c r="A127" s="124" t="s">
        <v>128</v>
      </c>
      <c r="B127" s="154" t="s">
        <v>129</v>
      </c>
      <c r="C127" s="359"/>
      <c r="D127" s="356"/>
      <c r="E127" s="354"/>
      <c r="F127" s="359"/>
      <c r="G127" s="359"/>
      <c r="H127" s="359"/>
      <c r="I127" s="359"/>
      <c r="J127" s="359"/>
      <c r="K127" s="359"/>
      <c r="L127" s="359"/>
      <c r="M127" s="368"/>
      <c r="N127" s="359"/>
      <c r="O127" s="359"/>
      <c r="P127" s="359"/>
      <c r="Q127" s="359"/>
      <c r="R127" s="368"/>
      <c r="S127" s="359"/>
      <c r="T127" s="367"/>
      <c r="U127" s="356"/>
      <c r="V127" s="356"/>
      <c r="W127" s="356"/>
      <c r="X127" s="356"/>
      <c r="Y127" s="356"/>
      <c r="Z127" s="356"/>
      <c r="AA127" s="354"/>
      <c r="AB127" s="359"/>
      <c r="AC127" s="357"/>
      <c r="AD127" s="358">
        <f t="shared" si="20"/>
        <v>0</v>
      </c>
      <c r="AE127" s="123"/>
    </row>
    <row r="128" spans="1:31" s="62" customFormat="1" ht="15.95" customHeight="1">
      <c r="A128" s="124" t="s">
        <v>130</v>
      </c>
      <c r="B128" s="154" t="s">
        <v>131</v>
      </c>
      <c r="C128" s="359"/>
      <c r="D128" s="356"/>
      <c r="E128" s="354"/>
      <c r="F128" s="359"/>
      <c r="G128" s="359"/>
      <c r="H128" s="359">
        <f>-1120844.38/1000</f>
        <v>-1120.84438</v>
      </c>
      <c r="I128" s="359">
        <f>5033.12/1000</f>
        <v>5.0331200000000003</v>
      </c>
      <c r="J128" s="359">
        <f>163740.79/1000</f>
        <v>163.74079</v>
      </c>
      <c r="K128" s="359">
        <f>-97/1000</f>
        <v>-9.7000000000000003E-2</v>
      </c>
      <c r="L128" s="359">
        <f>31261.82/1000</f>
        <v>31.26182</v>
      </c>
      <c r="M128" s="368"/>
      <c r="N128" s="359"/>
      <c r="O128" s="359"/>
      <c r="P128" s="359">
        <f>862588.8/1000</f>
        <v>862.58879999999999</v>
      </c>
      <c r="Q128" s="359"/>
      <c r="R128" s="368"/>
      <c r="S128" s="359">
        <f>216695.66/1000</f>
        <v>216.69566</v>
      </c>
      <c r="T128" s="367"/>
      <c r="U128" s="356"/>
      <c r="V128" s="356"/>
      <c r="W128" s="356"/>
      <c r="X128" s="356"/>
      <c r="Y128" s="356"/>
      <c r="Z128" s="356"/>
      <c r="AA128" s="354"/>
      <c r="AB128" s="359"/>
      <c r="AC128" s="357"/>
      <c r="AD128" s="358">
        <f t="shared" si="20"/>
        <v>158.37881000000007</v>
      </c>
      <c r="AE128" s="123"/>
    </row>
    <row r="129" spans="1:31" s="62" customFormat="1" ht="15.95" customHeight="1">
      <c r="A129" s="124" t="s">
        <v>132</v>
      </c>
      <c r="B129" s="154" t="s">
        <v>133</v>
      </c>
      <c r="C129" s="359"/>
      <c r="D129" s="356"/>
      <c r="E129" s="354"/>
      <c r="F129" s="359"/>
      <c r="G129" s="359"/>
      <c r="H129" s="359"/>
      <c r="I129" s="359"/>
      <c r="J129" s="359"/>
      <c r="K129" s="359"/>
      <c r="L129" s="359"/>
      <c r="M129" s="368"/>
      <c r="N129" s="359"/>
      <c r="O129" s="359"/>
      <c r="P129" s="359"/>
      <c r="Q129" s="359"/>
      <c r="R129" s="368"/>
      <c r="S129" s="359"/>
      <c r="T129" s="367"/>
      <c r="U129" s="356"/>
      <c r="V129" s="356"/>
      <c r="W129" s="356"/>
      <c r="X129" s="356"/>
      <c r="Y129" s="356"/>
      <c r="Z129" s="356"/>
      <c r="AA129" s="354"/>
      <c r="AB129" s="359"/>
      <c r="AC129" s="357"/>
      <c r="AD129" s="358">
        <f t="shared" si="20"/>
        <v>0</v>
      </c>
      <c r="AE129" s="123"/>
    </row>
    <row r="130" spans="1:31" s="62" customFormat="1" ht="15.95" customHeight="1">
      <c r="A130" s="124" t="s">
        <v>134</v>
      </c>
      <c r="B130" s="154" t="s">
        <v>135</v>
      </c>
      <c r="C130" s="359"/>
      <c r="D130" s="356"/>
      <c r="E130" s="354"/>
      <c r="F130" s="359"/>
      <c r="G130" s="359"/>
      <c r="H130" s="359"/>
      <c r="I130" s="359"/>
      <c r="J130" s="359"/>
      <c r="K130" s="359"/>
      <c r="L130" s="359"/>
      <c r="M130" s="368"/>
      <c r="N130" s="359"/>
      <c r="O130" s="359"/>
      <c r="P130" s="359"/>
      <c r="Q130" s="359"/>
      <c r="R130" s="368"/>
      <c r="S130" s="359"/>
      <c r="T130" s="367"/>
      <c r="U130" s="356"/>
      <c r="V130" s="356"/>
      <c r="W130" s="363"/>
      <c r="X130" s="356"/>
      <c r="Y130" s="356"/>
      <c r="Z130" s="356"/>
      <c r="AA130" s="389"/>
      <c r="AB130" s="359"/>
      <c r="AC130" s="357"/>
      <c r="AD130" s="358">
        <f t="shared" si="20"/>
        <v>0</v>
      </c>
      <c r="AE130" s="123"/>
    </row>
    <row r="131" spans="1:31" s="62" customFormat="1" ht="15.95" customHeight="1">
      <c r="A131" s="124" t="s">
        <v>136</v>
      </c>
      <c r="B131" s="154" t="s">
        <v>137</v>
      </c>
      <c r="C131" s="359"/>
      <c r="D131" s="356"/>
      <c r="E131" s="356"/>
      <c r="F131" s="366"/>
      <c r="G131" s="366"/>
      <c r="H131" s="366"/>
      <c r="I131" s="366"/>
      <c r="J131" s="366"/>
      <c r="K131" s="366"/>
      <c r="L131" s="366"/>
      <c r="M131" s="356"/>
      <c r="N131" s="366"/>
      <c r="O131" s="366"/>
      <c r="P131" s="366"/>
      <c r="Q131" s="366"/>
      <c r="R131" s="356"/>
      <c r="S131" s="366"/>
      <c r="T131" s="363"/>
      <c r="U131" s="356"/>
      <c r="V131" s="354"/>
      <c r="W131" s="359"/>
      <c r="X131" s="392"/>
      <c r="Y131" s="356"/>
      <c r="Z131" s="354"/>
      <c r="AA131" s="359">
        <f>36415794.21/1000</f>
        <v>36415.79421</v>
      </c>
      <c r="AB131" s="391"/>
      <c r="AC131" s="366"/>
      <c r="AD131" s="358">
        <f t="shared" si="20"/>
        <v>36415.79421</v>
      </c>
      <c r="AE131" s="123"/>
    </row>
    <row r="132" spans="1:31" s="46" customFormat="1" ht="15.95" customHeight="1">
      <c r="A132" s="124" t="s">
        <v>138</v>
      </c>
      <c r="B132" s="154" t="s">
        <v>139</v>
      </c>
      <c r="C132" s="359"/>
      <c r="D132" s="356"/>
      <c r="E132" s="356"/>
      <c r="F132" s="356"/>
      <c r="G132" s="356"/>
      <c r="H132" s="356"/>
      <c r="I132" s="356"/>
      <c r="J132" s="356"/>
      <c r="K132" s="356"/>
      <c r="L132" s="356"/>
      <c r="M132" s="356"/>
      <c r="N132" s="356"/>
      <c r="O132" s="356"/>
      <c r="P132" s="356"/>
      <c r="Q132" s="356"/>
      <c r="R132" s="356"/>
      <c r="S132" s="354"/>
      <c r="T132" s="393">
        <f>-676524708.91/1000</f>
        <v>-676524.70890999993</v>
      </c>
      <c r="U132" s="367"/>
      <c r="V132" s="354"/>
      <c r="W132" s="359"/>
      <c r="X132" s="359"/>
      <c r="Y132" s="367"/>
      <c r="Z132" s="356"/>
      <c r="AA132" s="366"/>
      <c r="AB132" s="356"/>
      <c r="AC132" s="356"/>
      <c r="AD132" s="358">
        <f t="shared" si="20"/>
        <v>-676524.70890999993</v>
      </c>
      <c r="AE132" s="109"/>
    </row>
    <row r="133" spans="1:31" s="46" customFormat="1" ht="15.95" customHeight="1">
      <c r="A133" s="124" t="s">
        <v>140</v>
      </c>
      <c r="B133" s="154" t="s">
        <v>141</v>
      </c>
      <c r="C133" s="359"/>
      <c r="D133" s="356"/>
      <c r="E133" s="356"/>
      <c r="F133" s="356"/>
      <c r="G133" s="356"/>
      <c r="H133" s="356"/>
      <c r="I133" s="356"/>
      <c r="J133" s="356"/>
      <c r="K133" s="356"/>
      <c r="L133" s="356"/>
      <c r="M133" s="356"/>
      <c r="N133" s="356"/>
      <c r="O133" s="356"/>
      <c r="P133" s="356"/>
      <c r="Q133" s="356"/>
      <c r="R133" s="356"/>
      <c r="S133" s="356"/>
      <c r="T133" s="366"/>
      <c r="U133" s="356"/>
      <c r="V133" s="354"/>
      <c r="W133" s="359"/>
      <c r="X133" s="359"/>
      <c r="Y133" s="367"/>
      <c r="Z133" s="356"/>
      <c r="AA133" s="363"/>
      <c r="AB133" s="356"/>
      <c r="AC133" s="356"/>
      <c r="AD133" s="358">
        <f t="shared" si="20"/>
        <v>0</v>
      </c>
      <c r="AE133" s="109"/>
    </row>
    <row r="134" spans="1:31" s="46" customFormat="1" ht="15.95" customHeight="1">
      <c r="A134" s="124" t="s">
        <v>142</v>
      </c>
      <c r="B134" s="154" t="s">
        <v>143</v>
      </c>
      <c r="C134" s="359"/>
      <c r="D134" s="356"/>
      <c r="E134" s="356"/>
      <c r="F134" s="356"/>
      <c r="G134" s="356"/>
      <c r="H134" s="356"/>
      <c r="I134" s="356"/>
      <c r="J134" s="356"/>
      <c r="K134" s="356"/>
      <c r="L134" s="356"/>
      <c r="M134" s="356"/>
      <c r="N134" s="356"/>
      <c r="O134" s="356"/>
      <c r="P134" s="356"/>
      <c r="Q134" s="356"/>
      <c r="R134" s="356"/>
      <c r="S134" s="356"/>
      <c r="T134" s="356"/>
      <c r="U134" s="363"/>
      <c r="V134" s="354"/>
      <c r="W134" s="359"/>
      <c r="X134" s="391"/>
      <c r="Y134" s="356"/>
      <c r="Z134" s="354"/>
      <c r="AA134" s="359">
        <f>5287311.78/1000</f>
        <v>5287.31178</v>
      </c>
      <c r="AB134" s="367"/>
      <c r="AC134" s="356"/>
      <c r="AD134" s="358">
        <f t="shared" si="20"/>
        <v>5287.31178</v>
      </c>
      <c r="AE134" s="109"/>
    </row>
    <row r="135" spans="1:31" s="46" customFormat="1" ht="15.95" customHeight="1">
      <c r="A135" s="124" t="s">
        <v>144</v>
      </c>
      <c r="B135" s="154" t="s">
        <v>145</v>
      </c>
      <c r="C135" s="359"/>
      <c r="D135" s="356"/>
      <c r="E135" s="356"/>
      <c r="F135" s="356"/>
      <c r="G135" s="356"/>
      <c r="H135" s="356"/>
      <c r="I135" s="356"/>
      <c r="J135" s="356"/>
      <c r="K135" s="356"/>
      <c r="L135" s="356"/>
      <c r="M135" s="356"/>
      <c r="N135" s="356"/>
      <c r="O135" s="356"/>
      <c r="P135" s="356"/>
      <c r="Q135" s="356"/>
      <c r="R135" s="356"/>
      <c r="S135" s="356"/>
      <c r="T135" s="389"/>
      <c r="U135" s="355"/>
      <c r="V135" s="368"/>
      <c r="W135" s="359"/>
      <c r="X135" s="367"/>
      <c r="Y135" s="356"/>
      <c r="Z135" s="356"/>
      <c r="AA135" s="366">
        <f>7000000/1000</f>
        <v>7000</v>
      </c>
      <c r="AB135" s="356"/>
      <c r="AC135" s="356"/>
      <c r="AD135" s="358">
        <f t="shared" si="20"/>
        <v>7000</v>
      </c>
      <c r="AE135" s="109"/>
    </row>
    <row r="136" spans="1:31" s="46" customFormat="1" ht="15.95" customHeight="1">
      <c r="A136" s="124" t="s">
        <v>146</v>
      </c>
      <c r="B136" s="159" t="s">
        <v>147</v>
      </c>
      <c r="C136" s="359"/>
      <c r="D136" s="356"/>
      <c r="E136" s="356"/>
      <c r="F136" s="356"/>
      <c r="G136" s="356"/>
      <c r="H136" s="356"/>
      <c r="I136" s="356"/>
      <c r="J136" s="356"/>
      <c r="K136" s="356"/>
      <c r="L136" s="356"/>
      <c r="M136" s="356"/>
      <c r="N136" s="356"/>
      <c r="O136" s="356"/>
      <c r="P136" s="356"/>
      <c r="Q136" s="356"/>
      <c r="R136" s="356"/>
      <c r="S136" s="354"/>
      <c r="T136" s="355">
        <f>1055.82/1000</f>
        <v>1.05582</v>
      </c>
      <c r="U136" s="391"/>
      <c r="V136" s="354"/>
      <c r="W136" s="359"/>
      <c r="X136" s="367"/>
      <c r="Y136" s="356"/>
      <c r="Z136" s="356"/>
      <c r="AA136" s="363"/>
      <c r="AB136" s="356"/>
      <c r="AC136" s="356"/>
      <c r="AD136" s="358">
        <f t="shared" si="20"/>
        <v>1.05582</v>
      </c>
      <c r="AE136" s="109"/>
    </row>
    <row r="137" spans="1:31" s="46" customFormat="1" ht="15.95" customHeight="1">
      <c r="A137" s="124" t="s">
        <v>148</v>
      </c>
      <c r="B137" s="159" t="s">
        <v>149</v>
      </c>
      <c r="C137" s="359"/>
      <c r="D137" s="356"/>
      <c r="E137" s="356"/>
      <c r="F137" s="363"/>
      <c r="G137" s="363"/>
      <c r="H137" s="363"/>
      <c r="I137" s="363"/>
      <c r="J137" s="363"/>
      <c r="K137" s="363"/>
      <c r="L137" s="363"/>
      <c r="M137" s="356"/>
      <c r="N137" s="363"/>
      <c r="O137" s="363"/>
      <c r="P137" s="363"/>
      <c r="Q137" s="363"/>
      <c r="R137" s="356"/>
      <c r="S137" s="363"/>
      <c r="T137" s="364"/>
      <c r="U137" s="363"/>
      <c r="V137" s="354"/>
      <c r="W137" s="359"/>
      <c r="X137" s="392"/>
      <c r="Y137" s="356"/>
      <c r="Z137" s="354"/>
      <c r="AA137" s="360"/>
      <c r="AB137" s="367"/>
      <c r="AC137" s="356"/>
      <c r="AD137" s="358">
        <f t="shared" si="20"/>
        <v>0</v>
      </c>
      <c r="AE137" s="109"/>
    </row>
    <row r="138" spans="1:31" s="46" customFormat="1" ht="15.95" customHeight="1">
      <c r="A138" s="427" t="s">
        <v>150</v>
      </c>
      <c r="B138" s="428"/>
      <c r="C138" s="359">
        <f>SUM(C125:C137)</f>
        <v>0</v>
      </c>
      <c r="D138" s="356">
        <f t="shared" ref="D138:AA138" si="21">SUM(D126:D137)</f>
        <v>0</v>
      </c>
      <c r="E138" s="354">
        <f t="shared" si="21"/>
        <v>0</v>
      </c>
      <c r="F138" s="359">
        <f t="shared" si="21"/>
        <v>0</v>
      </c>
      <c r="G138" s="359">
        <f t="shared" si="21"/>
        <v>0</v>
      </c>
      <c r="H138" s="359">
        <f t="shared" si="21"/>
        <v>-1120.84438</v>
      </c>
      <c r="I138" s="359">
        <f t="shared" si="21"/>
        <v>5.0331200000000003</v>
      </c>
      <c r="J138" s="359">
        <f t="shared" si="21"/>
        <v>163.74079</v>
      </c>
      <c r="K138" s="359">
        <f t="shared" si="21"/>
        <v>-9.7000000000000003E-2</v>
      </c>
      <c r="L138" s="359">
        <f t="shared" si="21"/>
        <v>31.26182</v>
      </c>
      <c r="M138" s="368">
        <f t="shared" si="21"/>
        <v>0</v>
      </c>
      <c r="N138" s="359">
        <f t="shared" si="21"/>
        <v>0</v>
      </c>
      <c r="O138" s="359">
        <f t="shared" si="21"/>
        <v>0</v>
      </c>
      <c r="P138" s="359">
        <f t="shared" si="21"/>
        <v>862.58879999999999</v>
      </c>
      <c r="Q138" s="359">
        <f t="shared" si="21"/>
        <v>0</v>
      </c>
      <c r="R138" s="368">
        <f t="shared" si="21"/>
        <v>0</v>
      </c>
      <c r="S138" s="359">
        <f t="shared" si="21"/>
        <v>216.69566</v>
      </c>
      <c r="T138" s="359">
        <f t="shared" si="21"/>
        <v>-676523.65308999992</v>
      </c>
      <c r="U138" s="359">
        <f t="shared" si="21"/>
        <v>0</v>
      </c>
      <c r="V138" s="368">
        <f t="shared" si="21"/>
        <v>0</v>
      </c>
      <c r="W138" s="359">
        <f t="shared" si="21"/>
        <v>0</v>
      </c>
      <c r="X138" s="359">
        <f t="shared" si="21"/>
        <v>0</v>
      </c>
      <c r="Y138" s="367">
        <f t="shared" si="21"/>
        <v>0</v>
      </c>
      <c r="Z138" s="354">
        <f t="shared" si="21"/>
        <v>0</v>
      </c>
      <c r="AA138" s="359">
        <f t="shared" si="21"/>
        <v>48703.105989999996</v>
      </c>
      <c r="AB138" s="359">
        <f>SUM(AB126:AB137)</f>
        <v>0</v>
      </c>
      <c r="AC138" s="359">
        <f>SUM(AC126:AC137)</f>
        <v>0</v>
      </c>
      <c r="AD138" s="358">
        <f t="shared" si="20"/>
        <v>-627662.16828999994</v>
      </c>
      <c r="AE138" s="109"/>
    </row>
    <row r="139" spans="1:31" s="46" customFormat="1" ht="8.25" customHeight="1">
      <c r="A139" s="429"/>
      <c r="B139" s="430"/>
      <c r="C139" s="364"/>
      <c r="D139" s="363"/>
      <c r="E139" s="363"/>
      <c r="F139" s="364"/>
      <c r="G139" s="364"/>
      <c r="H139" s="364"/>
      <c r="I139" s="364"/>
      <c r="J139" s="364"/>
      <c r="K139" s="364"/>
      <c r="L139" s="364"/>
      <c r="M139" s="363"/>
      <c r="N139" s="364"/>
      <c r="O139" s="364"/>
      <c r="P139" s="364"/>
      <c r="Q139" s="364"/>
      <c r="R139" s="363"/>
      <c r="S139" s="364"/>
      <c r="T139" s="364"/>
      <c r="U139" s="364"/>
      <c r="V139" s="363"/>
      <c r="W139" s="364"/>
      <c r="X139" s="364"/>
      <c r="Y139" s="363"/>
      <c r="Z139" s="363"/>
      <c r="AA139" s="364"/>
      <c r="AB139" s="363"/>
      <c r="AC139" s="363"/>
      <c r="AD139" s="365"/>
      <c r="AE139" s="109"/>
    </row>
    <row r="140" spans="1:31" s="46" customFormat="1" ht="15.95" customHeight="1">
      <c r="A140" s="98" t="s">
        <v>151</v>
      </c>
      <c r="B140" s="150"/>
      <c r="C140" s="364"/>
      <c r="D140" s="364"/>
      <c r="E140" s="364"/>
      <c r="F140" s="364"/>
      <c r="G140" s="364"/>
      <c r="H140" s="364"/>
      <c r="I140" s="364"/>
      <c r="J140" s="364"/>
      <c r="K140" s="364"/>
      <c r="L140" s="364"/>
      <c r="M140" s="364"/>
      <c r="N140" s="364"/>
      <c r="O140" s="364"/>
      <c r="P140" s="364"/>
      <c r="Q140" s="364"/>
      <c r="R140" s="366"/>
      <c r="S140" s="364"/>
      <c r="T140" s="366"/>
      <c r="U140" s="366"/>
      <c r="V140" s="366"/>
      <c r="W140" s="366"/>
      <c r="X140" s="366"/>
      <c r="Y140" s="366"/>
      <c r="Z140" s="366"/>
      <c r="AA140" s="366"/>
      <c r="AB140" s="364"/>
      <c r="AC140" s="364"/>
      <c r="AD140" s="377"/>
      <c r="AE140" s="109"/>
    </row>
    <row r="141" spans="1:31" s="46" customFormat="1" ht="15.95" customHeight="1">
      <c r="A141" s="124" t="s">
        <v>152</v>
      </c>
      <c r="B141" s="154" t="s">
        <v>153</v>
      </c>
      <c r="C141" s="355"/>
      <c r="D141" s="394"/>
      <c r="E141" s="355"/>
      <c r="F141" s="355"/>
      <c r="G141" s="355"/>
      <c r="H141" s="355"/>
      <c r="I141" s="355"/>
      <c r="J141" s="355"/>
      <c r="K141" s="355"/>
      <c r="L141" s="355"/>
      <c r="M141" s="355"/>
      <c r="N141" s="355"/>
      <c r="O141" s="355"/>
      <c r="P141" s="355"/>
      <c r="Q141" s="355"/>
      <c r="R141" s="368"/>
      <c r="S141" s="355">
        <f>40752235.41/1000</f>
        <v>40752.235409999994</v>
      </c>
      <c r="T141" s="367"/>
      <c r="U141" s="356"/>
      <c r="V141" s="356"/>
      <c r="W141" s="356"/>
      <c r="X141" s="356"/>
      <c r="Y141" s="356"/>
      <c r="Z141" s="356"/>
      <c r="AA141" s="354"/>
      <c r="AB141" s="355"/>
      <c r="AC141" s="380"/>
      <c r="AD141" s="358">
        <f t="shared" ref="AD141:AD154" si="22">SUM(C141:AC141)</f>
        <v>40752.235409999994</v>
      </c>
      <c r="AE141" s="109"/>
    </row>
    <row r="142" spans="1:31" s="46" customFormat="1" ht="15.95" customHeight="1">
      <c r="A142" s="124" t="s">
        <v>154</v>
      </c>
      <c r="B142" s="154" t="s">
        <v>155</v>
      </c>
      <c r="C142" s="359"/>
      <c r="D142" s="383"/>
      <c r="E142" s="359"/>
      <c r="F142" s="359"/>
      <c r="G142" s="359"/>
      <c r="H142" s="359"/>
      <c r="I142" s="359"/>
      <c r="J142" s="359"/>
      <c r="K142" s="359"/>
      <c r="L142" s="359"/>
      <c r="M142" s="359"/>
      <c r="N142" s="359"/>
      <c r="O142" s="359"/>
      <c r="P142" s="359"/>
      <c r="Q142" s="359"/>
      <c r="R142" s="368"/>
      <c r="S142" s="359">
        <f>64160848.81/1000</f>
        <v>64160.848810000003</v>
      </c>
      <c r="T142" s="367"/>
      <c r="U142" s="356"/>
      <c r="V142" s="356"/>
      <c r="W142" s="356"/>
      <c r="X142" s="356"/>
      <c r="Y142" s="356"/>
      <c r="Z142" s="356"/>
      <c r="AA142" s="354"/>
      <c r="AB142" s="359"/>
      <c r="AC142" s="357"/>
      <c r="AD142" s="358">
        <f t="shared" si="22"/>
        <v>64160.848810000003</v>
      </c>
      <c r="AE142" s="109"/>
    </row>
    <row r="143" spans="1:31" s="46" customFormat="1" ht="15.95" customHeight="1">
      <c r="A143" s="124" t="s">
        <v>156</v>
      </c>
      <c r="B143" s="154" t="s">
        <v>157</v>
      </c>
      <c r="C143" s="359"/>
      <c r="D143" s="383"/>
      <c r="E143" s="359"/>
      <c r="F143" s="359"/>
      <c r="G143" s="359"/>
      <c r="H143" s="359"/>
      <c r="I143" s="359"/>
      <c r="J143" s="359"/>
      <c r="K143" s="359"/>
      <c r="L143" s="359"/>
      <c r="M143" s="359"/>
      <c r="N143" s="359"/>
      <c r="O143" s="359"/>
      <c r="P143" s="359"/>
      <c r="Q143" s="359"/>
      <c r="R143" s="368"/>
      <c r="S143" s="359"/>
      <c r="T143" s="367"/>
      <c r="U143" s="356"/>
      <c r="V143" s="356"/>
      <c r="W143" s="356"/>
      <c r="X143" s="356"/>
      <c r="Y143" s="356"/>
      <c r="Z143" s="356"/>
      <c r="AA143" s="354"/>
      <c r="AB143" s="359"/>
      <c r="AC143" s="357"/>
      <c r="AD143" s="358">
        <f t="shared" si="22"/>
        <v>0</v>
      </c>
      <c r="AE143" s="109"/>
    </row>
    <row r="144" spans="1:31" s="46" customFormat="1" ht="15.95" customHeight="1">
      <c r="A144" s="124" t="s">
        <v>158</v>
      </c>
      <c r="B144" s="154" t="s">
        <v>159</v>
      </c>
      <c r="C144" s="359"/>
      <c r="D144" s="383"/>
      <c r="E144" s="359"/>
      <c r="F144" s="359"/>
      <c r="G144" s="359"/>
      <c r="H144" s="359"/>
      <c r="I144" s="359"/>
      <c r="J144" s="359"/>
      <c r="K144" s="359"/>
      <c r="L144" s="359"/>
      <c r="M144" s="359"/>
      <c r="N144" s="359"/>
      <c r="O144" s="359"/>
      <c r="P144" s="359"/>
      <c r="Q144" s="359"/>
      <c r="R144" s="368"/>
      <c r="S144" s="359">
        <f>31674845.95/1000</f>
        <v>31674.845949999999</v>
      </c>
      <c r="T144" s="367"/>
      <c r="U144" s="356"/>
      <c r="V144" s="356"/>
      <c r="W144" s="356"/>
      <c r="X144" s="356"/>
      <c r="Y144" s="356"/>
      <c r="Z144" s="356"/>
      <c r="AA144" s="354"/>
      <c r="AB144" s="359"/>
      <c r="AC144" s="357"/>
      <c r="AD144" s="358">
        <f t="shared" si="22"/>
        <v>31674.845949999999</v>
      </c>
      <c r="AE144" s="109"/>
    </row>
    <row r="145" spans="1:31" s="46" customFormat="1" ht="15.95" customHeight="1">
      <c r="A145" s="124" t="s">
        <v>160</v>
      </c>
      <c r="B145" s="159" t="s">
        <v>161</v>
      </c>
      <c r="C145" s="359"/>
      <c r="D145" s="383"/>
      <c r="E145" s="359"/>
      <c r="F145" s="359"/>
      <c r="G145" s="359"/>
      <c r="H145" s="359"/>
      <c r="I145" s="359"/>
      <c r="J145" s="359">
        <f>245158.83/1000</f>
        <v>245.15882999999999</v>
      </c>
      <c r="K145" s="359"/>
      <c r="L145" s="359"/>
      <c r="M145" s="359"/>
      <c r="N145" s="359"/>
      <c r="O145" s="359">
        <f>62484/1000</f>
        <v>62.484000000000002</v>
      </c>
      <c r="P145" s="359"/>
      <c r="Q145" s="359"/>
      <c r="R145" s="368"/>
      <c r="S145" s="359">
        <f>938145.13/1000</f>
        <v>938.14512999999999</v>
      </c>
      <c r="T145" s="367"/>
      <c r="U145" s="356"/>
      <c r="V145" s="356"/>
      <c r="W145" s="356"/>
      <c r="X145" s="356"/>
      <c r="Y145" s="356"/>
      <c r="Z145" s="356"/>
      <c r="AA145" s="354"/>
      <c r="AB145" s="359"/>
      <c r="AC145" s="357"/>
      <c r="AD145" s="358">
        <f t="shared" si="22"/>
        <v>1245.7879600000001</v>
      </c>
      <c r="AE145" s="109"/>
    </row>
    <row r="146" spans="1:31" s="46" customFormat="1" ht="15.95" customHeight="1">
      <c r="A146" s="124" t="s">
        <v>162</v>
      </c>
      <c r="B146" s="154" t="s">
        <v>163</v>
      </c>
      <c r="C146" s="359"/>
      <c r="D146" s="366"/>
      <c r="E146" s="366"/>
      <c r="F146" s="366"/>
      <c r="G146" s="366"/>
      <c r="H146" s="366"/>
      <c r="I146" s="366"/>
      <c r="J146" s="366"/>
      <c r="K146" s="366"/>
      <c r="L146" s="366"/>
      <c r="M146" s="366"/>
      <c r="N146" s="366"/>
      <c r="O146" s="366"/>
      <c r="P146" s="366"/>
      <c r="Q146" s="366"/>
      <c r="R146" s="356"/>
      <c r="S146" s="366"/>
      <c r="T146" s="356"/>
      <c r="U146" s="354"/>
      <c r="V146" s="359"/>
      <c r="W146" s="357"/>
      <c r="X146" s="367"/>
      <c r="Y146" s="363"/>
      <c r="Z146" s="356"/>
      <c r="AA146" s="356"/>
      <c r="AB146" s="366"/>
      <c r="AC146" s="366"/>
      <c r="AD146" s="358">
        <f t="shared" si="22"/>
        <v>0</v>
      </c>
      <c r="AE146" s="109"/>
    </row>
    <row r="147" spans="1:31" s="46" customFormat="1" ht="15.95" customHeight="1">
      <c r="A147" s="124" t="s">
        <v>164</v>
      </c>
      <c r="B147" s="154" t="s">
        <v>165</v>
      </c>
      <c r="C147" s="359"/>
      <c r="D147" s="356"/>
      <c r="E147" s="356"/>
      <c r="F147" s="356"/>
      <c r="G147" s="356"/>
      <c r="H147" s="356"/>
      <c r="I147" s="356"/>
      <c r="J147" s="356"/>
      <c r="K147" s="356"/>
      <c r="L147" s="356"/>
      <c r="M147" s="356"/>
      <c r="N147" s="356"/>
      <c r="O147" s="356"/>
      <c r="P147" s="356"/>
      <c r="Q147" s="356"/>
      <c r="R147" s="356"/>
      <c r="S147" s="356"/>
      <c r="T147" s="356"/>
      <c r="U147" s="356"/>
      <c r="V147" s="384"/>
      <c r="W147" s="359"/>
      <c r="X147" s="368"/>
      <c r="Y147" s="359"/>
      <c r="Z147" s="367"/>
      <c r="AA147" s="356"/>
      <c r="AB147" s="356"/>
      <c r="AC147" s="356"/>
      <c r="AD147" s="358">
        <f t="shared" si="22"/>
        <v>0</v>
      </c>
      <c r="AE147" s="109"/>
    </row>
    <row r="148" spans="1:31" s="46" customFormat="1" ht="15.95" customHeight="1">
      <c r="A148" s="124" t="s">
        <v>166</v>
      </c>
      <c r="B148" s="154" t="s">
        <v>167</v>
      </c>
      <c r="C148" s="359"/>
      <c r="D148" s="356"/>
      <c r="E148" s="356"/>
      <c r="F148" s="356"/>
      <c r="G148" s="356"/>
      <c r="H148" s="356"/>
      <c r="I148" s="356"/>
      <c r="J148" s="356"/>
      <c r="K148" s="356"/>
      <c r="L148" s="356"/>
      <c r="M148" s="356"/>
      <c r="N148" s="356"/>
      <c r="O148" s="356"/>
      <c r="P148" s="356"/>
      <c r="Q148" s="356"/>
      <c r="R148" s="356"/>
      <c r="S148" s="356"/>
      <c r="T148" s="356"/>
      <c r="U148" s="356"/>
      <c r="V148" s="354"/>
      <c r="W148" s="359"/>
      <c r="X148" s="368"/>
      <c r="Y148" s="359"/>
      <c r="Z148" s="367"/>
      <c r="AA148" s="356"/>
      <c r="AB148" s="356"/>
      <c r="AC148" s="356"/>
      <c r="AD148" s="358">
        <f t="shared" si="22"/>
        <v>0</v>
      </c>
      <c r="AE148" s="109"/>
    </row>
    <row r="149" spans="1:31" s="46" customFormat="1" ht="15.95" customHeight="1">
      <c r="A149" s="124" t="s">
        <v>168</v>
      </c>
      <c r="B149" s="154" t="s">
        <v>169</v>
      </c>
      <c r="C149" s="359"/>
      <c r="D149" s="356"/>
      <c r="E149" s="356"/>
      <c r="F149" s="356"/>
      <c r="G149" s="356"/>
      <c r="H149" s="356"/>
      <c r="I149" s="356"/>
      <c r="J149" s="356"/>
      <c r="K149" s="356"/>
      <c r="L149" s="356"/>
      <c r="M149" s="356"/>
      <c r="N149" s="356"/>
      <c r="O149" s="356"/>
      <c r="P149" s="356"/>
      <c r="Q149" s="356"/>
      <c r="R149" s="356"/>
      <c r="S149" s="356"/>
      <c r="T149" s="356"/>
      <c r="U149" s="356"/>
      <c r="V149" s="354"/>
      <c r="W149" s="359"/>
      <c r="X149" s="368"/>
      <c r="Y149" s="359"/>
      <c r="Z149" s="367"/>
      <c r="AA149" s="356"/>
      <c r="AB149" s="356"/>
      <c r="AC149" s="356"/>
      <c r="AD149" s="358">
        <f t="shared" si="22"/>
        <v>0</v>
      </c>
      <c r="AE149" s="109"/>
    </row>
    <row r="150" spans="1:31" s="46" customFormat="1" ht="15.95" customHeight="1">
      <c r="A150" s="124" t="s">
        <v>170</v>
      </c>
      <c r="B150" s="154" t="s">
        <v>171</v>
      </c>
      <c r="C150" s="359"/>
      <c r="D150" s="356"/>
      <c r="E150" s="356"/>
      <c r="F150" s="356"/>
      <c r="G150" s="356"/>
      <c r="H150" s="356"/>
      <c r="I150" s="356"/>
      <c r="J150" s="356"/>
      <c r="K150" s="356"/>
      <c r="L150" s="356"/>
      <c r="M150" s="356"/>
      <c r="N150" s="356"/>
      <c r="O150" s="356"/>
      <c r="P150" s="356"/>
      <c r="Q150" s="356"/>
      <c r="R150" s="356"/>
      <c r="S150" s="356"/>
      <c r="T150" s="356"/>
      <c r="U150" s="356"/>
      <c r="V150" s="354"/>
      <c r="W150" s="359"/>
      <c r="X150" s="368"/>
      <c r="Y150" s="359"/>
      <c r="Z150" s="367"/>
      <c r="AA150" s="356"/>
      <c r="AB150" s="356"/>
      <c r="AC150" s="356"/>
      <c r="AD150" s="358">
        <f t="shared" si="22"/>
        <v>0</v>
      </c>
      <c r="AE150" s="109"/>
    </row>
    <row r="151" spans="1:31" s="46" customFormat="1" ht="15.95" customHeight="1">
      <c r="A151" s="124" t="s">
        <v>172</v>
      </c>
      <c r="B151" s="154" t="s">
        <v>173</v>
      </c>
      <c r="C151" s="359"/>
      <c r="D151" s="356"/>
      <c r="E151" s="356"/>
      <c r="F151" s="356"/>
      <c r="G151" s="356"/>
      <c r="H151" s="356"/>
      <c r="I151" s="356"/>
      <c r="J151" s="356"/>
      <c r="K151" s="356"/>
      <c r="L151" s="356"/>
      <c r="M151" s="356"/>
      <c r="N151" s="356"/>
      <c r="O151" s="356"/>
      <c r="P151" s="356"/>
      <c r="Q151" s="356"/>
      <c r="R151" s="356"/>
      <c r="S151" s="356"/>
      <c r="T151" s="356"/>
      <c r="U151" s="356"/>
      <c r="V151" s="354"/>
      <c r="W151" s="359"/>
      <c r="X151" s="368"/>
      <c r="Y151" s="359"/>
      <c r="Z151" s="367"/>
      <c r="AA151" s="356"/>
      <c r="AB151" s="356"/>
      <c r="AC151" s="356"/>
      <c r="AD151" s="358">
        <f t="shared" si="22"/>
        <v>0</v>
      </c>
      <c r="AE151" s="109"/>
    </row>
    <row r="152" spans="1:31" s="46" customFormat="1" ht="15.95" customHeight="1">
      <c r="A152" s="124" t="s">
        <v>174</v>
      </c>
      <c r="B152" s="154" t="s">
        <v>175</v>
      </c>
      <c r="C152" s="359"/>
      <c r="D152" s="356"/>
      <c r="E152" s="356"/>
      <c r="F152" s="356"/>
      <c r="G152" s="356"/>
      <c r="H152" s="356"/>
      <c r="I152" s="356"/>
      <c r="J152" s="356"/>
      <c r="K152" s="356"/>
      <c r="L152" s="356"/>
      <c r="M152" s="356"/>
      <c r="N152" s="356"/>
      <c r="O152" s="356"/>
      <c r="P152" s="356"/>
      <c r="Q152" s="356"/>
      <c r="R152" s="356"/>
      <c r="S152" s="356"/>
      <c r="T152" s="356"/>
      <c r="U152" s="356"/>
      <c r="V152" s="354"/>
      <c r="W152" s="359"/>
      <c r="X152" s="368"/>
      <c r="Y152" s="359"/>
      <c r="Z152" s="367"/>
      <c r="AA152" s="356"/>
      <c r="AB152" s="356"/>
      <c r="AC152" s="356"/>
      <c r="AD152" s="358">
        <f t="shared" si="22"/>
        <v>0</v>
      </c>
      <c r="AE152" s="109"/>
    </row>
    <row r="153" spans="1:31" s="46" customFormat="1" ht="15.95" customHeight="1">
      <c r="A153" s="124" t="s">
        <v>176</v>
      </c>
      <c r="B153" s="154" t="s">
        <v>177</v>
      </c>
      <c r="C153" s="359"/>
      <c r="D153" s="363"/>
      <c r="E153" s="363"/>
      <c r="F153" s="363"/>
      <c r="G153" s="363"/>
      <c r="H153" s="363"/>
      <c r="I153" s="363"/>
      <c r="J153" s="363"/>
      <c r="K153" s="363"/>
      <c r="L153" s="363"/>
      <c r="M153" s="363"/>
      <c r="N153" s="363"/>
      <c r="O153" s="363"/>
      <c r="P153" s="363"/>
      <c r="Q153" s="363"/>
      <c r="R153" s="356"/>
      <c r="S153" s="363"/>
      <c r="T153" s="356"/>
      <c r="U153" s="356"/>
      <c r="V153" s="389"/>
      <c r="W153" s="359"/>
      <c r="X153" s="368"/>
      <c r="Y153" s="359">
        <f>1100/1000</f>
        <v>1.1000000000000001</v>
      </c>
      <c r="Z153" s="367"/>
      <c r="AA153" s="356"/>
      <c r="AB153" s="363"/>
      <c r="AC153" s="363"/>
      <c r="AD153" s="358">
        <f t="shared" si="22"/>
        <v>1.1000000000000001</v>
      </c>
      <c r="AE153" s="109"/>
    </row>
    <row r="154" spans="1:31" s="46" customFormat="1" ht="15.95" customHeight="1">
      <c r="A154" s="427" t="s">
        <v>178</v>
      </c>
      <c r="B154" s="428"/>
      <c r="C154" s="359">
        <f>SUM(C141:C153)</f>
        <v>0</v>
      </c>
      <c r="D154" s="383">
        <f t="shared" ref="D154:AC154" si="23">SUM(D141:D153)</f>
        <v>0</v>
      </c>
      <c r="E154" s="359">
        <f t="shared" si="23"/>
        <v>0</v>
      </c>
      <c r="F154" s="359">
        <f t="shared" si="23"/>
        <v>0</v>
      </c>
      <c r="G154" s="359">
        <f t="shared" si="23"/>
        <v>0</v>
      </c>
      <c r="H154" s="359">
        <f t="shared" si="23"/>
        <v>0</v>
      </c>
      <c r="I154" s="359">
        <f t="shared" si="23"/>
        <v>0</v>
      </c>
      <c r="J154" s="359">
        <f t="shared" si="23"/>
        <v>245.15882999999999</v>
      </c>
      <c r="K154" s="359">
        <f t="shared" si="23"/>
        <v>0</v>
      </c>
      <c r="L154" s="359">
        <f t="shared" si="23"/>
        <v>0</v>
      </c>
      <c r="M154" s="359">
        <f t="shared" si="23"/>
        <v>0</v>
      </c>
      <c r="N154" s="359">
        <f t="shared" si="23"/>
        <v>0</v>
      </c>
      <c r="O154" s="359">
        <f t="shared" si="23"/>
        <v>62.484000000000002</v>
      </c>
      <c r="P154" s="359">
        <f t="shared" si="23"/>
        <v>0</v>
      </c>
      <c r="Q154" s="359">
        <f t="shared" si="23"/>
        <v>0</v>
      </c>
      <c r="R154" s="368">
        <f t="shared" si="23"/>
        <v>0</v>
      </c>
      <c r="S154" s="359">
        <f t="shared" si="23"/>
        <v>137526.07529999997</v>
      </c>
      <c r="T154" s="367">
        <f t="shared" si="23"/>
        <v>0</v>
      </c>
      <c r="U154" s="354">
        <f t="shared" si="23"/>
        <v>0</v>
      </c>
      <c r="V154" s="359">
        <f t="shared" si="23"/>
        <v>0</v>
      </c>
      <c r="W154" s="359">
        <f t="shared" si="23"/>
        <v>0</v>
      </c>
      <c r="X154" s="368">
        <f t="shared" si="23"/>
        <v>0</v>
      </c>
      <c r="Y154" s="359">
        <f t="shared" si="23"/>
        <v>1.1000000000000001</v>
      </c>
      <c r="Z154" s="367">
        <f t="shared" si="23"/>
        <v>0</v>
      </c>
      <c r="AA154" s="354">
        <f t="shared" si="23"/>
        <v>0</v>
      </c>
      <c r="AB154" s="359">
        <f t="shared" si="23"/>
        <v>0</v>
      </c>
      <c r="AC154" s="357">
        <f t="shared" si="23"/>
        <v>0</v>
      </c>
      <c r="AD154" s="358">
        <f t="shared" si="22"/>
        <v>137834.81812999997</v>
      </c>
      <c r="AE154" s="109"/>
    </row>
    <row r="155" spans="1:31" s="46" customFormat="1" ht="8.25" customHeight="1">
      <c r="A155" s="429"/>
      <c r="B155" s="430"/>
      <c r="C155" s="364"/>
      <c r="D155" s="363"/>
      <c r="E155" s="363"/>
      <c r="F155" s="364"/>
      <c r="G155" s="364"/>
      <c r="H155" s="364"/>
      <c r="I155" s="364"/>
      <c r="J155" s="364"/>
      <c r="K155" s="364"/>
      <c r="L155" s="364"/>
      <c r="M155" s="363"/>
      <c r="N155" s="364"/>
      <c r="O155" s="364"/>
      <c r="P155" s="364"/>
      <c r="Q155" s="364"/>
      <c r="R155" s="363"/>
      <c r="S155" s="364"/>
      <c r="T155" s="363"/>
      <c r="U155" s="363"/>
      <c r="V155" s="363"/>
      <c r="W155" s="364"/>
      <c r="X155" s="363"/>
      <c r="Y155" s="363"/>
      <c r="Z155" s="363"/>
      <c r="AA155" s="363"/>
      <c r="AB155" s="363"/>
      <c r="AC155" s="363"/>
      <c r="AD155" s="365"/>
      <c r="AE155" s="109"/>
    </row>
    <row r="156" spans="1:31" s="46" customFormat="1" ht="15.95" customHeight="1">
      <c r="A156" s="98" t="s">
        <v>179</v>
      </c>
      <c r="B156" s="150"/>
      <c r="C156" s="366"/>
      <c r="D156" s="366"/>
      <c r="E156" s="366"/>
      <c r="F156" s="366"/>
      <c r="G156" s="366"/>
      <c r="H156" s="366"/>
      <c r="I156" s="366"/>
      <c r="J156" s="366"/>
      <c r="K156" s="366"/>
      <c r="L156" s="366"/>
      <c r="M156" s="366"/>
      <c r="N156" s="366"/>
      <c r="O156" s="366"/>
      <c r="P156" s="366"/>
      <c r="Q156" s="366"/>
      <c r="R156" s="366"/>
      <c r="S156" s="366"/>
      <c r="T156" s="366"/>
      <c r="U156" s="366"/>
      <c r="V156" s="366"/>
      <c r="W156" s="364"/>
      <c r="X156" s="364"/>
      <c r="Y156" s="366"/>
      <c r="Z156" s="366"/>
      <c r="AA156" s="364"/>
      <c r="AB156" s="366"/>
      <c r="AC156" s="366"/>
      <c r="AD156" s="365"/>
      <c r="AE156" s="109"/>
    </row>
    <row r="157" spans="1:31" s="46" customFormat="1" ht="15.95" customHeight="1">
      <c r="A157" s="124" t="s">
        <v>180</v>
      </c>
      <c r="B157" s="154" t="s">
        <v>181</v>
      </c>
      <c r="C157" s="359"/>
      <c r="D157" s="356"/>
      <c r="E157" s="356"/>
      <c r="F157" s="356"/>
      <c r="G157" s="356"/>
      <c r="H157" s="356"/>
      <c r="I157" s="356"/>
      <c r="J157" s="356"/>
      <c r="K157" s="356"/>
      <c r="L157" s="356"/>
      <c r="M157" s="356"/>
      <c r="N157" s="356"/>
      <c r="O157" s="356"/>
      <c r="P157" s="356"/>
      <c r="Q157" s="356"/>
      <c r="R157" s="356"/>
      <c r="S157" s="356"/>
      <c r="T157" s="356"/>
      <c r="U157" s="356"/>
      <c r="V157" s="354"/>
      <c r="W157" s="355"/>
      <c r="X157" s="355"/>
      <c r="Y157" s="367"/>
      <c r="Z157" s="354"/>
      <c r="AA157" s="355"/>
      <c r="AB157" s="367"/>
      <c r="AC157" s="356"/>
      <c r="AD157" s="358">
        <f>SUM(C157:AC157)</f>
        <v>0</v>
      </c>
      <c r="AE157" s="109"/>
    </row>
    <row r="158" spans="1:31" s="46" customFormat="1" ht="15.95" customHeight="1">
      <c r="A158" s="124" t="s">
        <v>182</v>
      </c>
      <c r="B158" s="154" t="s">
        <v>358</v>
      </c>
      <c r="C158" s="359"/>
      <c r="D158" s="356"/>
      <c r="E158" s="356"/>
      <c r="F158" s="356"/>
      <c r="G158" s="356"/>
      <c r="H158" s="356"/>
      <c r="I158" s="356"/>
      <c r="J158" s="356"/>
      <c r="K158" s="356"/>
      <c r="L158" s="356"/>
      <c r="M158" s="356"/>
      <c r="N158" s="356"/>
      <c r="O158" s="356"/>
      <c r="P158" s="356"/>
      <c r="Q158" s="356"/>
      <c r="R158" s="356"/>
      <c r="S158" s="356"/>
      <c r="T158" s="356"/>
      <c r="U158" s="356"/>
      <c r="V158" s="354"/>
      <c r="W158" s="359"/>
      <c r="X158" s="359"/>
      <c r="Y158" s="367"/>
      <c r="Z158" s="354"/>
      <c r="AA158" s="359"/>
      <c r="AB158" s="367"/>
      <c r="AC158" s="356"/>
      <c r="AD158" s="358">
        <f>SUM(C158:AC158)</f>
        <v>0</v>
      </c>
      <c r="AE158" s="109"/>
    </row>
    <row r="159" spans="1:31" s="46" customFormat="1" ht="15.95" customHeight="1">
      <c r="A159" s="124" t="s">
        <v>184</v>
      </c>
      <c r="B159" s="154" t="s">
        <v>185</v>
      </c>
      <c r="C159" s="359"/>
      <c r="D159" s="356"/>
      <c r="E159" s="356"/>
      <c r="F159" s="356"/>
      <c r="G159" s="356"/>
      <c r="H159" s="356"/>
      <c r="I159" s="356"/>
      <c r="J159" s="400"/>
      <c r="K159" s="356"/>
      <c r="L159" s="356"/>
      <c r="M159" s="356"/>
      <c r="N159" s="356"/>
      <c r="O159" s="356"/>
      <c r="P159" s="356"/>
      <c r="Q159" s="356"/>
      <c r="R159" s="356"/>
      <c r="S159" s="356"/>
      <c r="T159" s="356"/>
      <c r="U159" s="356"/>
      <c r="V159" s="354"/>
      <c r="W159" s="359"/>
      <c r="X159" s="359">
        <f>104758152.95/1000</f>
        <v>104758.15295</v>
      </c>
      <c r="Y159" s="367"/>
      <c r="Z159" s="354"/>
      <c r="AA159" s="359">
        <f>60613725.46/1000</f>
        <v>60613.725460000001</v>
      </c>
      <c r="AB159" s="367"/>
      <c r="AC159" s="356"/>
      <c r="AD159" s="358">
        <f>SUM(C159:AC159)</f>
        <v>165371.87841</v>
      </c>
      <c r="AE159" s="109"/>
    </row>
    <row r="160" spans="1:31" s="46" customFormat="1" ht="15.95" customHeight="1">
      <c r="A160" s="124" t="s">
        <v>186</v>
      </c>
      <c r="B160" s="159" t="s">
        <v>187</v>
      </c>
      <c r="C160" s="359"/>
      <c r="D160" s="356"/>
      <c r="E160" s="356"/>
      <c r="F160" s="356"/>
      <c r="G160" s="356"/>
      <c r="H160" s="356"/>
      <c r="I160" s="356"/>
      <c r="J160" s="356"/>
      <c r="K160" s="356"/>
      <c r="L160" s="356"/>
      <c r="M160" s="356"/>
      <c r="N160" s="356"/>
      <c r="O160" s="356"/>
      <c r="P160" s="356"/>
      <c r="Q160" s="356"/>
      <c r="R160" s="356"/>
      <c r="S160" s="356"/>
      <c r="T160" s="356"/>
      <c r="U160" s="356"/>
      <c r="V160" s="356"/>
      <c r="W160" s="366"/>
      <c r="X160" s="366"/>
      <c r="Y160" s="356"/>
      <c r="Z160" s="354"/>
      <c r="AA160" s="360">
        <f>1482495.96/1000</f>
        <v>1482.49596</v>
      </c>
      <c r="AB160" s="367"/>
      <c r="AC160" s="356"/>
      <c r="AD160" s="358">
        <f>SUM(C160:AC160)</f>
        <v>1482.49596</v>
      </c>
      <c r="AE160" s="109"/>
    </row>
    <row r="161" spans="1:31" s="46" customFormat="1" ht="15.95" customHeight="1">
      <c r="A161" s="427" t="s">
        <v>188</v>
      </c>
      <c r="B161" s="428"/>
      <c r="C161" s="359">
        <f>SUM(C157:C160)</f>
        <v>0</v>
      </c>
      <c r="D161" s="356">
        <f t="shared" ref="D161:AC161" si="24">SUM(D157:D160)</f>
        <v>0</v>
      </c>
      <c r="E161" s="356">
        <f t="shared" si="24"/>
        <v>0</v>
      </c>
      <c r="F161" s="356">
        <f t="shared" si="24"/>
        <v>0</v>
      </c>
      <c r="G161" s="356">
        <f t="shared" si="24"/>
        <v>0</v>
      </c>
      <c r="H161" s="356">
        <f t="shared" si="24"/>
        <v>0</v>
      </c>
      <c r="I161" s="356">
        <f t="shared" si="24"/>
        <v>0</v>
      </c>
      <c r="J161" s="356">
        <f t="shared" si="24"/>
        <v>0</v>
      </c>
      <c r="K161" s="356">
        <f t="shared" si="24"/>
        <v>0</v>
      </c>
      <c r="L161" s="356">
        <f t="shared" si="24"/>
        <v>0</v>
      </c>
      <c r="M161" s="356">
        <f t="shared" si="24"/>
        <v>0</v>
      </c>
      <c r="N161" s="356">
        <f t="shared" si="24"/>
        <v>0</v>
      </c>
      <c r="O161" s="356">
        <f t="shared" si="24"/>
        <v>0</v>
      </c>
      <c r="P161" s="356">
        <f t="shared" si="24"/>
        <v>0</v>
      </c>
      <c r="Q161" s="356">
        <f t="shared" si="24"/>
        <v>0</v>
      </c>
      <c r="R161" s="356">
        <f t="shared" si="24"/>
        <v>0</v>
      </c>
      <c r="S161" s="356">
        <f t="shared" si="24"/>
        <v>0</v>
      </c>
      <c r="T161" s="356">
        <f t="shared" si="24"/>
        <v>0</v>
      </c>
      <c r="U161" s="356">
        <f t="shared" si="24"/>
        <v>0</v>
      </c>
      <c r="V161" s="354">
        <f t="shared" si="24"/>
        <v>0</v>
      </c>
      <c r="W161" s="359">
        <f t="shared" si="24"/>
        <v>0</v>
      </c>
      <c r="X161" s="359">
        <f t="shared" si="24"/>
        <v>104758.15295</v>
      </c>
      <c r="Y161" s="367">
        <f t="shared" si="24"/>
        <v>0</v>
      </c>
      <c r="Z161" s="354">
        <f t="shared" si="24"/>
        <v>0</v>
      </c>
      <c r="AA161" s="359">
        <f t="shared" si="24"/>
        <v>62096.221420000002</v>
      </c>
      <c r="AB161" s="367">
        <f t="shared" si="24"/>
        <v>0</v>
      </c>
      <c r="AC161" s="381">
        <f t="shared" si="24"/>
        <v>0</v>
      </c>
      <c r="AD161" s="358">
        <f>SUM(C161:AC161)</f>
        <v>166854.37437000001</v>
      </c>
      <c r="AE161" s="109"/>
    </row>
    <row r="162" spans="1:31" s="46" customFormat="1" ht="8.25" customHeight="1" thickBot="1">
      <c r="A162" s="423"/>
      <c r="B162" s="424"/>
      <c r="C162" s="356"/>
      <c r="D162" s="356"/>
      <c r="E162" s="356"/>
      <c r="F162" s="356"/>
      <c r="G162" s="356"/>
      <c r="H162" s="356"/>
      <c r="I162" s="356"/>
      <c r="J162" s="356"/>
      <c r="K162" s="356"/>
      <c r="L162" s="356"/>
      <c r="M162" s="356"/>
      <c r="N162" s="356"/>
      <c r="O162" s="356"/>
      <c r="P162" s="356"/>
      <c r="Q162" s="356"/>
      <c r="R162" s="356"/>
      <c r="S162" s="356"/>
      <c r="T162" s="356"/>
      <c r="U162" s="356"/>
      <c r="V162" s="356"/>
      <c r="W162" s="366"/>
      <c r="X162" s="356"/>
      <c r="Y162" s="356"/>
      <c r="Z162" s="356"/>
      <c r="AA162" s="356"/>
      <c r="AB162" s="356"/>
      <c r="AC162" s="356"/>
      <c r="AD162" s="369"/>
      <c r="AE162" s="109"/>
    </row>
    <row r="163" spans="1:31" s="46" customFormat="1" ht="15.95" customHeight="1" thickBot="1">
      <c r="A163" s="125" t="s">
        <v>189</v>
      </c>
      <c r="B163" s="160"/>
      <c r="C163" s="370">
        <f>SUM(C123,C138,C154,C161)</f>
        <v>0</v>
      </c>
      <c r="D163" s="388">
        <f t="shared" ref="D163:AC163" si="25">SUM(D123,D138,D154,D161)</f>
        <v>0</v>
      </c>
      <c r="E163" s="370">
        <f t="shared" si="25"/>
        <v>0</v>
      </c>
      <c r="F163" s="370">
        <f t="shared" si="25"/>
        <v>29.80687</v>
      </c>
      <c r="G163" s="370">
        <f t="shared" si="25"/>
        <v>32.438949999999998</v>
      </c>
      <c r="H163" s="370">
        <f t="shared" si="25"/>
        <v>43999.280490000005</v>
      </c>
      <c r="I163" s="370">
        <f t="shared" si="25"/>
        <v>1321.8264900000001</v>
      </c>
      <c r="J163" s="370">
        <f t="shared" si="25"/>
        <v>5738.4999500000004</v>
      </c>
      <c r="K163" s="370">
        <f t="shared" si="25"/>
        <v>0.76100000000000001</v>
      </c>
      <c r="L163" s="370">
        <f t="shared" si="25"/>
        <v>40.132490000000004</v>
      </c>
      <c r="M163" s="370">
        <f t="shared" si="25"/>
        <v>0</v>
      </c>
      <c r="N163" s="370">
        <f t="shared" si="25"/>
        <v>0</v>
      </c>
      <c r="O163" s="370">
        <f t="shared" si="25"/>
        <v>62.484000000000002</v>
      </c>
      <c r="P163" s="370">
        <f t="shared" si="25"/>
        <v>862.58879999999999</v>
      </c>
      <c r="Q163" s="370">
        <f t="shared" si="25"/>
        <v>0</v>
      </c>
      <c r="R163" s="374">
        <f t="shared" si="25"/>
        <v>0</v>
      </c>
      <c r="S163" s="370">
        <f t="shared" si="25"/>
        <v>151488.66620999997</v>
      </c>
      <c r="T163" s="370">
        <f t="shared" si="25"/>
        <v>-676523.65308999992</v>
      </c>
      <c r="U163" s="370">
        <f t="shared" si="25"/>
        <v>0</v>
      </c>
      <c r="V163" s="370">
        <f t="shared" si="25"/>
        <v>185476.00963999997</v>
      </c>
      <c r="W163" s="370">
        <f t="shared" si="25"/>
        <v>0</v>
      </c>
      <c r="X163" s="370">
        <f t="shared" si="25"/>
        <v>104758.15295</v>
      </c>
      <c r="Y163" s="370">
        <f t="shared" si="25"/>
        <v>-348.9</v>
      </c>
      <c r="Z163" s="370">
        <f t="shared" si="25"/>
        <v>0</v>
      </c>
      <c r="AA163" s="370">
        <f t="shared" si="25"/>
        <v>110799.32741</v>
      </c>
      <c r="AB163" s="370">
        <f t="shared" si="25"/>
        <v>0</v>
      </c>
      <c r="AC163" s="375">
        <f t="shared" si="25"/>
        <v>3951.7258900000002</v>
      </c>
      <c r="AD163" s="376">
        <f>SUM(C163:AC163)</f>
        <v>-68310.851949999924</v>
      </c>
      <c r="AE163" s="109"/>
    </row>
    <row r="164" spans="1:31" s="46" customFormat="1" ht="8.25" customHeight="1" thickBot="1">
      <c r="A164" s="425"/>
      <c r="B164" s="426"/>
      <c r="C164" s="363"/>
      <c r="D164" s="363"/>
      <c r="E164" s="363"/>
      <c r="F164" s="363"/>
      <c r="G164" s="363"/>
      <c r="H164" s="363"/>
      <c r="I164" s="363"/>
      <c r="J164" s="363"/>
      <c r="K164" s="363"/>
      <c r="L164" s="363"/>
      <c r="M164" s="363"/>
      <c r="N164" s="363"/>
      <c r="O164" s="363"/>
      <c r="P164" s="363"/>
      <c r="Q164" s="363"/>
      <c r="R164" s="363"/>
      <c r="S164" s="363"/>
      <c r="T164" s="363"/>
      <c r="U164" s="363"/>
      <c r="V164" s="363"/>
      <c r="W164" s="363"/>
      <c r="X164" s="363"/>
      <c r="Y164" s="363"/>
      <c r="Z164" s="363"/>
      <c r="AA164" s="363"/>
      <c r="AB164" s="363"/>
      <c r="AC164" s="363"/>
      <c r="AD164" s="377"/>
      <c r="AE164" s="109"/>
    </row>
    <row r="165" spans="1:31" s="62" customFormat="1" ht="15.95" customHeight="1" thickBot="1">
      <c r="A165" s="126" t="s">
        <v>190</v>
      </c>
      <c r="B165" s="161"/>
      <c r="C165" s="370">
        <f>+SUM(C94,C100,C163)</f>
        <v>0</v>
      </c>
      <c r="D165" s="388">
        <f t="shared" ref="D165:AC165" si="26">+SUM(D94,D100,D163)</f>
        <v>56366.544370000003</v>
      </c>
      <c r="E165" s="370">
        <f t="shared" si="26"/>
        <v>39.411490000000001</v>
      </c>
      <c r="F165" s="370">
        <f t="shared" si="26"/>
        <v>83.078869999999995</v>
      </c>
      <c r="G165" s="370">
        <f t="shared" si="26"/>
        <v>50.162949999999995</v>
      </c>
      <c r="H165" s="370">
        <f t="shared" si="26"/>
        <v>45281.556060000003</v>
      </c>
      <c r="I165" s="370">
        <f t="shared" si="26"/>
        <v>4409.0222899999999</v>
      </c>
      <c r="J165" s="370">
        <f t="shared" si="26"/>
        <v>54460.41562</v>
      </c>
      <c r="K165" s="370">
        <f t="shared" si="26"/>
        <v>10.479079999999998</v>
      </c>
      <c r="L165" s="370">
        <f t="shared" si="26"/>
        <v>648.41107999999997</v>
      </c>
      <c r="M165" s="370">
        <f t="shared" si="26"/>
        <v>14542.020419999999</v>
      </c>
      <c r="N165" s="370">
        <f t="shared" si="26"/>
        <v>124645.55402</v>
      </c>
      <c r="O165" s="370">
        <f t="shared" si="26"/>
        <v>40689.405709999992</v>
      </c>
      <c r="P165" s="370">
        <f t="shared" si="26"/>
        <v>21853.443330000002</v>
      </c>
      <c r="Q165" s="370">
        <f t="shared" si="26"/>
        <v>9588.0519599999989</v>
      </c>
      <c r="R165" s="370">
        <f t="shared" si="26"/>
        <v>2607.8974200000002</v>
      </c>
      <c r="S165" s="370">
        <f t="shared" si="26"/>
        <v>309657.47412999999</v>
      </c>
      <c r="T165" s="370">
        <f t="shared" si="26"/>
        <v>-676523.65308999992</v>
      </c>
      <c r="U165" s="370">
        <f t="shared" si="26"/>
        <v>0</v>
      </c>
      <c r="V165" s="370">
        <f t="shared" si="26"/>
        <v>185476.00963999997</v>
      </c>
      <c r="W165" s="370">
        <f t="shared" si="26"/>
        <v>0</v>
      </c>
      <c r="X165" s="370">
        <f t="shared" si="26"/>
        <v>104758.15295</v>
      </c>
      <c r="Y165" s="370">
        <f t="shared" si="26"/>
        <v>-348.9</v>
      </c>
      <c r="Z165" s="370">
        <f t="shared" si="26"/>
        <v>0</v>
      </c>
      <c r="AA165" s="370">
        <f t="shared" si="26"/>
        <v>110799.32741</v>
      </c>
      <c r="AB165" s="370">
        <f t="shared" si="26"/>
        <v>0</v>
      </c>
      <c r="AC165" s="375">
        <f t="shared" si="26"/>
        <v>110717.43645000001</v>
      </c>
      <c r="AD165" s="376">
        <f>SUM(C165:AC165)</f>
        <v>519811.30215999996</v>
      </c>
      <c r="AE165" s="123"/>
    </row>
    <row r="166" spans="1:31">
      <c r="C166" s="203"/>
      <c r="D166" s="204"/>
      <c r="E166" s="204"/>
      <c r="F166" s="204"/>
      <c r="G166" s="204"/>
      <c r="H166" s="204"/>
      <c r="I166" s="204"/>
      <c r="J166" s="204"/>
      <c r="K166" s="204"/>
      <c r="L166" s="204"/>
      <c r="M166" s="204"/>
      <c r="N166" s="204"/>
      <c r="O166" s="204"/>
      <c r="P166" s="204"/>
      <c r="Q166" s="204"/>
      <c r="R166" s="204"/>
      <c r="S166" s="204"/>
      <c r="T166" s="204"/>
      <c r="U166" s="204"/>
      <c r="V166" s="204"/>
      <c r="W166" s="204"/>
      <c r="X166" s="204"/>
      <c r="Y166" s="204"/>
      <c r="Z166" s="204"/>
      <c r="AA166" s="204"/>
      <c r="AB166" s="204"/>
      <c r="AC166" s="204"/>
      <c r="AD166" s="204"/>
    </row>
    <row r="167" spans="1:31" hidden="1">
      <c r="A167" s="46" t="s">
        <v>229</v>
      </c>
      <c r="B167" s="44"/>
      <c r="C167" s="203"/>
      <c r="D167" s="204"/>
      <c r="E167" s="203"/>
      <c r="F167" s="203"/>
      <c r="G167" s="203"/>
      <c r="H167" s="203"/>
      <c r="I167" s="205"/>
      <c r="J167" s="205"/>
      <c r="K167" s="205"/>
      <c r="L167" s="205"/>
      <c r="M167" s="205"/>
      <c r="N167" s="204"/>
      <c r="O167" s="205"/>
      <c r="P167" s="204"/>
      <c r="Q167" s="204"/>
      <c r="R167" s="204"/>
      <c r="S167" s="204"/>
      <c r="T167" s="204"/>
      <c r="U167" s="204"/>
      <c r="V167" s="204"/>
      <c r="W167" s="204"/>
      <c r="X167" s="204"/>
      <c r="Y167" s="204"/>
      <c r="Z167" s="204"/>
      <c r="AA167" s="204"/>
      <c r="AB167" s="204"/>
      <c r="AC167" s="204"/>
      <c r="AD167" s="204"/>
    </row>
    <row r="168" spans="1:31" hidden="1">
      <c r="A168" s="46" t="s">
        <v>230</v>
      </c>
      <c r="B168" s="44"/>
      <c r="C168" s="203"/>
      <c r="D168" s="204"/>
      <c r="E168" s="203"/>
      <c r="F168" s="203"/>
      <c r="G168" s="203"/>
      <c r="H168" s="203"/>
      <c r="I168" s="205"/>
      <c r="J168" s="205"/>
      <c r="K168" s="205"/>
      <c r="L168" s="205"/>
      <c r="M168" s="205"/>
      <c r="N168" s="204"/>
      <c r="O168" s="204"/>
      <c r="P168" s="204"/>
      <c r="Q168" s="204"/>
      <c r="R168" s="204"/>
      <c r="S168" s="204"/>
      <c r="T168" s="204"/>
      <c r="U168" s="204"/>
      <c r="V168" s="204"/>
      <c r="W168" s="204"/>
      <c r="X168" s="204"/>
      <c r="Y168" s="204"/>
      <c r="Z168" s="204"/>
      <c r="AA168" s="204"/>
      <c r="AB168" s="204"/>
      <c r="AC168" s="204"/>
      <c r="AD168" s="204"/>
    </row>
    <row r="169" spans="1:31" hidden="1">
      <c r="A169" s="46"/>
      <c r="C169" s="203"/>
      <c r="D169" s="204"/>
      <c r="E169" s="203"/>
      <c r="F169" s="204"/>
      <c r="G169" s="204"/>
      <c r="H169" s="204"/>
      <c r="I169" s="204"/>
      <c r="J169" s="204"/>
      <c r="K169" s="204"/>
      <c r="L169" s="204"/>
      <c r="M169" s="204"/>
      <c r="N169" s="204"/>
      <c r="O169" s="204"/>
      <c r="P169" s="204"/>
      <c r="Q169" s="204"/>
      <c r="R169" s="204"/>
      <c r="S169" s="204"/>
      <c r="T169" s="204"/>
      <c r="U169" s="204"/>
      <c r="V169" s="204"/>
      <c r="W169" s="204"/>
      <c r="X169" s="204"/>
      <c r="Y169" s="204"/>
      <c r="Z169" s="204"/>
      <c r="AA169" s="204"/>
      <c r="AB169" s="204"/>
      <c r="AC169" s="204"/>
      <c r="AD169" s="204"/>
    </row>
    <row r="170" spans="1:31" hidden="1">
      <c r="A170" s="46" t="s">
        <v>191</v>
      </c>
      <c r="C170" s="203"/>
      <c r="D170" s="204"/>
      <c r="E170" s="204"/>
      <c r="F170" s="204"/>
      <c r="G170" s="204"/>
      <c r="H170" s="204"/>
      <c r="I170" s="204"/>
      <c r="J170" s="204"/>
      <c r="K170" s="204"/>
      <c r="L170" s="204"/>
      <c r="M170" s="204"/>
      <c r="N170" s="204"/>
      <c r="O170" s="204"/>
      <c r="P170" s="204"/>
      <c r="Q170" s="204"/>
      <c r="R170" s="204"/>
      <c r="S170" s="204"/>
      <c r="T170" s="204"/>
      <c r="U170" s="204"/>
      <c r="V170" s="204"/>
      <c r="W170" s="204"/>
      <c r="X170" s="204"/>
      <c r="Y170" s="204"/>
      <c r="Z170" s="204"/>
      <c r="AA170" s="204"/>
      <c r="AB170" s="204"/>
      <c r="AC170" s="204"/>
      <c r="AD170" s="204"/>
    </row>
    <row r="171" spans="1:31" hidden="1">
      <c r="C171" s="203"/>
      <c r="D171" s="204"/>
      <c r="E171" s="204"/>
      <c r="F171" s="204"/>
      <c r="G171" s="204"/>
      <c r="H171" s="204"/>
      <c r="I171" s="204"/>
      <c r="J171" s="204"/>
      <c r="K171" s="204"/>
      <c r="L171" s="204"/>
      <c r="M171" s="204"/>
      <c r="N171" s="204"/>
      <c r="O171" s="204"/>
      <c r="P171" s="204"/>
      <c r="Q171" s="204"/>
      <c r="R171" s="204"/>
      <c r="S171" s="204"/>
      <c r="T171" s="204"/>
      <c r="U171" s="204"/>
      <c r="V171" s="204"/>
      <c r="W171" s="204"/>
      <c r="X171" s="204"/>
      <c r="Y171" s="204"/>
      <c r="Z171" s="204"/>
      <c r="AA171" s="204"/>
      <c r="AB171" s="204"/>
      <c r="AC171" s="204"/>
      <c r="AD171" s="204"/>
    </row>
    <row r="172" spans="1:31" ht="20.25" hidden="1">
      <c r="A172" s="209" t="s">
        <v>1</v>
      </c>
    </row>
    <row r="173" spans="1:31" hidden="1"/>
    <row r="174" spans="1:31" hidden="1"/>
  </sheetData>
  <sheetProtection formatCells="0" formatColumns="0" formatRows="0"/>
  <mergeCells count="21">
    <mergeCell ref="A102:B102"/>
    <mergeCell ref="A79:B79"/>
    <mergeCell ref="A92:B92"/>
    <mergeCell ref="A94:B94"/>
    <mergeCell ref="A96:B96"/>
    <mergeCell ref="A72:B72"/>
    <mergeCell ref="A14:B14"/>
    <mergeCell ref="A20:B20"/>
    <mergeCell ref="A28:B28"/>
    <mergeCell ref="A37:B37"/>
    <mergeCell ref="A47:B47"/>
    <mergeCell ref="A53:B53"/>
    <mergeCell ref="A60:B60"/>
    <mergeCell ref="A162:B162"/>
    <mergeCell ref="A164:B164"/>
    <mergeCell ref="A161:B161"/>
    <mergeCell ref="A123:B123"/>
    <mergeCell ref="A138:B138"/>
    <mergeCell ref="A154:B154"/>
    <mergeCell ref="A139:B139"/>
    <mergeCell ref="A155:B155"/>
  </mergeCells>
  <phoneticPr fontId="0" type="noConversion"/>
  <printOptions horizontalCentered="1"/>
  <pageMargins left="0.17" right="0.17" top="0.67" bottom="0.39" header="0.51181102362204722" footer="0.4"/>
  <pageSetup paperSize="8" scale="42" orientation="portrait" r:id="rId1"/>
  <headerFooter alignWithMargins="0">
    <oddFooter>&amp;C&amp;F&amp;R&amp;D</oddFooter>
  </headerFooter>
  <rowBreaks count="1" manualBreakCount="1">
    <brk id="60" max="16383" man="1"/>
  </row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6">
    <pageSetUpPr fitToPage="1"/>
  </sheetPr>
  <dimension ref="A1:AD192"/>
  <sheetViews>
    <sheetView showGridLines="0" showZeros="0" zoomScale="75" zoomScaleNormal="100" workbookViewId="0">
      <pane xSplit="2" ySplit="4" topLeftCell="N137" activePane="bottomRight" state="frozen"/>
      <selection activeCell="I10" sqref="I10"/>
      <selection pane="topRight" activeCell="I10" sqref="I10"/>
      <selection pane="bottomLeft" activeCell="I10" sqref="I10"/>
      <selection pane="bottomRight" activeCell="AB198" sqref="AB198"/>
    </sheetView>
  </sheetViews>
  <sheetFormatPr defaultRowHeight="14.25"/>
  <cols>
    <col min="1" max="1" width="13.140625" style="49" customWidth="1"/>
    <col min="2" max="2" width="89.7109375" style="49" customWidth="1"/>
    <col min="3" max="3" width="8.7109375" style="49" hidden="1" customWidth="1"/>
    <col min="4" max="4" width="8.7109375" style="130" hidden="1" customWidth="1"/>
    <col min="5" max="5" width="8.7109375" style="130" customWidth="1"/>
    <col min="6" max="6" width="8.7109375" style="49" customWidth="1"/>
    <col min="7" max="7" width="5.85546875" style="49" bestFit="1" customWidth="1"/>
    <col min="8" max="8" width="6.42578125" style="49" hidden="1" customWidth="1"/>
    <col min="9" max="9" width="6.42578125" style="49" bestFit="1" customWidth="1"/>
    <col min="10" max="19" width="8.7109375" style="49" customWidth="1"/>
    <col min="20" max="20" width="9.7109375" style="49" customWidth="1"/>
    <col min="21" max="21" width="8.7109375" style="49" hidden="1" customWidth="1"/>
    <col min="22" max="22" width="8.7109375" style="49" customWidth="1"/>
    <col min="23" max="23" width="8.7109375" style="49" hidden="1" customWidth="1"/>
    <col min="24" max="25" width="8.7109375" style="49" customWidth="1"/>
    <col min="26" max="26" width="8.7109375" style="49" hidden="1" customWidth="1"/>
    <col min="27" max="29" width="8.7109375" style="49" customWidth="1"/>
    <col min="30" max="30" width="11.140625" style="49" customWidth="1"/>
    <col min="31" max="16384" width="9.140625" style="127"/>
  </cols>
  <sheetData>
    <row r="1" spans="1:30" s="101" customFormat="1" ht="18">
      <c r="A1" s="37" t="str">
        <f>"Verdelingsmatrix provincie "&amp;+'4.Informatie'!C5&amp;" ("&amp;'4.Informatie'!C6&amp;"): "&amp;'4.Informatie'!C7&amp;" periode "&amp;'4.Informatie'!C8&amp;", baten"</f>
        <v>Verdelingsmatrix provincie Provincie Groningen (0001): 2013 periode 4, baten</v>
      </c>
      <c r="B1" s="38"/>
      <c r="C1" s="146" t="s">
        <v>19</v>
      </c>
      <c r="D1" s="146" t="s">
        <v>359</v>
      </c>
      <c r="E1" s="39" t="s">
        <v>360</v>
      </c>
      <c r="F1" s="39" t="s">
        <v>20</v>
      </c>
      <c r="G1" s="39" t="s">
        <v>234</v>
      </c>
      <c r="H1" s="39" t="s">
        <v>235</v>
      </c>
      <c r="I1" s="39" t="s">
        <v>22</v>
      </c>
      <c r="J1" s="39" t="s">
        <v>361</v>
      </c>
      <c r="K1" s="39" t="s">
        <v>362</v>
      </c>
      <c r="L1" s="39" t="s">
        <v>24</v>
      </c>
      <c r="M1" s="39" t="s">
        <v>25</v>
      </c>
      <c r="N1" s="39" t="s">
        <v>193</v>
      </c>
      <c r="O1" s="39" t="s">
        <v>194</v>
      </c>
      <c r="P1" s="39" t="s">
        <v>27</v>
      </c>
      <c r="Q1" s="39" t="s">
        <v>28</v>
      </c>
      <c r="R1" s="39" t="s">
        <v>238</v>
      </c>
      <c r="S1" s="39" t="s">
        <v>35</v>
      </c>
      <c r="T1" s="39" t="s">
        <v>239</v>
      </c>
      <c r="U1" s="39" t="s">
        <v>240</v>
      </c>
      <c r="V1" s="39" t="s">
        <v>241</v>
      </c>
      <c r="W1" s="39" t="s">
        <v>242</v>
      </c>
      <c r="X1" s="39" t="s">
        <v>243</v>
      </c>
      <c r="Y1" s="39" t="s">
        <v>244</v>
      </c>
      <c r="Z1" s="39" t="s">
        <v>245</v>
      </c>
      <c r="AA1" s="39" t="s">
        <v>246</v>
      </c>
      <c r="AB1" s="39" t="s">
        <v>247</v>
      </c>
      <c r="AC1" s="40" t="s">
        <v>248</v>
      </c>
      <c r="AD1" s="41"/>
    </row>
    <row r="2" spans="1:30" ht="125.25" customHeight="1" thickBot="1">
      <c r="A2" s="42" t="s">
        <v>37</v>
      </c>
      <c r="B2" s="43" t="s">
        <v>38</v>
      </c>
      <c r="C2" s="189" t="s">
        <v>409</v>
      </c>
      <c r="D2" s="191" t="s">
        <v>198</v>
      </c>
      <c r="E2" s="192" t="s">
        <v>199</v>
      </c>
      <c r="F2" s="192" t="s">
        <v>363</v>
      </c>
      <c r="G2" s="192" t="s">
        <v>364</v>
      </c>
      <c r="H2" s="192" t="s">
        <v>365</v>
      </c>
      <c r="I2" s="192" t="s">
        <v>366</v>
      </c>
      <c r="J2" s="192" t="s">
        <v>196</v>
      </c>
      <c r="K2" s="192" t="s">
        <v>367</v>
      </c>
      <c r="L2" s="192" t="s">
        <v>197</v>
      </c>
      <c r="M2" s="192" t="s">
        <v>368</v>
      </c>
      <c r="N2" s="192" t="s">
        <v>369</v>
      </c>
      <c r="O2" s="192" t="s">
        <v>370</v>
      </c>
      <c r="P2" s="195" t="s">
        <v>371</v>
      </c>
      <c r="Q2" s="192" t="s">
        <v>372</v>
      </c>
      <c r="R2" s="192" t="s">
        <v>258</v>
      </c>
      <c r="S2" s="192" t="s">
        <v>259</v>
      </c>
      <c r="T2" s="192" t="s">
        <v>260</v>
      </c>
      <c r="U2" s="192" t="s">
        <v>43</v>
      </c>
      <c r="V2" s="192" t="s">
        <v>261</v>
      </c>
      <c r="W2" s="192" t="s">
        <v>44</v>
      </c>
      <c r="X2" s="192" t="s">
        <v>45</v>
      </c>
      <c r="Y2" s="192" t="s">
        <v>46</v>
      </c>
      <c r="Z2" s="192" t="s">
        <v>47</v>
      </c>
      <c r="AA2" s="192" t="s">
        <v>48</v>
      </c>
      <c r="AB2" s="192" t="s">
        <v>262</v>
      </c>
      <c r="AC2" s="193" t="s">
        <v>49</v>
      </c>
      <c r="AD2" s="194" t="s">
        <v>380</v>
      </c>
    </row>
    <row r="3" spans="1:30" s="102" customFormat="1" ht="2.25" customHeight="1">
      <c r="A3" s="103"/>
      <c r="B3" s="147"/>
      <c r="C3" s="135"/>
      <c r="D3" s="135"/>
      <c r="E3" s="135"/>
      <c r="F3" s="135"/>
      <c r="G3" s="135"/>
      <c r="H3" s="135"/>
      <c r="I3" s="135"/>
      <c r="J3" s="135"/>
      <c r="K3" s="135"/>
      <c r="L3" s="135"/>
      <c r="M3" s="135"/>
      <c r="N3" s="135"/>
      <c r="O3" s="135"/>
      <c r="P3" s="135"/>
      <c r="Q3" s="135"/>
      <c r="R3" s="135"/>
      <c r="S3" s="135"/>
      <c r="T3" s="135"/>
      <c r="U3" s="135"/>
      <c r="V3" s="135"/>
      <c r="W3" s="135"/>
      <c r="X3" s="135"/>
      <c r="Y3" s="135"/>
      <c r="Z3" s="135"/>
      <c r="AA3" s="135"/>
      <c r="AB3" s="135"/>
      <c r="AC3" s="106"/>
      <c r="AD3" s="190"/>
    </row>
    <row r="4" spans="1:30" s="102" customFormat="1" ht="2.25" customHeight="1">
      <c r="A4" s="104"/>
      <c r="B4" s="148"/>
      <c r="C4" s="134"/>
      <c r="D4" s="134"/>
      <c r="E4" s="134"/>
      <c r="F4" s="134"/>
      <c r="G4" s="134"/>
      <c r="H4" s="134"/>
      <c r="I4" s="134"/>
      <c r="J4" s="134"/>
      <c r="K4" s="134"/>
      <c r="L4" s="134"/>
      <c r="M4" s="135"/>
      <c r="N4" s="134"/>
      <c r="O4" s="134"/>
      <c r="P4" s="134"/>
      <c r="Q4" s="134"/>
      <c r="R4" s="135"/>
      <c r="S4" s="134"/>
      <c r="T4" s="135"/>
      <c r="U4" s="135"/>
      <c r="V4" s="135"/>
      <c r="W4" s="135"/>
      <c r="X4" s="135"/>
      <c r="Y4" s="135"/>
      <c r="Z4" s="134"/>
      <c r="AA4" s="135"/>
      <c r="AB4" s="134"/>
      <c r="AC4" s="105"/>
      <c r="AD4" s="107"/>
    </row>
    <row r="5" spans="1:30" s="46" customFormat="1" ht="15">
      <c r="A5" s="98" t="s">
        <v>53</v>
      </c>
      <c r="B5" s="149" t="s">
        <v>51</v>
      </c>
      <c r="C5" s="201"/>
      <c r="D5" s="202"/>
      <c r="E5" s="202"/>
      <c r="F5" s="201"/>
      <c r="G5" s="201"/>
      <c r="H5" s="201"/>
      <c r="I5" s="201"/>
      <c r="J5" s="201"/>
      <c r="K5" s="201"/>
      <c r="L5" s="201"/>
      <c r="M5" s="201"/>
      <c r="N5" s="201"/>
      <c r="O5" s="201"/>
      <c r="P5" s="201"/>
      <c r="Q5" s="201"/>
      <c r="R5" s="201"/>
      <c r="S5" s="201"/>
      <c r="T5" s="202"/>
      <c r="U5" s="202"/>
      <c r="V5" s="202"/>
      <c r="W5" s="202"/>
      <c r="X5" s="202"/>
      <c r="Y5" s="202"/>
      <c r="Z5" s="201"/>
      <c r="AA5" s="202"/>
      <c r="AB5" s="201"/>
      <c r="AC5" s="131"/>
      <c r="AD5" s="133"/>
    </row>
    <row r="6" spans="1:30" s="46" customFormat="1">
      <c r="A6" s="108" t="s">
        <v>263</v>
      </c>
      <c r="B6" s="150" t="s">
        <v>264</v>
      </c>
      <c r="C6" s="61"/>
      <c r="D6" s="58"/>
      <c r="E6" s="354"/>
      <c r="F6" s="355"/>
      <c r="G6" s="355"/>
      <c r="H6" s="355"/>
      <c r="I6" s="355"/>
      <c r="J6" s="355"/>
      <c r="K6" s="355"/>
      <c r="L6" s="355"/>
      <c r="M6" s="355"/>
      <c r="N6" s="355"/>
      <c r="O6" s="355"/>
      <c r="P6" s="355"/>
      <c r="Q6" s="355"/>
      <c r="R6" s="355"/>
      <c r="S6" s="355"/>
      <c r="T6" s="356"/>
      <c r="U6" s="356"/>
      <c r="V6" s="356"/>
      <c r="W6" s="356"/>
      <c r="X6" s="356"/>
      <c r="Y6" s="354"/>
      <c r="Z6" s="355"/>
      <c r="AA6" s="354"/>
      <c r="AB6" s="355"/>
      <c r="AC6" s="357"/>
      <c r="AD6" s="358">
        <f t="shared" ref="AD6:AD14" si="0">SUM(C6:AC6)</f>
        <v>0</v>
      </c>
    </row>
    <row r="7" spans="1:30" s="46" customFormat="1">
      <c r="A7" s="108" t="s">
        <v>20</v>
      </c>
      <c r="B7" s="150" t="s">
        <v>265</v>
      </c>
      <c r="C7" s="57"/>
      <c r="D7" s="58"/>
      <c r="E7" s="354"/>
      <c r="F7" s="359"/>
      <c r="G7" s="359"/>
      <c r="H7" s="359"/>
      <c r="I7" s="359"/>
      <c r="J7" s="359"/>
      <c r="K7" s="359"/>
      <c r="L7" s="359">
        <f>4231.48/1000</f>
        <v>4.2314799999999995</v>
      </c>
      <c r="M7" s="359"/>
      <c r="N7" s="359"/>
      <c r="O7" s="359"/>
      <c r="P7" s="359"/>
      <c r="Q7" s="359"/>
      <c r="R7" s="359"/>
      <c r="S7" s="359"/>
      <c r="T7" s="356"/>
      <c r="U7" s="356"/>
      <c r="V7" s="356"/>
      <c r="W7" s="356"/>
      <c r="X7" s="356"/>
      <c r="Y7" s="354"/>
      <c r="Z7" s="359"/>
      <c r="AA7" s="354"/>
      <c r="AB7" s="359"/>
      <c r="AC7" s="357"/>
      <c r="AD7" s="358">
        <f t="shared" si="0"/>
        <v>4.2314799999999995</v>
      </c>
    </row>
    <row r="8" spans="1:30" s="46" customFormat="1">
      <c r="A8" s="108" t="s">
        <v>21</v>
      </c>
      <c r="B8" s="150" t="s">
        <v>266</v>
      </c>
      <c r="C8" s="57"/>
      <c r="D8" s="58"/>
      <c r="E8" s="354"/>
      <c r="F8" s="359"/>
      <c r="G8" s="359"/>
      <c r="H8" s="359"/>
      <c r="I8" s="359"/>
      <c r="J8" s="359"/>
      <c r="K8" s="359"/>
      <c r="L8" s="359"/>
      <c r="M8" s="359"/>
      <c r="N8" s="359"/>
      <c r="O8" s="359"/>
      <c r="P8" s="359"/>
      <c r="Q8" s="359"/>
      <c r="R8" s="359"/>
      <c r="S8" s="359"/>
      <c r="T8" s="356"/>
      <c r="U8" s="356"/>
      <c r="V8" s="356"/>
      <c r="W8" s="356"/>
      <c r="X8" s="356"/>
      <c r="Y8" s="354"/>
      <c r="Z8" s="359"/>
      <c r="AA8" s="354"/>
      <c r="AB8" s="359"/>
      <c r="AC8" s="357"/>
      <c r="AD8" s="358">
        <f t="shared" si="0"/>
        <v>0</v>
      </c>
    </row>
    <row r="9" spans="1:30" s="46" customFormat="1">
      <c r="A9" s="108" t="s">
        <v>267</v>
      </c>
      <c r="B9" s="150" t="s">
        <v>268</v>
      </c>
      <c r="C9" s="57"/>
      <c r="D9" s="58"/>
      <c r="E9" s="354"/>
      <c r="F9" s="359"/>
      <c r="G9" s="359"/>
      <c r="H9" s="359"/>
      <c r="I9" s="359"/>
      <c r="J9" s="359"/>
      <c r="K9" s="359"/>
      <c r="L9" s="359"/>
      <c r="M9" s="359"/>
      <c r="N9" s="359">
        <f>26920.31/1000</f>
        <v>26.920310000000001</v>
      </c>
      <c r="O9" s="359"/>
      <c r="P9" s="359"/>
      <c r="Q9" s="359"/>
      <c r="R9" s="359"/>
      <c r="S9" s="359"/>
      <c r="T9" s="356"/>
      <c r="U9" s="356"/>
      <c r="V9" s="356"/>
      <c r="W9" s="356"/>
      <c r="X9" s="356"/>
      <c r="Y9" s="354"/>
      <c r="Z9" s="359"/>
      <c r="AA9" s="354"/>
      <c r="AB9" s="359"/>
      <c r="AC9" s="357"/>
      <c r="AD9" s="358">
        <f t="shared" si="0"/>
        <v>26.920310000000001</v>
      </c>
    </row>
    <row r="10" spans="1:30" s="46" customFormat="1">
      <c r="A10" s="108" t="s">
        <v>269</v>
      </c>
      <c r="B10" s="150" t="s">
        <v>270</v>
      </c>
      <c r="C10" s="57"/>
      <c r="D10" s="58"/>
      <c r="E10" s="354"/>
      <c r="F10" s="359"/>
      <c r="G10" s="359"/>
      <c r="H10" s="359"/>
      <c r="I10" s="359"/>
      <c r="J10" s="359"/>
      <c r="K10" s="359"/>
      <c r="L10" s="359"/>
      <c r="M10" s="359"/>
      <c r="N10" s="359"/>
      <c r="O10" s="359"/>
      <c r="P10" s="359"/>
      <c r="Q10" s="359"/>
      <c r="R10" s="359"/>
      <c r="S10" s="359"/>
      <c r="T10" s="356"/>
      <c r="U10" s="356"/>
      <c r="V10" s="356"/>
      <c r="W10" s="356"/>
      <c r="X10" s="356"/>
      <c r="Y10" s="354"/>
      <c r="Z10" s="359"/>
      <c r="AA10" s="354"/>
      <c r="AB10" s="359"/>
      <c r="AC10" s="357"/>
      <c r="AD10" s="358">
        <f t="shared" si="0"/>
        <v>0</v>
      </c>
    </row>
    <row r="11" spans="1:30" s="46" customFormat="1">
      <c r="A11" s="108" t="s">
        <v>271</v>
      </c>
      <c r="B11" s="150" t="s">
        <v>272</v>
      </c>
      <c r="C11" s="57"/>
      <c r="D11" s="58"/>
      <c r="E11" s="354"/>
      <c r="F11" s="359"/>
      <c r="G11" s="359"/>
      <c r="H11" s="359"/>
      <c r="I11" s="359"/>
      <c r="J11" s="359"/>
      <c r="K11" s="359"/>
      <c r="L11" s="359">
        <f>45764/1000</f>
        <v>45.764000000000003</v>
      </c>
      <c r="M11" s="359"/>
      <c r="N11" s="359"/>
      <c r="O11" s="359"/>
      <c r="P11" s="359"/>
      <c r="Q11" s="359"/>
      <c r="R11" s="359"/>
      <c r="S11" s="359"/>
      <c r="T11" s="356"/>
      <c r="U11" s="356"/>
      <c r="V11" s="356"/>
      <c r="W11" s="356"/>
      <c r="X11" s="356"/>
      <c r="Y11" s="354"/>
      <c r="Z11" s="359"/>
      <c r="AA11" s="354"/>
      <c r="AB11" s="359"/>
      <c r="AC11" s="357"/>
      <c r="AD11" s="358">
        <f t="shared" si="0"/>
        <v>45.764000000000003</v>
      </c>
    </row>
    <row r="12" spans="1:30" s="46" customFormat="1">
      <c r="A12" s="108" t="s">
        <v>273</v>
      </c>
      <c r="B12" s="150" t="s">
        <v>274</v>
      </c>
      <c r="C12" s="57"/>
      <c r="D12" s="58"/>
      <c r="E12" s="354"/>
      <c r="F12" s="359"/>
      <c r="G12" s="359"/>
      <c r="H12" s="359"/>
      <c r="I12" s="359"/>
      <c r="J12" s="359"/>
      <c r="K12" s="359"/>
      <c r="L12" s="359">
        <f>16998.13/1000</f>
        <v>16.99813</v>
      </c>
      <c r="M12" s="359"/>
      <c r="N12" s="359"/>
      <c r="O12" s="359"/>
      <c r="P12" s="359"/>
      <c r="Q12" s="359"/>
      <c r="R12" s="359"/>
      <c r="S12" s="359">
        <f>750129/1000</f>
        <v>750.12900000000002</v>
      </c>
      <c r="T12" s="356"/>
      <c r="U12" s="356"/>
      <c r="V12" s="356"/>
      <c r="W12" s="356"/>
      <c r="X12" s="356"/>
      <c r="Y12" s="354"/>
      <c r="Z12" s="359"/>
      <c r="AA12" s="354"/>
      <c r="AB12" s="359"/>
      <c r="AC12" s="357"/>
      <c r="AD12" s="358">
        <f t="shared" si="0"/>
        <v>767.12712999999997</v>
      </c>
    </row>
    <row r="13" spans="1:30" s="46" customFormat="1">
      <c r="A13" s="108" t="s">
        <v>275</v>
      </c>
      <c r="B13" s="150" t="s">
        <v>276</v>
      </c>
      <c r="C13" s="59"/>
      <c r="D13" s="58"/>
      <c r="E13" s="354"/>
      <c r="F13" s="360">
        <f>5932.44/1000</f>
        <v>5.9324399999999997</v>
      </c>
      <c r="G13" s="360"/>
      <c r="H13" s="360"/>
      <c r="I13" s="360"/>
      <c r="J13" s="360">
        <f>52341.92/1000</f>
        <v>52.341920000000002</v>
      </c>
      <c r="K13" s="360"/>
      <c r="L13" s="360">
        <f>3914226.13/1000</f>
        <v>3914.22613</v>
      </c>
      <c r="M13" s="360"/>
      <c r="N13" s="360">
        <f>20000/1000</f>
        <v>20</v>
      </c>
      <c r="O13" s="360">
        <f>20000/1000</f>
        <v>20</v>
      </c>
      <c r="P13" s="360">
        <f>1458/1000</f>
        <v>1.458</v>
      </c>
      <c r="Q13" s="360"/>
      <c r="R13" s="360"/>
      <c r="S13" s="360">
        <f>11672.51/1000</f>
        <v>11.672510000000001</v>
      </c>
      <c r="T13" s="356"/>
      <c r="U13" s="356"/>
      <c r="V13" s="356"/>
      <c r="W13" s="356"/>
      <c r="X13" s="356"/>
      <c r="Y13" s="354"/>
      <c r="Z13" s="360"/>
      <c r="AA13" s="354"/>
      <c r="AB13" s="360"/>
      <c r="AC13" s="361"/>
      <c r="AD13" s="362">
        <f t="shared" si="0"/>
        <v>4025.6309999999999</v>
      </c>
    </row>
    <row r="14" spans="1:30" s="46" customFormat="1" ht="15">
      <c r="A14" s="431" t="s">
        <v>56</v>
      </c>
      <c r="B14" s="432"/>
      <c r="C14" s="57">
        <f>SUM(C6:C13)</f>
        <v>0</v>
      </c>
      <c r="D14" s="58">
        <f t="shared" ref="D14:AC14" si="1">SUM(D6:D13)</f>
        <v>0</v>
      </c>
      <c r="E14" s="354">
        <f t="shared" si="1"/>
        <v>0</v>
      </c>
      <c r="F14" s="359">
        <f t="shared" si="1"/>
        <v>5.9324399999999997</v>
      </c>
      <c r="G14" s="359">
        <f t="shared" si="1"/>
        <v>0</v>
      </c>
      <c r="H14" s="359">
        <f t="shared" si="1"/>
        <v>0</v>
      </c>
      <c r="I14" s="359">
        <f t="shared" si="1"/>
        <v>0</v>
      </c>
      <c r="J14" s="359">
        <f t="shared" si="1"/>
        <v>52.341920000000002</v>
      </c>
      <c r="K14" s="359">
        <f t="shared" si="1"/>
        <v>0</v>
      </c>
      <c r="L14" s="359">
        <f t="shared" si="1"/>
        <v>3981.21974</v>
      </c>
      <c r="M14" s="359">
        <f t="shared" si="1"/>
        <v>0</v>
      </c>
      <c r="N14" s="359">
        <f t="shared" si="1"/>
        <v>46.920310000000001</v>
      </c>
      <c r="O14" s="359">
        <f t="shared" si="1"/>
        <v>20</v>
      </c>
      <c r="P14" s="359">
        <f t="shared" si="1"/>
        <v>1.458</v>
      </c>
      <c r="Q14" s="359">
        <f t="shared" si="1"/>
        <v>0</v>
      </c>
      <c r="R14" s="359">
        <f t="shared" si="1"/>
        <v>0</v>
      </c>
      <c r="S14" s="359">
        <f t="shared" si="1"/>
        <v>761.80151000000001</v>
      </c>
      <c r="T14" s="356">
        <f t="shared" si="1"/>
        <v>0</v>
      </c>
      <c r="U14" s="356">
        <f t="shared" si="1"/>
        <v>0</v>
      </c>
      <c r="V14" s="356">
        <f t="shared" si="1"/>
        <v>0</v>
      </c>
      <c r="W14" s="356">
        <f t="shared" si="1"/>
        <v>0</v>
      </c>
      <c r="X14" s="356">
        <f t="shared" si="1"/>
        <v>0</v>
      </c>
      <c r="Y14" s="354">
        <f t="shared" si="1"/>
        <v>0</v>
      </c>
      <c r="Z14" s="359">
        <f t="shared" si="1"/>
        <v>0</v>
      </c>
      <c r="AA14" s="354">
        <f t="shared" si="1"/>
        <v>0</v>
      </c>
      <c r="AB14" s="359">
        <f t="shared" si="1"/>
        <v>0</v>
      </c>
      <c r="AC14" s="357">
        <f t="shared" si="1"/>
        <v>0</v>
      </c>
      <c r="AD14" s="358">
        <f t="shared" si="0"/>
        <v>4869.6739199999993</v>
      </c>
    </row>
    <row r="15" spans="1:30" s="46" customFormat="1">
      <c r="A15" s="111"/>
      <c r="B15" s="48"/>
      <c r="C15" s="112"/>
      <c r="D15" s="60"/>
      <c r="E15" s="363"/>
      <c r="F15" s="364"/>
      <c r="G15" s="364"/>
      <c r="H15" s="364"/>
      <c r="I15" s="364"/>
      <c r="J15" s="364"/>
      <c r="K15" s="364"/>
      <c r="L15" s="364"/>
      <c r="M15" s="364"/>
      <c r="N15" s="364"/>
      <c r="O15" s="364"/>
      <c r="P15" s="364"/>
      <c r="Q15" s="364"/>
      <c r="R15" s="364"/>
      <c r="S15" s="364"/>
      <c r="T15" s="363"/>
      <c r="U15" s="363"/>
      <c r="V15" s="363"/>
      <c r="W15" s="363"/>
      <c r="X15" s="363"/>
      <c r="Y15" s="363"/>
      <c r="Z15" s="364"/>
      <c r="AA15" s="363"/>
      <c r="AB15" s="364"/>
      <c r="AC15" s="364"/>
      <c r="AD15" s="365"/>
    </row>
    <row r="16" spans="1:30" s="46" customFormat="1" ht="15">
      <c r="A16" s="113" t="s">
        <v>57</v>
      </c>
      <c r="B16" s="152" t="s">
        <v>54</v>
      </c>
      <c r="C16" s="112"/>
      <c r="D16" s="114"/>
      <c r="E16" s="366"/>
      <c r="F16" s="364"/>
      <c r="G16" s="364"/>
      <c r="H16" s="364"/>
      <c r="I16" s="364"/>
      <c r="J16" s="364"/>
      <c r="K16" s="364"/>
      <c r="L16" s="364"/>
      <c r="M16" s="364"/>
      <c r="N16" s="364"/>
      <c r="O16" s="364"/>
      <c r="P16" s="364"/>
      <c r="Q16" s="364"/>
      <c r="R16" s="364"/>
      <c r="S16" s="364"/>
      <c r="T16" s="366"/>
      <c r="U16" s="366"/>
      <c r="V16" s="366"/>
      <c r="W16" s="366"/>
      <c r="X16" s="366"/>
      <c r="Y16" s="366"/>
      <c r="Z16" s="364"/>
      <c r="AA16" s="366"/>
      <c r="AB16" s="364"/>
      <c r="AC16" s="364"/>
      <c r="AD16" s="365"/>
    </row>
    <row r="17" spans="1:30" s="46" customFormat="1">
      <c r="A17" s="108" t="s">
        <v>277</v>
      </c>
      <c r="B17" s="150" t="s">
        <v>278</v>
      </c>
      <c r="C17" s="61"/>
      <c r="D17" s="58"/>
      <c r="E17" s="354"/>
      <c r="F17" s="355"/>
      <c r="G17" s="355"/>
      <c r="H17" s="355"/>
      <c r="I17" s="355"/>
      <c r="J17" s="355"/>
      <c r="K17" s="355"/>
      <c r="L17" s="355"/>
      <c r="M17" s="355"/>
      <c r="N17" s="355"/>
      <c r="O17" s="355"/>
      <c r="P17" s="355"/>
      <c r="Q17" s="355"/>
      <c r="R17" s="355"/>
      <c r="S17" s="355"/>
      <c r="T17" s="356"/>
      <c r="U17" s="356"/>
      <c r="V17" s="356"/>
      <c r="W17" s="356"/>
      <c r="X17" s="356"/>
      <c r="Y17" s="354"/>
      <c r="Z17" s="355"/>
      <c r="AA17" s="354"/>
      <c r="AB17" s="355"/>
      <c r="AC17" s="357"/>
      <c r="AD17" s="358">
        <f>SUM(C17:AC17)</f>
        <v>0</v>
      </c>
    </row>
    <row r="18" spans="1:30" s="46" customFormat="1">
      <c r="A18" s="108" t="s">
        <v>22</v>
      </c>
      <c r="B18" s="150" t="s">
        <v>55</v>
      </c>
      <c r="C18" s="57"/>
      <c r="D18" s="58"/>
      <c r="E18" s="354"/>
      <c r="F18" s="359"/>
      <c r="G18" s="359"/>
      <c r="H18" s="359"/>
      <c r="I18" s="359"/>
      <c r="J18" s="359"/>
      <c r="K18" s="359"/>
      <c r="L18" s="359"/>
      <c r="M18" s="359"/>
      <c r="N18" s="359"/>
      <c r="O18" s="359"/>
      <c r="P18" s="359"/>
      <c r="Q18" s="359"/>
      <c r="R18" s="359"/>
      <c r="S18" s="359"/>
      <c r="T18" s="356"/>
      <c r="U18" s="356"/>
      <c r="V18" s="356"/>
      <c r="W18" s="356"/>
      <c r="X18" s="356"/>
      <c r="Y18" s="354"/>
      <c r="Z18" s="359"/>
      <c r="AA18" s="354"/>
      <c r="AB18" s="359"/>
      <c r="AC18" s="357"/>
      <c r="AD18" s="358">
        <f>SUM(C18:AC18)</f>
        <v>0</v>
      </c>
    </row>
    <row r="19" spans="1:30" s="46" customFormat="1">
      <c r="A19" s="108" t="s">
        <v>23</v>
      </c>
      <c r="B19" s="150" t="s">
        <v>279</v>
      </c>
      <c r="C19" s="59"/>
      <c r="D19" s="58"/>
      <c r="E19" s="354"/>
      <c r="F19" s="360"/>
      <c r="G19" s="360"/>
      <c r="H19" s="360"/>
      <c r="I19" s="360"/>
      <c r="J19" s="360"/>
      <c r="K19" s="360"/>
      <c r="L19" s="360"/>
      <c r="M19" s="360"/>
      <c r="N19" s="360"/>
      <c r="O19" s="360"/>
      <c r="P19" s="360"/>
      <c r="Q19" s="360"/>
      <c r="R19" s="360"/>
      <c r="S19" s="360"/>
      <c r="T19" s="356"/>
      <c r="U19" s="356"/>
      <c r="V19" s="356"/>
      <c r="W19" s="356"/>
      <c r="X19" s="356"/>
      <c r="Y19" s="354"/>
      <c r="Z19" s="360"/>
      <c r="AA19" s="354"/>
      <c r="AB19" s="360"/>
      <c r="AC19" s="361"/>
      <c r="AD19" s="362">
        <f>SUM(C19:AC19)</f>
        <v>0</v>
      </c>
    </row>
    <row r="20" spans="1:30" s="46" customFormat="1" ht="15">
      <c r="A20" s="431" t="s">
        <v>58</v>
      </c>
      <c r="B20" s="432"/>
      <c r="C20" s="57">
        <f>SUM(C17:C19)</f>
        <v>0</v>
      </c>
      <c r="D20" s="58">
        <f t="shared" ref="D20:AC20" si="2">SUM(D17:D19)</f>
        <v>0</v>
      </c>
      <c r="E20" s="354">
        <f t="shared" si="2"/>
        <v>0</v>
      </c>
      <c r="F20" s="359">
        <f t="shared" si="2"/>
        <v>0</v>
      </c>
      <c r="G20" s="359">
        <f t="shared" si="2"/>
        <v>0</v>
      </c>
      <c r="H20" s="359">
        <f t="shared" si="2"/>
        <v>0</v>
      </c>
      <c r="I20" s="359">
        <f t="shared" si="2"/>
        <v>0</v>
      </c>
      <c r="J20" s="359">
        <f t="shared" si="2"/>
        <v>0</v>
      </c>
      <c r="K20" s="359">
        <f t="shared" si="2"/>
        <v>0</v>
      </c>
      <c r="L20" s="359">
        <f t="shared" si="2"/>
        <v>0</v>
      </c>
      <c r="M20" s="359">
        <f t="shared" si="2"/>
        <v>0</v>
      </c>
      <c r="N20" s="359">
        <f t="shared" si="2"/>
        <v>0</v>
      </c>
      <c r="O20" s="359">
        <f t="shared" si="2"/>
        <v>0</v>
      </c>
      <c r="P20" s="359">
        <f t="shared" si="2"/>
        <v>0</v>
      </c>
      <c r="Q20" s="359">
        <f t="shared" si="2"/>
        <v>0</v>
      </c>
      <c r="R20" s="359">
        <f t="shared" si="2"/>
        <v>0</v>
      </c>
      <c r="S20" s="359">
        <f t="shared" si="2"/>
        <v>0</v>
      </c>
      <c r="T20" s="356">
        <f t="shared" si="2"/>
        <v>0</v>
      </c>
      <c r="U20" s="356">
        <f t="shared" si="2"/>
        <v>0</v>
      </c>
      <c r="V20" s="356">
        <f t="shared" si="2"/>
        <v>0</v>
      </c>
      <c r="W20" s="356">
        <f t="shared" si="2"/>
        <v>0</v>
      </c>
      <c r="X20" s="356">
        <f t="shared" si="2"/>
        <v>0</v>
      </c>
      <c r="Y20" s="354">
        <f t="shared" si="2"/>
        <v>0</v>
      </c>
      <c r="Z20" s="359">
        <f t="shared" si="2"/>
        <v>0</v>
      </c>
      <c r="AA20" s="354">
        <f t="shared" si="2"/>
        <v>0</v>
      </c>
      <c r="AB20" s="359">
        <f t="shared" si="2"/>
        <v>0</v>
      </c>
      <c r="AC20" s="357">
        <f t="shared" si="2"/>
        <v>0</v>
      </c>
      <c r="AD20" s="358">
        <f>SUM(C20:AC20)</f>
        <v>0</v>
      </c>
    </row>
    <row r="21" spans="1:30" s="46" customFormat="1">
      <c r="A21" s="111"/>
      <c r="B21" s="48"/>
      <c r="C21" s="112"/>
      <c r="D21" s="60"/>
      <c r="E21" s="363"/>
      <c r="F21" s="364"/>
      <c r="G21" s="364"/>
      <c r="H21" s="364"/>
      <c r="I21" s="364"/>
      <c r="J21" s="364"/>
      <c r="K21" s="364"/>
      <c r="L21" s="364"/>
      <c r="M21" s="364"/>
      <c r="N21" s="364"/>
      <c r="O21" s="364"/>
      <c r="P21" s="364"/>
      <c r="Q21" s="364"/>
      <c r="R21" s="364"/>
      <c r="S21" s="364"/>
      <c r="T21" s="363"/>
      <c r="U21" s="363"/>
      <c r="V21" s="363"/>
      <c r="W21" s="363"/>
      <c r="X21" s="363"/>
      <c r="Y21" s="363"/>
      <c r="Z21" s="364"/>
      <c r="AA21" s="363"/>
      <c r="AB21" s="364"/>
      <c r="AC21" s="364"/>
      <c r="AD21" s="365"/>
    </row>
    <row r="22" spans="1:30" s="46" customFormat="1" ht="15">
      <c r="A22" s="113" t="s">
        <v>59</v>
      </c>
      <c r="B22" s="152" t="s">
        <v>280</v>
      </c>
      <c r="C22" s="112"/>
      <c r="D22" s="114"/>
      <c r="E22" s="366"/>
      <c r="F22" s="364"/>
      <c r="G22" s="364"/>
      <c r="H22" s="364"/>
      <c r="I22" s="364"/>
      <c r="J22" s="364"/>
      <c r="K22" s="364"/>
      <c r="L22" s="364"/>
      <c r="M22" s="364"/>
      <c r="N22" s="364"/>
      <c r="O22" s="364"/>
      <c r="P22" s="364"/>
      <c r="Q22" s="364"/>
      <c r="R22" s="364"/>
      <c r="S22" s="364"/>
      <c r="T22" s="366"/>
      <c r="U22" s="366"/>
      <c r="V22" s="366"/>
      <c r="W22" s="366"/>
      <c r="X22" s="366"/>
      <c r="Y22" s="366"/>
      <c r="Z22" s="364"/>
      <c r="AA22" s="366"/>
      <c r="AB22" s="364"/>
      <c r="AC22" s="364"/>
      <c r="AD22" s="365"/>
    </row>
    <row r="23" spans="1:30" s="46" customFormat="1">
      <c r="A23" s="108" t="s">
        <v>25</v>
      </c>
      <c r="B23" s="150" t="s">
        <v>281</v>
      </c>
      <c r="C23" s="61"/>
      <c r="D23" s="58"/>
      <c r="E23" s="354"/>
      <c r="F23" s="355"/>
      <c r="G23" s="355"/>
      <c r="H23" s="355"/>
      <c r="I23" s="355"/>
      <c r="J23" s="355"/>
      <c r="K23" s="355"/>
      <c r="L23" s="355">
        <f>600/1000</f>
        <v>0.6</v>
      </c>
      <c r="M23" s="355"/>
      <c r="N23" s="355">
        <f>13153148.95/1000</f>
        <v>13153.148949999999</v>
      </c>
      <c r="O23" s="355"/>
      <c r="P23" s="355">
        <f>3600/1000</f>
        <v>3.6</v>
      </c>
      <c r="Q23" s="355">
        <f>3600/1000</f>
        <v>3.6</v>
      </c>
      <c r="R23" s="355"/>
      <c r="S23" s="355">
        <f>240000/1000</f>
        <v>240</v>
      </c>
      <c r="T23" s="356"/>
      <c r="U23" s="356"/>
      <c r="V23" s="356"/>
      <c r="W23" s="356"/>
      <c r="X23" s="356"/>
      <c r="Y23" s="354"/>
      <c r="Z23" s="355"/>
      <c r="AA23" s="354"/>
      <c r="AB23" s="355"/>
      <c r="AC23" s="357"/>
      <c r="AD23" s="358">
        <f t="shared" ref="AD23:AD28" si="3">SUM(C23:AC23)</f>
        <v>13400.94895</v>
      </c>
    </row>
    <row r="24" spans="1:30" s="46" customFormat="1">
      <c r="A24" s="108" t="s">
        <v>26</v>
      </c>
      <c r="B24" s="150" t="s">
        <v>282</v>
      </c>
      <c r="C24" s="57"/>
      <c r="D24" s="58"/>
      <c r="E24" s="354"/>
      <c r="F24" s="359">
        <f>126517.22/1000</f>
        <v>126.51721999999999</v>
      </c>
      <c r="G24" s="359"/>
      <c r="H24" s="359"/>
      <c r="I24" s="359"/>
      <c r="J24" s="359"/>
      <c r="K24" s="359">
        <f>112145.8/1000</f>
        <v>112.14580000000001</v>
      </c>
      <c r="L24" s="359">
        <f>703379.88/1000</f>
        <v>703.37987999999996</v>
      </c>
      <c r="M24" s="359"/>
      <c r="N24" s="359"/>
      <c r="O24" s="359">
        <f>68321.83/1000</f>
        <v>68.321830000000006</v>
      </c>
      <c r="P24" s="359"/>
      <c r="Q24" s="359"/>
      <c r="R24" s="359"/>
      <c r="S24" s="359">
        <f>5836474.59/1000</f>
        <v>5836.4745899999998</v>
      </c>
      <c r="T24" s="356"/>
      <c r="U24" s="356"/>
      <c r="V24" s="356"/>
      <c r="W24" s="356"/>
      <c r="X24" s="356"/>
      <c r="Y24" s="354"/>
      <c r="Z24" s="359"/>
      <c r="AA24" s="354"/>
      <c r="AB24" s="359"/>
      <c r="AC24" s="357"/>
      <c r="AD24" s="358">
        <f t="shared" si="3"/>
        <v>6846.83932</v>
      </c>
    </row>
    <row r="25" spans="1:30" s="46" customFormat="1">
      <c r="A25" s="108" t="s">
        <v>283</v>
      </c>
      <c r="B25" s="150" t="s">
        <v>284</v>
      </c>
      <c r="C25" s="57"/>
      <c r="D25" s="58"/>
      <c r="E25" s="354"/>
      <c r="F25" s="359"/>
      <c r="G25" s="359"/>
      <c r="H25" s="359"/>
      <c r="I25" s="359"/>
      <c r="J25" s="359"/>
      <c r="K25" s="359"/>
      <c r="L25" s="359"/>
      <c r="M25" s="359"/>
      <c r="N25" s="359"/>
      <c r="O25" s="359"/>
      <c r="P25" s="359"/>
      <c r="Q25" s="359"/>
      <c r="R25" s="359"/>
      <c r="S25" s="359"/>
      <c r="T25" s="356"/>
      <c r="U25" s="356"/>
      <c r="V25" s="356"/>
      <c r="W25" s="356"/>
      <c r="X25" s="356"/>
      <c r="Y25" s="354"/>
      <c r="Z25" s="359"/>
      <c r="AA25" s="354"/>
      <c r="AB25" s="359"/>
      <c r="AC25" s="357"/>
      <c r="AD25" s="358">
        <f t="shared" si="3"/>
        <v>0</v>
      </c>
    </row>
    <row r="26" spans="1:30" s="46" customFormat="1">
      <c r="A26" s="108" t="s">
        <v>285</v>
      </c>
      <c r="B26" s="150" t="s">
        <v>286</v>
      </c>
      <c r="C26" s="57"/>
      <c r="D26" s="58"/>
      <c r="E26" s="354"/>
      <c r="F26" s="359">
        <f>116731.31/1000</f>
        <v>116.73130999999999</v>
      </c>
      <c r="G26" s="359"/>
      <c r="H26" s="359"/>
      <c r="I26" s="359"/>
      <c r="J26" s="359">
        <f>3045.48/1000</f>
        <v>3.04548</v>
      </c>
      <c r="K26" s="359">
        <f>0.45/1000</f>
        <v>4.4999999999999999E-4</v>
      </c>
      <c r="L26" s="359">
        <f>26021.2/1000</f>
        <v>26.0212</v>
      </c>
      <c r="M26" s="359"/>
      <c r="N26" s="359">
        <f>8259359.38/1000</f>
        <v>8259.3593799999999</v>
      </c>
      <c r="O26" s="359">
        <f>55743.56/1000</f>
        <v>55.743559999999995</v>
      </c>
      <c r="P26" s="359"/>
      <c r="Q26" s="359"/>
      <c r="R26" s="359"/>
      <c r="S26" s="359"/>
      <c r="T26" s="356"/>
      <c r="U26" s="356"/>
      <c r="V26" s="356"/>
      <c r="W26" s="356"/>
      <c r="X26" s="356"/>
      <c r="Y26" s="354"/>
      <c r="Z26" s="359"/>
      <c r="AA26" s="354"/>
      <c r="AB26" s="359"/>
      <c r="AC26" s="357"/>
      <c r="AD26" s="358">
        <f t="shared" si="3"/>
        <v>8460.9013800000012</v>
      </c>
    </row>
    <row r="27" spans="1:30" s="46" customFormat="1">
      <c r="A27" s="108" t="s">
        <v>192</v>
      </c>
      <c r="B27" s="150" t="s">
        <v>287</v>
      </c>
      <c r="C27" s="59"/>
      <c r="D27" s="58"/>
      <c r="E27" s="354"/>
      <c r="F27" s="360"/>
      <c r="G27" s="360"/>
      <c r="H27" s="360"/>
      <c r="I27" s="360"/>
      <c r="J27" s="360"/>
      <c r="K27" s="360"/>
      <c r="L27" s="360"/>
      <c r="M27" s="360"/>
      <c r="N27" s="360">
        <f>58699842.77/1000</f>
        <v>58699.842770000003</v>
      </c>
      <c r="O27" s="360"/>
      <c r="P27" s="360"/>
      <c r="Q27" s="360"/>
      <c r="R27" s="360"/>
      <c r="S27" s="360"/>
      <c r="T27" s="356"/>
      <c r="U27" s="356"/>
      <c r="V27" s="356"/>
      <c r="W27" s="356"/>
      <c r="X27" s="356"/>
      <c r="Y27" s="354"/>
      <c r="Z27" s="360"/>
      <c r="AA27" s="354"/>
      <c r="AB27" s="360"/>
      <c r="AC27" s="361"/>
      <c r="AD27" s="362">
        <f t="shared" si="3"/>
        <v>58699.842770000003</v>
      </c>
    </row>
    <row r="28" spans="1:30" s="46" customFormat="1" ht="15">
      <c r="A28" s="431" t="s">
        <v>60</v>
      </c>
      <c r="B28" s="432"/>
      <c r="C28" s="57">
        <f>SUM(C23:C27)</f>
        <v>0</v>
      </c>
      <c r="D28" s="58">
        <f t="shared" ref="D28:AC28" si="4">SUM(D23:D27)</f>
        <v>0</v>
      </c>
      <c r="E28" s="354">
        <f t="shared" si="4"/>
        <v>0</v>
      </c>
      <c r="F28" s="359">
        <f t="shared" si="4"/>
        <v>243.24852999999999</v>
      </c>
      <c r="G28" s="359">
        <f t="shared" si="4"/>
        <v>0</v>
      </c>
      <c r="H28" s="359">
        <f t="shared" si="4"/>
        <v>0</v>
      </c>
      <c r="I28" s="359">
        <f t="shared" si="4"/>
        <v>0</v>
      </c>
      <c r="J28" s="359">
        <f t="shared" si="4"/>
        <v>3.04548</v>
      </c>
      <c r="K28" s="359">
        <f t="shared" si="4"/>
        <v>112.14625000000001</v>
      </c>
      <c r="L28" s="359">
        <f t="shared" si="4"/>
        <v>730.00108</v>
      </c>
      <c r="M28" s="359">
        <f t="shared" si="4"/>
        <v>0</v>
      </c>
      <c r="N28" s="359">
        <f t="shared" si="4"/>
        <v>80112.3511</v>
      </c>
      <c r="O28" s="359">
        <f t="shared" si="4"/>
        <v>124.06539000000001</v>
      </c>
      <c r="P28" s="359">
        <f t="shared" si="4"/>
        <v>3.6</v>
      </c>
      <c r="Q28" s="359">
        <f t="shared" si="4"/>
        <v>3.6</v>
      </c>
      <c r="R28" s="359">
        <f t="shared" si="4"/>
        <v>0</v>
      </c>
      <c r="S28" s="359">
        <f t="shared" si="4"/>
        <v>6076.4745899999998</v>
      </c>
      <c r="T28" s="356">
        <f t="shared" si="4"/>
        <v>0</v>
      </c>
      <c r="U28" s="356">
        <f t="shared" si="4"/>
        <v>0</v>
      </c>
      <c r="V28" s="356">
        <f t="shared" si="4"/>
        <v>0</v>
      </c>
      <c r="W28" s="356">
        <f t="shared" si="4"/>
        <v>0</v>
      </c>
      <c r="X28" s="356">
        <f t="shared" si="4"/>
        <v>0</v>
      </c>
      <c r="Y28" s="354">
        <f t="shared" si="4"/>
        <v>0</v>
      </c>
      <c r="Z28" s="359">
        <f t="shared" si="4"/>
        <v>0</v>
      </c>
      <c r="AA28" s="354">
        <f t="shared" si="4"/>
        <v>0</v>
      </c>
      <c r="AB28" s="359">
        <f t="shared" si="4"/>
        <v>0</v>
      </c>
      <c r="AC28" s="357">
        <f t="shared" si="4"/>
        <v>0</v>
      </c>
      <c r="AD28" s="358">
        <f t="shared" si="3"/>
        <v>87408.532420000018</v>
      </c>
    </row>
    <row r="29" spans="1:30" s="46" customFormat="1">
      <c r="A29" s="111"/>
      <c r="B29" s="48"/>
      <c r="C29" s="112"/>
      <c r="D29" s="60"/>
      <c r="E29" s="363"/>
      <c r="F29" s="364"/>
      <c r="G29" s="364"/>
      <c r="H29" s="364"/>
      <c r="I29" s="364"/>
      <c r="J29" s="364"/>
      <c r="K29" s="364"/>
      <c r="L29" s="364"/>
      <c r="M29" s="364"/>
      <c r="N29" s="364"/>
      <c r="O29" s="364"/>
      <c r="P29" s="364"/>
      <c r="Q29" s="364"/>
      <c r="R29" s="364"/>
      <c r="S29" s="364"/>
      <c r="T29" s="363"/>
      <c r="U29" s="363"/>
      <c r="V29" s="363"/>
      <c r="W29" s="363"/>
      <c r="X29" s="363"/>
      <c r="Y29" s="363"/>
      <c r="Z29" s="364"/>
      <c r="AA29" s="363"/>
      <c r="AB29" s="364"/>
      <c r="AC29" s="364"/>
      <c r="AD29" s="365"/>
    </row>
    <row r="30" spans="1:30" s="46" customFormat="1" ht="15">
      <c r="A30" s="113" t="s">
        <v>61</v>
      </c>
      <c r="B30" s="152" t="s">
        <v>288</v>
      </c>
      <c r="C30" s="112"/>
      <c r="D30" s="114"/>
      <c r="E30" s="366"/>
      <c r="F30" s="364"/>
      <c r="G30" s="364"/>
      <c r="H30" s="364"/>
      <c r="I30" s="364"/>
      <c r="J30" s="364"/>
      <c r="K30" s="364"/>
      <c r="L30" s="364"/>
      <c r="M30" s="364"/>
      <c r="N30" s="364"/>
      <c r="O30" s="364"/>
      <c r="P30" s="364"/>
      <c r="Q30" s="364"/>
      <c r="R30" s="364"/>
      <c r="S30" s="364"/>
      <c r="T30" s="366"/>
      <c r="U30" s="366"/>
      <c r="V30" s="366"/>
      <c r="W30" s="366"/>
      <c r="X30" s="366"/>
      <c r="Y30" s="366"/>
      <c r="Z30" s="364"/>
      <c r="AA30" s="366"/>
      <c r="AB30" s="364"/>
      <c r="AC30" s="364"/>
      <c r="AD30" s="365"/>
    </row>
    <row r="31" spans="1:30" s="46" customFormat="1">
      <c r="A31" s="108" t="s">
        <v>289</v>
      </c>
      <c r="B31" s="150" t="s">
        <v>290</v>
      </c>
      <c r="C31" s="61"/>
      <c r="D31" s="58"/>
      <c r="E31" s="354"/>
      <c r="F31" s="355">
        <f>389457.87/1000</f>
        <v>389.45787000000001</v>
      </c>
      <c r="G31" s="355"/>
      <c r="H31" s="355"/>
      <c r="I31" s="355"/>
      <c r="J31" s="355"/>
      <c r="K31" s="355"/>
      <c r="L31" s="355">
        <f>682.07/1000</f>
        <v>0.68207000000000007</v>
      </c>
      <c r="M31" s="355"/>
      <c r="N31" s="355">
        <f>108697.66/1000</f>
        <v>108.69766</v>
      </c>
      <c r="O31" s="355"/>
      <c r="P31" s="355"/>
      <c r="Q31" s="355"/>
      <c r="R31" s="355">
        <f>189396.51/1000</f>
        <v>189.39651000000001</v>
      </c>
      <c r="S31" s="355">
        <f>9512.64/1000</f>
        <v>9.5126399999999993</v>
      </c>
      <c r="T31" s="367"/>
      <c r="U31" s="356"/>
      <c r="V31" s="356"/>
      <c r="W31" s="356"/>
      <c r="X31" s="356"/>
      <c r="Y31" s="354"/>
      <c r="Z31" s="355"/>
      <c r="AA31" s="368"/>
      <c r="AB31" s="355"/>
      <c r="AC31" s="357"/>
      <c r="AD31" s="358">
        <f t="shared" ref="AD31:AD37" si="5">SUM(C31:AC31)</f>
        <v>697.74675000000002</v>
      </c>
    </row>
    <row r="32" spans="1:30" s="46" customFormat="1">
      <c r="A32" s="108" t="s">
        <v>291</v>
      </c>
      <c r="B32" s="150" t="s">
        <v>292</v>
      </c>
      <c r="C32" s="57"/>
      <c r="D32" s="58"/>
      <c r="E32" s="354"/>
      <c r="F32" s="359"/>
      <c r="G32" s="359"/>
      <c r="H32" s="359"/>
      <c r="I32" s="359"/>
      <c r="J32" s="359"/>
      <c r="K32" s="359"/>
      <c r="L32" s="359"/>
      <c r="M32" s="359"/>
      <c r="N32" s="359"/>
      <c r="O32" s="359"/>
      <c r="P32" s="359"/>
      <c r="Q32" s="359"/>
      <c r="R32" s="359"/>
      <c r="S32" s="359"/>
      <c r="T32" s="367"/>
      <c r="U32" s="356"/>
      <c r="V32" s="356"/>
      <c r="W32" s="356"/>
      <c r="X32" s="356"/>
      <c r="Y32" s="354"/>
      <c r="Z32" s="359"/>
      <c r="AA32" s="368"/>
      <c r="AB32" s="359"/>
      <c r="AC32" s="357"/>
      <c r="AD32" s="358">
        <f t="shared" si="5"/>
        <v>0</v>
      </c>
    </row>
    <row r="33" spans="1:30" s="46" customFormat="1">
      <c r="A33" s="108" t="s">
        <v>293</v>
      </c>
      <c r="B33" s="150" t="s">
        <v>294</v>
      </c>
      <c r="C33" s="57"/>
      <c r="D33" s="58"/>
      <c r="E33" s="356"/>
      <c r="F33" s="359"/>
      <c r="G33" s="359"/>
      <c r="H33" s="359"/>
      <c r="I33" s="359"/>
      <c r="J33" s="359"/>
      <c r="K33" s="359"/>
      <c r="L33" s="359"/>
      <c r="M33" s="359"/>
      <c r="N33" s="359"/>
      <c r="O33" s="359"/>
      <c r="P33" s="359"/>
      <c r="Q33" s="359"/>
      <c r="R33" s="359"/>
      <c r="S33" s="359"/>
      <c r="T33" s="367"/>
      <c r="U33" s="356"/>
      <c r="V33" s="356"/>
      <c r="W33" s="356"/>
      <c r="X33" s="356"/>
      <c r="Y33" s="354"/>
      <c r="Z33" s="359"/>
      <c r="AA33" s="368"/>
      <c r="AB33" s="359"/>
      <c r="AC33" s="357"/>
      <c r="AD33" s="358">
        <f t="shared" si="5"/>
        <v>0</v>
      </c>
    </row>
    <row r="34" spans="1:30" s="46" customFormat="1">
      <c r="A34" s="108" t="s">
        <v>295</v>
      </c>
      <c r="B34" s="150" t="s">
        <v>296</v>
      </c>
      <c r="C34" s="57"/>
      <c r="D34" s="58"/>
      <c r="E34" s="356"/>
      <c r="F34" s="359"/>
      <c r="G34" s="359"/>
      <c r="H34" s="359"/>
      <c r="I34" s="359"/>
      <c r="J34" s="359"/>
      <c r="K34" s="359"/>
      <c r="L34" s="359"/>
      <c r="M34" s="359"/>
      <c r="N34" s="359"/>
      <c r="O34" s="359"/>
      <c r="P34" s="359"/>
      <c r="Q34" s="359"/>
      <c r="R34" s="359"/>
      <c r="S34" s="359"/>
      <c r="T34" s="367"/>
      <c r="U34" s="356"/>
      <c r="V34" s="356"/>
      <c r="W34" s="356"/>
      <c r="X34" s="356"/>
      <c r="Y34" s="354"/>
      <c r="Z34" s="359"/>
      <c r="AA34" s="368"/>
      <c r="AB34" s="359"/>
      <c r="AC34" s="357"/>
      <c r="AD34" s="358">
        <f t="shared" si="5"/>
        <v>0</v>
      </c>
    </row>
    <row r="35" spans="1:30" s="46" customFormat="1">
      <c r="A35" s="108" t="s">
        <v>297</v>
      </c>
      <c r="B35" s="150" t="s">
        <v>298</v>
      </c>
      <c r="C35" s="57"/>
      <c r="D35" s="140"/>
      <c r="E35" s="356"/>
      <c r="F35" s="359"/>
      <c r="G35" s="359"/>
      <c r="H35" s="359"/>
      <c r="I35" s="359"/>
      <c r="J35" s="359"/>
      <c r="K35" s="359"/>
      <c r="L35" s="359"/>
      <c r="M35" s="359"/>
      <c r="N35" s="359"/>
      <c r="O35" s="359"/>
      <c r="P35" s="359"/>
      <c r="Q35" s="359"/>
      <c r="R35" s="359"/>
      <c r="S35" s="359"/>
      <c r="T35" s="367"/>
      <c r="U35" s="356"/>
      <c r="V35" s="356"/>
      <c r="W35" s="356"/>
      <c r="X35" s="356"/>
      <c r="Y35" s="354"/>
      <c r="Z35" s="359"/>
      <c r="AA35" s="368"/>
      <c r="AB35" s="359"/>
      <c r="AC35" s="357"/>
      <c r="AD35" s="358">
        <f t="shared" si="5"/>
        <v>0</v>
      </c>
    </row>
    <row r="36" spans="1:30" s="46" customFormat="1">
      <c r="A36" s="108" t="s">
        <v>299</v>
      </c>
      <c r="B36" s="150" t="s">
        <v>300</v>
      </c>
      <c r="C36" s="59"/>
      <c r="D36" s="58"/>
      <c r="E36" s="356"/>
      <c r="F36" s="360"/>
      <c r="G36" s="360"/>
      <c r="H36" s="360"/>
      <c r="I36" s="360"/>
      <c r="J36" s="360"/>
      <c r="K36" s="360"/>
      <c r="L36" s="360"/>
      <c r="M36" s="360"/>
      <c r="N36" s="360"/>
      <c r="O36" s="360"/>
      <c r="P36" s="360"/>
      <c r="Q36" s="360"/>
      <c r="R36" s="360"/>
      <c r="S36" s="360"/>
      <c r="T36" s="367"/>
      <c r="U36" s="356"/>
      <c r="V36" s="356"/>
      <c r="W36" s="356"/>
      <c r="X36" s="356"/>
      <c r="Y36" s="354"/>
      <c r="Z36" s="360"/>
      <c r="AA36" s="368"/>
      <c r="AB36" s="360"/>
      <c r="AC36" s="361"/>
      <c r="AD36" s="362">
        <f t="shared" si="5"/>
        <v>0</v>
      </c>
    </row>
    <row r="37" spans="1:30" s="46" customFormat="1" ht="15">
      <c r="A37" s="431" t="s">
        <v>62</v>
      </c>
      <c r="B37" s="432"/>
      <c r="C37" s="57">
        <f>SUM(C31:C36)</f>
        <v>0</v>
      </c>
      <c r="D37" s="140">
        <f t="shared" ref="D37:AC37" si="6">SUM(D31:D36)</f>
        <v>0</v>
      </c>
      <c r="E37" s="368">
        <f t="shared" si="6"/>
        <v>0</v>
      </c>
      <c r="F37" s="359">
        <f t="shared" si="6"/>
        <v>389.45787000000001</v>
      </c>
      <c r="G37" s="359">
        <f t="shared" si="6"/>
        <v>0</v>
      </c>
      <c r="H37" s="359">
        <f t="shared" si="6"/>
        <v>0</v>
      </c>
      <c r="I37" s="359">
        <f t="shared" si="6"/>
        <v>0</v>
      </c>
      <c r="J37" s="359">
        <f t="shared" si="6"/>
        <v>0</v>
      </c>
      <c r="K37" s="359">
        <f t="shared" si="6"/>
        <v>0</v>
      </c>
      <c r="L37" s="359">
        <f t="shared" si="6"/>
        <v>0.68207000000000007</v>
      </c>
      <c r="M37" s="359">
        <f t="shared" si="6"/>
        <v>0</v>
      </c>
      <c r="N37" s="359">
        <f t="shared" si="6"/>
        <v>108.69766</v>
      </c>
      <c r="O37" s="359">
        <f t="shared" si="6"/>
        <v>0</v>
      </c>
      <c r="P37" s="359">
        <f t="shared" si="6"/>
        <v>0</v>
      </c>
      <c r="Q37" s="359">
        <f t="shared" si="6"/>
        <v>0</v>
      </c>
      <c r="R37" s="359">
        <f t="shared" si="6"/>
        <v>189.39651000000001</v>
      </c>
      <c r="S37" s="359">
        <f t="shared" si="6"/>
        <v>9.5126399999999993</v>
      </c>
      <c r="T37" s="367">
        <f t="shared" si="6"/>
        <v>0</v>
      </c>
      <c r="U37" s="356">
        <f t="shared" si="6"/>
        <v>0</v>
      </c>
      <c r="V37" s="356">
        <f t="shared" si="6"/>
        <v>0</v>
      </c>
      <c r="W37" s="356">
        <f t="shared" si="6"/>
        <v>0</v>
      </c>
      <c r="X37" s="356">
        <f t="shared" si="6"/>
        <v>0</v>
      </c>
      <c r="Y37" s="354">
        <f t="shared" si="6"/>
        <v>0</v>
      </c>
      <c r="Z37" s="359">
        <f t="shared" si="6"/>
        <v>0</v>
      </c>
      <c r="AA37" s="368">
        <f t="shared" si="6"/>
        <v>0</v>
      </c>
      <c r="AB37" s="359">
        <f t="shared" si="6"/>
        <v>0</v>
      </c>
      <c r="AC37" s="357">
        <f t="shared" si="6"/>
        <v>0</v>
      </c>
      <c r="AD37" s="358">
        <f t="shared" si="5"/>
        <v>697.74675000000002</v>
      </c>
    </row>
    <row r="38" spans="1:30" s="46" customFormat="1">
      <c r="A38" s="111"/>
      <c r="B38" s="48"/>
      <c r="C38" s="112"/>
      <c r="D38" s="112"/>
      <c r="E38" s="363"/>
      <c r="F38" s="364"/>
      <c r="G38" s="364"/>
      <c r="H38" s="364"/>
      <c r="I38" s="364"/>
      <c r="J38" s="364"/>
      <c r="K38" s="364"/>
      <c r="L38" s="364"/>
      <c r="M38" s="364"/>
      <c r="N38" s="364"/>
      <c r="O38" s="364"/>
      <c r="P38" s="364"/>
      <c r="Q38" s="364"/>
      <c r="R38" s="364"/>
      <c r="S38" s="364"/>
      <c r="T38" s="363"/>
      <c r="U38" s="363"/>
      <c r="V38" s="363"/>
      <c r="W38" s="363"/>
      <c r="X38" s="363"/>
      <c r="Y38" s="363"/>
      <c r="Z38" s="364"/>
      <c r="AA38" s="363"/>
      <c r="AB38" s="364"/>
      <c r="AC38" s="364"/>
      <c r="AD38" s="365"/>
    </row>
    <row r="39" spans="1:30" s="46" customFormat="1" ht="15">
      <c r="A39" s="113" t="s">
        <v>63</v>
      </c>
      <c r="B39" s="152" t="s">
        <v>301</v>
      </c>
      <c r="C39" s="112"/>
      <c r="D39" s="114"/>
      <c r="E39" s="366"/>
      <c r="F39" s="364"/>
      <c r="G39" s="364"/>
      <c r="H39" s="364"/>
      <c r="I39" s="364"/>
      <c r="J39" s="364"/>
      <c r="K39" s="364"/>
      <c r="L39" s="364"/>
      <c r="M39" s="364"/>
      <c r="N39" s="364"/>
      <c r="O39" s="364"/>
      <c r="P39" s="364"/>
      <c r="Q39" s="364"/>
      <c r="R39" s="364"/>
      <c r="S39" s="364"/>
      <c r="T39" s="366"/>
      <c r="U39" s="366"/>
      <c r="V39" s="366"/>
      <c r="W39" s="366"/>
      <c r="X39" s="366"/>
      <c r="Y39" s="366"/>
      <c r="Z39" s="364"/>
      <c r="AA39" s="366"/>
      <c r="AB39" s="364"/>
      <c r="AC39" s="364"/>
      <c r="AD39" s="365"/>
    </row>
    <row r="40" spans="1:30" s="46" customFormat="1">
      <c r="A40" s="108" t="s">
        <v>238</v>
      </c>
      <c r="B40" s="150" t="s">
        <v>302</v>
      </c>
      <c r="C40" s="61"/>
      <c r="D40" s="58"/>
      <c r="E40" s="354"/>
      <c r="F40" s="355"/>
      <c r="G40" s="355"/>
      <c r="H40" s="355"/>
      <c r="I40" s="355"/>
      <c r="J40" s="355"/>
      <c r="K40" s="355"/>
      <c r="L40" s="355">
        <f>15918.46/1000</f>
        <v>15.91846</v>
      </c>
      <c r="M40" s="355"/>
      <c r="N40" s="355">
        <f>145859.66/1000</f>
        <v>145.85965999999999</v>
      </c>
      <c r="O40" s="355">
        <f>2515.85/1000</f>
        <v>2.5158499999999999</v>
      </c>
      <c r="P40" s="355"/>
      <c r="Q40" s="355"/>
      <c r="R40" s="355"/>
      <c r="S40" s="355"/>
      <c r="T40" s="367"/>
      <c r="U40" s="356"/>
      <c r="V40" s="356"/>
      <c r="W40" s="356"/>
      <c r="X40" s="356"/>
      <c r="Y40" s="354"/>
      <c r="Z40" s="355"/>
      <c r="AA40" s="368"/>
      <c r="AB40" s="355"/>
      <c r="AC40" s="357"/>
      <c r="AD40" s="358">
        <f t="shared" ref="AD40:AD47" si="7">SUM(C40:AC40)</f>
        <v>164.29397</v>
      </c>
    </row>
    <row r="41" spans="1:30" s="46" customFormat="1">
      <c r="A41" s="108" t="s">
        <v>29</v>
      </c>
      <c r="B41" s="150" t="s">
        <v>303</v>
      </c>
      <c r="C41" s="57"/>
      <c r="D41" s="58"/>
      <c r="E41" s="356"/>
      <c r="F41" s="359"/>
      <c r="G41" s="359"/>
      <c r="H41" s="359"/>
      <c r="I41" s="359"/>
      <c r="J41" s="359"/>
      <c r="K41" s="359"/>
      <c r="L41" s="359"/>
      <c r="M41" s="359"/>
      <c r="N41" s="359"/>
      <c r="O41" s="359"/>
      <c r="P41" s="359"/>
      <c r="Q41" s="359"/>
      <c r="R41" s="359"/>
      <c r="S41" s="359"/>
      <c r="T41" s="367"/>
      <c r="U41" s="356"/>
      <c r="V41" s="356"/>
      <c r="W41" s="356"/>
      <c r="X41" s="356"/>
      <c r="Y41" s="354"/>
      <c r="Z41" s="359"/>
      <c r="AA41" s="368"/>
      <c r="AB41" s="359"/>
      <c r="AC41" s="357"/>
      <c r="AD41" s="358">
        <f t="shared" si="7"/>
        <v>0</v>
      </c>
    </row>
    <row r="42" spans="1:30" s="46" customFormat="1">
      <c r="A42" s="108" t="s">
        <v>30</v>
      </c>
      <c r="B42" s="150" t="s">
        <v>304</v>
      </c>
      <c r="C42" s="57"/>
      <c r="D42" s="140"/>
      <c r="E42" s="356"/>
      <c r="F42" s="359"/>
      <c r="G42" s="359"/>
      <c r="H42" s="359"/>
      <c r="I42" s="359"/>
      <c r="J42" s="359"/>
      <c r="K42" s="359"/>
      <c r="L42" s="359"/>
      <c r="M42" s="359"/>
      <c r="N42" s="359">
        <f>34646.75/1000</f>
        <v>34.646749999999997</v>
      </c>
      <c r="O42" s="359">
        <f>8897/1000</f>
        <v>8.8970000000000002</v>
      </c>
      <c r="P42" s="359"/>
      <c r="Q42" s="359"/>
      <c r="R42" s="359"/>
      <c r="S42" s="359">
        <f>188016.13/1000</f>
        <v>188.01613</v>
      </c>
      <c r="T42" s="367"/>
      <c r="U42" s="356"/>
      <c r="V42" s="356"/>
      <c r="W42" s="356"/>
      <c r="X42" s="356"/>
      <c r="Y42" s="354"/>
      <c r="Z42" s="359"/>
      <c r="AA42" s="368"/>
      <c r="AB42" s="359"/>
      <c r="AC42" s="357"/>
      <c r="AD42" s="358">
        <f t="shared" si="7"/>
        <v>231.55987999999999</v>
      </c>
    </row>
    <row r="43" spans="1:30" s="46" customFormat="1">
      <c r="A43" s="108" t="s">
        <v>31</v>
      </c>
      <c r="B43" s="150" t="s">
        <v>305</v>
      </c>
      <c r="C43" s="57"/>
      <c r="D43" s="58"/>
      <c r="E43" s="356"/>
      <c r="F43" s="359"/>
      <c r="G43" s="359"/>
      <c r="H43" s="359"/>
      <c r="I43" s="359"/>
      <c r="J43" s="359"/>
      <c r="K43" s="359"/>
      <c r="L43" s="359"/>
      <c r="M43" s="359"/>
      <c r="N43" s="359"/>
      <c r="O43" s="359"/>
      <c r="P43" s="359"/>
      <c r="Q43" s="359"/>
      <c r="R43" s="359"/>
      <c r="S43" s="359"/>
      <c r="T43" s="367"/>
      <c r="U43" s="356"/>
      <c r="V43" s="356"/>
      <c r="W43" s="356"/>
      <c r="X43" s="356"/>
      <c r="Y43" s="354"/>
      <c r="Z43" s="359"/>
      <c r="AA43" s="368"/>
      <c r="AB43" s="359"/>
      <c r="AC43" s="357"/>
      <c r="AD43" s="358">
        <f t="shared" si="7"/>
        <v>0</v>
      </c>
    </row>
    <row r="44" spans="1:30" s="46" customFormat="1">
      <c r="A44" s="108" t="s">
        <v>32</v>
      </c>
      <c r="B44" s="150" t="s">
        <v>306</v>
      </c>
      <c r="C44" s="57"/>
      <c r="D44" s="58"/>
      <c r="E44" s="356"/>
      <c r="F44" s="359"/>
      <c r="G44" s="359"/>
      <c r="H44" s="359"/>
      <c r="I44" s="359"/>
      <c r="J44" s="359"/>
      <c r="K44" s="359"/>
      <c r="L44" s="359"/>
      <c r="M44" s="359"/>
      <c r="N44" s="359"/>
      <c r="O44" s="359"/>
      <c r="P44" s="359"/>
      <c r="Q44" s="359"/>
      <c r="R44" s="359"/>
      <c r="S44" s="359"/>
      <c r="T44" s="367"/>
      <c r="U44" s="356"/>
      <c r="V44" s="356"/>
      <c r="W44" s="356"/>
      <c r="X44" s="356"/>
      <c r="Y44" s="354"/>
      <c r="Z44" s="359"/>
      <c r="AA44" s="368"/>
      <c r="AB44" s="359"/>
      <c r="AC44" s="357"/>
      <c r="AD44" s="358">
        <f t="shared" si="7"/>
        <v>0</v>
      </c>
    </row>
    <row r="45" spans="1:30" s="46" customFormat="1">
      <c r="A45" s="108" t="s">
        <v>33</v>
      </c>
      <c r="B45" s="150" t="s">
        <v>307</v>
      </c>
      <c r="C45" s="57"/>
      <c r="D45" s="58"/>
      <c r="E45" s="356"/>
      <c r="F45" s="359">
        <f>288932.95/1000</f>
        <v>288.93295000000001</v>
      </c>
      <c r="G45" s="359"/>
      <c r="H45" s="359"/>
      <c r="I45" s="359"/>
      <c r="J45" s="359"/>
      <c r="K45" s="359"/>
      <c r="L45" s="359">
        <f>6539.39/1000</f>
        <v>6.53939</v>
      </c>
      <c r="M45" s="359"/>
      <c r="N45" s="359">
        <f>41389.06/1000</f>
        <v>41.389060000000001</v>
      </c>
      <c r="O45" s="359">
        <f>20840.33/1000</f>
        <v>20.840330000000002</v>
      </c>
      <c r="P45" s="359"/>
      <c r="Q45" s="359"/>
      <c r="R45" s="359"/>
      <c r="S45" s="359">
        <f>22143.43/1000</f>
        <v>22.143429999999999</v>
      </c>
      <c r="T45" s="367"/>
      <c r="U45" s="356"/>
      <c r="V45" s="356"/>
      <c r="W45" s="356"/>
      <c r="X45" s="356"/>
      <c r="Y45" s="354"/>
      <c r="Z45" s="359"/>
      <c r="AA45" s="368"/>
      <c r="AB45" s="359"/>
      <c r="AC45" s="357"/>
      <c r="AD45" s="358">
        <f t="shared" si="7"/>
        <v>379.84516000000002</v>
      </c>
    </row>
    <row r="46" spans="1:30" s="46" customFormat="1">
      <c r="A46" s="108" t="s">
        <v>34</v>
      </c>
      <c r="B46" s="150" t="s">
        <v>308</v>
      </c>
      <c r="C46" s="59"/>
      <c r="D46" s="58"/>
      <c r="E46" s="356"/>
      <c r="F46" s="360">
        <f>1100/1000</f>
        <v>1.1000000000000001</v>
      </c>
      <c r="G46" s="360"/>
      <c r="H46" s="360"/>
      <c r="I46" s="360"/>
      <c r="J46" s="360"/>
      <c r="K46" s="360"/>
      <c r="L46" s="360"/>
      <c r="M46" s="360"/>
      <c r="N46" s="360"/>
      <c r="O46" s="360"/>
      <c r="P46" s="360"/>
      <c r="Q46" s="360"/>
      <c r="R46" s="360"/>
      <c r="S46" s="360"/>
      <c r="T46" s="367"/>
      <c r="U46" s="356"/>
      <c r="V46" s="356"/>
      <c r="W46" s="356"/>
      <c r="X46" s="356"/>
      <c r="Y46" s="354"/>
      <c r="Z46" s="360"/>
      <c r="AA46" s="368"/>
      <c r="AB46" s="360"/>
      <c r="AC46" s="361"/>
      <c r="AD46" s="362">
        <f t="shared" si="7"/>
        <v>1.1000000000000001</v>
      </c>
    </row>
    <row r="47" spans="1:30" s="46" customFormat="1" ht="15">
      <c r="A47" s="431" t="s">
        <v>64</v>
      </c>
      <c r="B47" s="432"/>
      <c r="C47" s="57">
        <f>SUM(C40:C46)</f>
        <v>0</v>
      </c>
      <c r="D47" s="140">
        <f t="shared" ref="D47:AC47" si="8">SUM(D40:D46)</f>
        <v>0</v>
      </c>
      <c r="E47" s="354">
        <f t="shared" si="8"/>
        <v>0</v>
      </c>
      <c r="F47" s="359">
        <f t="shared" si="8"/>
        <v>290.03295000000003</v>
      </c>
      <c r="G47" s="359">
        <f t="shared" si="8"/>
        <v>0</v>
      </c>
      <c r="H47" s="359">
        <f t="shared" si="8"/>
        <v>0</v>
      </c>
      <c r="I47" s="359">
        <f t="shared" si="8"/>
        <v>0</v>
      </c>
      <c r="J47" s="359">
        <f t="shared" si="8"/>
        <v>0</v>
      </c>
      <c r="K47" s="359">
        <f t="shared" si="8"/>
        <v>0</v>
      </c>
      <c r="L47" s="359">
        <f t="shared" si="8"/>
        <v>22.457850000000001</v>
      </c>
      <c r="M47" s="359">
        <f t="shared" si="8"/>
        <v>0</v>
      </c>
      <c r="N47" s="359">
        <f t="shared" si="8"/>
        <v>221.89546999999999</v>
      </c>
      <c r="O47" s="359">
        <f t="shared" si="8"/>
        <v>32.25318</v>
      </c>
      <c r="P47" s="359">
        <f t="shared" si="8"/>
        <v>0</v>
      </c>
      <c r="Q47" s="359">
        <f t="shared" si="8"/>
        <v>0</v>
      </c>
      <c r="R47" s="359">
        <f t="shared" si="8"/>
        <v>0</v>
      </c>
      <c r="S47" s="359">
        <f t="shared" si="8"/>
        <v>210.15956</v>
      </c>
      <c r="T47" s="367">
        <f t="shared" si="8"/>
        <v>0</v>
      </c>
      <c r="U47" s="356">
        <f t="shared" si="8"/>
        <v>0</v>
      </c>
      <c r="V47" s="356">
        <f t="shared" si="8"/>
        <v>0</v>
      </c>
      <c r="W47" s="356">
        <f t="shared" si="8"/>
        <v>0</v>
      </c>
      <c r="X47" s="356">
        <f t="shared" si="8"/>
        <v>0</v>
      </c>
      <c r="Y47" s="354">
        <f t="shared" si="8"/>
        <v>0</v>
      </c>
      <c r="Z47" s="359">
        <f t="shared" si="8"/>
        <v>0</v>
      </c>
      <c r="AA47" s="368">
        <f t="shared" si="8"/>
        <v>0</v>
      </c>
      <c r="AB47" s="359">
        <f t="shared" si="8"/>
        <v>0</v>
      </c>
      <c r="AC47" s="357">
        <f t="shared" si="8"/>
        <v>0</v>
      </c>
      <c r="AD47" s="358">
        <f t="shared" si="7"/>
        <v>776.79900999999995</v>
      </c>
    </row>
    <row r="48" spans="1:30" s="46" customFormat="1">
      <c r="A48" s="111"/>
      <c r="B48" s="48"/>
      <c r="C48" s="112"/>
      <c r="D48" s="112"/>
      <c r="E48" s="363"/>
      <c r="F48" s="364"/>
      <c r="G48" s="364"/>
      <c r="H48" s="364"/>
      <c r="I48" s="364"/>
      <c r="J48" s="364"/>
      <c r="K48" s="364"/>
      <c r="L48" s="364"/>
      <c r="M48" s="364"/>
      <c r="N48" s="364"/>
      <c r="O48" s="364"/>
      <c r="P48" s="364"/>
      <c r="Q48" s="364"/>
      <c r="R48" s="364">
        <v>2</v>
      </c>
      <c r="S48" s="364"/>
      <c r="T48" s="363"/>
      <c r="U48" s="363"/>
      <c r="V48" s="363"/>
      <c r="W48" s="363"/>
      <c r="X48" s="363"/>
      <c r="Y48" s="363"/>
      <c r="Z48" s="364"/>
      <c r="AA48" s="363"/>
      <c r="AB48" s="364"/>
      <c r="AC48" s="364"/>
      <c r="AD48" s="365"/>
    </row>
    <row r="49" spans="1:30" s="46" customFormat="1" ht="15">
      <c r="A49" s="113" t="s">
        <v>65</v>
      </c>
      <c r="B49" s="152" t="s">
        <v>309</v>
      </c>
      <c r="C49" s="112"/>
      <c r="D49" s="114"/>
      <c r="E49" s="366"/>
      <c r="F49" s="364"/>
      <c r="G49" s="364"/>
      <c r="H49" s="364"/>
      <c r="I49" s="364"/>
      <c r="J49" s="364"/>
      <c r="K49" s="364"/>
      <c r="L49" s="364"/>
      <c r="M49" s="364"/>
      <c r="N49" s="364"/>
      <c r="O49" s="364"/>
      <c r="P49" s="364"/>
      <c r="Q49" s="364"/>
      <c r="R49" s="364"/>
      <c r="S49" s="364"/>
      <c r="T49" s="366"/>
      <c r="U49" s="366"/>
      <c r="V49" s="366"/>
      <c r="W49" s="366"/>
      <c r="X49" s="366"/>
      <c r="Y49" s="366"/>
      <c r="Z49" s="364"/>
      <c r="AA49" s="366"/>
      <c r="AB49" s="364"/>
      <c r="AC49" s="364"/>
      <c r="AD49" s="365"/>
    </row>
    <row r="50" spans="1:30" s="46" customFormat="1">
      <c r="A50" s="108" t="s">
        <v>35</v>
      </c>
      <c r="B50" s="150" t="s">
        <v>310</v>
      </c>
      <c r="C50" s="61"/>
      <c r="D50" s="58"/>
      <c r="E50" s="354"/>
      <c r="F50" s="355"/>
      <c r="G50" s="355"/>
      <c r="H50" s="355"/>
      <c r="I50" s="355"/>
      <c r="J50" s="355"/>
      <c r="K50" s="355"/>
      <c r="L50" s="355"/>
      <c r="M50" s="355"/>
      <c r="N50" s="355"/>
      <c r="O50" s="355"/>
      <c r="P50" s="355"/>
      <c r="Q50" s="355"/>
      <c r="R50" s="355"/>
      <c r="S50" s="355"/>
      <c r="T50" s="356"/>
      <c r="U50" s="356"/>
      <c r="V50" s="356"/>
      <c r="W50" s="356"/>
      <c r="X50" s="356"/>
      <c r="Y50" s="354"/>
      <c r="Z50" s="355"/>
      <c r="AA50" s="354"/>
      <c r="AB50" s="355"/>
      <c r="AC50" s="357"/>
      <c r="AD50" s="358">
        <f>SUM(C50:AC50)</f>
        <v>0</v>
      </c>
    </row>
    <row r="51" spans="1:30" s="46" customFormat="1">
      <c r="A51" s="108" t="s">
        <v>36</v>
      </c>
      <c r="B51" s="150" t="s">
        <v>311</v>
      </c>
      <c r="C51" s="57"/>
      <c r="D51" s="58"/>
      <c r="E51" s="354"/>
      <c r="F51" s="359"/>
      <c r="G51" s="359"/>
      <c r="H51" s="359"/>
      <c r="I51" s="359"/>
      <c r="J51" s="359"/>
      <c r="K51" s="359"/>
      <c r="L51" s="359">
        <f>-200/1000</f>
        <v>-0.2</v>
      </c>
      <c r="M51" s="359"/>
      <c r="N51" s="359">
        <f>934357.21/1000</f>
        <v>934.35721000000001</v>
      </c>
      <c r="O51" s="359">
        <f>2025/1000</f>
        <v>2.0249999999999999</v>
      </c>
      <c r="P51" s="359"/>
      <c r="Q51" s="359"/>
      <c r="R51" s="359"/>
      <c r="S51" s="359"/>
      <c r="T51" s="356"/>
      <c r="U51" s="356"/>
      <c r="V51" s="356"/>
      <c r="W51" s="356"/>
      <c r="X51" s="356"/>
      <c r="Y51" s="354"/>
      <c r="Z51" s="359"/>
      <c r="AA51" s="354"/>
      <c r="AB51" s="359"/>
      <c r="AC51" s="357"/>
      <c r="AD51" s="358">
        <f>SUM(C51:AC51)</f>
        <v>936.18220999999994</v>
      </c>
    </row>
    <row r="52" spans="1:30" s="46" customFormat="1">
      <c r="A52" s="108" t="s">
        <v>312</v>
      </c>
      <c r="B52" s="150" t="s">
        <v>313</v>
      </c>
      <c r="C52" s="59"/>
      <c r="D52" s="58"/>
      <c r="E52" s="354"/>
      <c r="F52" s="360"/>
      <c r="G52" s="360"/>
      <c r="H52" s="360"/>
      <c r="I52" s="360"/>
      <c r="J52" s="360">
        <f>16631.46/1000</f>
        <v>16.631460000000001</v>
      </c>
      <c r="K52" s="360">
        <f>497/1000</f>
        <v>0.497</v>
      </c>
      <c r="L52" s="360"/>
      <c r="M52" s="360"/>
      <c r="N52" s="360">
        <f>110127.62/1000</f>
        <v>110.12761999999999</v>
      </c>
      <c r="O52" s="360">
        <f>6329.7/1000</f>
        <v>6.3296999999999999</v>
      </c>
      <c r="P52" s="360">
        <f>304242.12/1000</f>
        <v>304.24212</v>
      </c>
      <c r="Q52" s="360">
        <f>1232531.57/1000</f>
        <v>1232.5315700000001</v>
      </c>
      <c r="R52" s="360">
        <f>122722.22/1000</f>
        <v>122.72222000000001</v>
      </c>
      <c r="S52" s="360">
        <f>45000/1000</f>
        <v>45</v>
      </c>
      <c r="T52" s="356"/>
      <c r="U52" s="356"/>
      <c r="V52" s="356"/>
      <c r="W52" s="356"/>
      <c r="X52" s="356"/>
      <c r="Y52" s="354"/>
      <c r="Z52" s="360"/>
      <c r="AA52" s="354"/>
      <c r="AB52" s="360"/>
      <c r="AC52" s="361"/>
      <c r="AD52" s="362">
        <f>SUM(C52:AC52)</f>
        <v>1838.0816900000002</v>
      </c>
    </row>
    <row r="53" spans="1:30" s="46" customFormat="1" ht="15">
      <c r="A53" s="431" t="s">
        <v>66</v>
      </c>
      <c r="B53" s="432"/>
      <c r="C53" s="57">
        <f>+SUM(C50:C52)</f>
        <v>0</v>
      </c>
      <c r="D53" s="58">
        <f t="shared" ref="D53:AC53" si="9">+SUM(D50:D52)</f>
        <v>0</v>
      </c>
      <c r="E53" s="354">
        <f t="shared" si="9"/>
        <v>0</v>
      </c>
      <c r="F53" s="359">
        <f t="shared" si="9"/>
        <v>0</v>
      </c>
      <c r="G53" s="359">
        <f t="shared" si="9"/>
        <v>0</v>
      </c>
      <c r="H53" s="359">
        <f t="shared" si="9"/>
        <v>0</v>
      </c>
      <c r="I53" s="359">
        <f t="shared" si="9"/>
        <v>0</v>
      </c>
      <c r="J53" s="359">
        <f t="shared" si="9"/>
        <v>16.631460000000001</v>
      </c>
      <c r="K53" s="359">
        <f t="shared" si="9"/>
        <v>0.497</v>
      </c>
      <c r="L53" s="359">
        <f t="shared" si="9"/>
        <v>-0.2</v>
      </c>
      <c r="M53" s="359">
        <f t="shared" si="9"/>
        <v>0</v>
      </c>
      <c r="N53" s="359">
        <f t="shared" si="9"/>
        <v>1044.4848300000001</v>
      </c>
      <c r="O53" s="359">
        <f t="shared" si="9"/>
        <v>8.3546999999999993</v>
      </c>
      <c r="P53" s="359">
        <f t="shared" si="9"/>
        <v>304.24212</v>
      </c>
      <c r="Q53" s="359">
        <f t="shared" si="9"/>
        <v>1232.5315700000001</v>
      </c>
      <c r="R53" s="359">
        <f t="shared" si="9"/>
        <v>122.72222000000001</v>
      </c>
      <c r="S53" s="359">
        <f t="shared" si="9"/>
        <v>45</v>
      </c>
      <c r="T53" s="356">
        <f t="shared" si="9"/>
        <v>0</v>
      </c>
      <c r="U53" s="356">
        <f t="shared" si="9"/>
        <v>0</v>
      </c>
      <c r="V53" s="356">
        <f t="shared" si="9"/>
        <v>0</v>
      </c>
      <c r="W53" s="356">
        <f t="shared" si="9"/>
        <v>0</v>
      </c>
      <c r="X53" s="356">
        <f t="shared" si="9"/>
        <v>0</v>
      </c>
      <c r="Y53" s="354">
        <f t="shared" si="9"/>
        <v>0</v>
      </c>
      <c r="Z53" s="359">
        <f t="shared" si="9"/>
        <v>0</v>
      </c>
      <c r="AA53" s="354">
        <f t="shared" si="9"/>
        <v>0</v>
      </c>
      <c r="AB53" s="359">
        <f t="shared" si="9"/>
        <v>0</v>
      </c>
      <c r="AC53" s="357">
        <f t="shared" si="9"/>
        <v>0</v>
      </c>
      <c r="AD53" s="358">
        <f>SUM(C53:AC53)</f>
        <v>2774.2639000000004</v>
      </c>
    </row>
    <row r="54" spans="1:30" s="46" customFormat="1">
      <c r="A54" s="111"/>
      <c r="B54" s="48"/>
      <c r="C54" s="112"/>
      <c r="D54" s="60"/>
      <c r="E54" s="363"/>
      <c r="F54" s="364"/>
      <c r="G54" s="364"/>
      <c r="H54" s="364"/>
      <c r="I54" s="364"/>
      <c r="J54" s="364"/>
      <c r="K54" s="364"/>
      <c r="L54" s="364"/>
      <c r="M54" s="364"/>
      <c r="N54" s="364"/>
      <c r="O54" s="364"/>
      <c r="P54" s="364"/>
      <c r="Q54" s="364"/>
      <c r="R54" s="364"/>
      <c r="S54" s="364"/>
      <c r="T54" s="363"/>
      <c r="U54" s="363"/>
      <c r="V54" s="363"/>
      <c r="W54" s="363"/>
      <c r="X54" s="363"/>
      <c r="Y54" s="363"/>
      <c r="Z54" s="364"/>
      <c r="AA54" s="363"/>
      <c r="AB54" s="364"/>
      <c r="AC54" s="364"/>
      <c r="AD54" s="365"/>
    </row>
    <row r="55" spans="1:30" s="46" customFormat="1" ht="15">
      <c r="A55" s="113" t="s">
        <v>67</v>
      </c>
      <c r="B55" s="152" t="s">
        <v>314</v>
      </c>
      <c r="C55" s="112"/>
      <c r="D55" s="114"/>
      <c r="E55" s="366"/>
      <c r="F55" s="364"/>
      <c r="G55" s="364"/>
      <c r="H55" s="364"/>
      <c r="I55" s="364"/>
      <c r="J55" s="364"/>
      <c r="K55" s="364"/>
      <c r="L55" s="364"/>
      <c r="M55" s="364"/>
      <c r="N55" s="364"/>
      <c r="O55" s="364"/>
      <c r="P55" s="364"/>
      <c r="Q55" s="364"/>
      <c r="R55" s="364"/>
      <c r="S55" s="364"/>
      <c r="T55" s="366"/>
      <c r="U55" s="366"/>
      <c r="V55" s="366"/>
      <c r="W55" s="366"/>
      <c r="X55" s="366"/>
      <c r="Y55" s="366"/>
      <c r="Z55" s="364"/>
      <c r="AA55" s="366"/>
      <c r="AB55" s="364"/>
      <c r="AC55" s="364"/>
      <c r="AD55" s="365"/>
    </row>
    <row r="56" spans="1:30" s="46" customFormat="1">
      <c r="A56" s="108" t="s">
        <v>315</v>
      </c>
      <c r="B56" s="150" t="s">
        <v>316</v>
      </c>
      <c r="C56" s="61"/>
      <c r="D56" s="58"/>
      <c r="E56" s="354"/>
      <c r="F56" s="355"/>
      <c r="G56" s="355"/>
      <c r="H56" s="355"/>
      <c r="I56" s="355"/>
      <c r="J56" s="355"/>
      <c r="K56" s="355"/>
      <c r="L56" s="355">
        <f>6315.52/1000</f>
        <v>6.3155200000000002</v>
      </c>
      <c r="M56" s="355"/>
      <c r="N56" s="355"/>
      <c r="O56" s="355"/>
      <c r="P56" s="355"/>
      <c r="Q56" s="355"/>
      <c r="R56" s="355"/>
      <c r="S56" s="355"/>
      <c r="T56" s="356"/>
      <c r="U56" s="356"/>
      <c r="V56" s="356"/>
      <c r="W56" s="356"/>
      <c r="X56" s="356"/>
      <c r="Y56" s="354"/>
      <c r="Z56" s="355"/>
      <c r="AA56" s="354"/>
      <c r="AB56" s="355"/>
      <c r="AC56" s="357"/>
      <c r="AD56" s="358">
        <f>SUM(C56:AC56)</f>
        <v>6.3155200000000002</v>
      </c>
    </row>
    <row r="57" spans="1:30" s="46" customFormat="1">
      <c r="A57" s="108" t="s">
        <v>239</v>
      </c>
      <c r="B57" s="150" t="s">
        <v>317</v>
      </c>
      <c r="C57" s="57"/>
      <c r="D57" s="58"/>
      <c r="E57" s="354"/>
      <c r="F57" s="359"/>
      <c r="G57" s="359"/>
      <c r="H57" s="359"/>
      <c r="I57" s="359"/>
      <c r="J57" s="359"/>
      <c r="K57" s="359"/>
      <c r="L57" s="359"/>
      <c r="M57" s="359">
        <f>2000/1000</f>
        <v>2</v>
      </c>
      <c r="N57" s="359">
        <f>1402444.15/1000</f>
        <v>1402.4441499999998</v>
      </c>
      <c r="O57" s="359"/>
      <c r="P57" s="359"/>
      <c r="Q57" s="359"/>
      <c r="R57" s="359"/>
      <c r="S57" s="359">
        <f>20471.52/1000</f>
        <v>20.471520000000002</v>
      </c>
      <c r="T57" s="356"/>
      <c r="U57" s="356"/>
      <c r="V57" s="356"/>
      <c r="W57" s="356"/>
      <c r="X57" s="356"/>
      <c r="Y57" s="354"/>
      <c r="Z57" s="359"/>
      <c r="AA57" s="354"/>
      <c r="AB57" s="359"/>
      <c r="AC57" s="357"/>
      <c r="AD57" s="358">
        <f>SUM(C57:AC57)</f>
        <v>1424.9156699999999</v>
      </c>
    </row>
    <row r="58" spans="1:30" s="46" customFormat="1">
      <c r="A58" s="108" t="s">
        <v>240</v>
      </c>
      <c r="B58" s="150" t="s">
        <v>318</v>
      </c>
      <c r="C58" s="57"/>
      <c r="D58" s="58"/>
      <c r="E58" s="354"/>
      <c r="F58" s="359"/>
      <c r="G58" s="359"/>
      <c r="H58" s="359"/>
      <c r="I58" s="359"/>
      <c r="J58" s="359"/>
      <c r="K58" s="359"/>
      <c r="L58" s="359"/>
      <c r="M58" s="359">
        <f>7704238.55/1000</f>
        <v>7704.23855</v>
      </c>
      <c r="N58" s="359"/>
      <c r="O58" s="359"/>
      <c r="P58" s="359"/>
      <c r="Q58" s="359"/>
      <c r="R58" s="359">
        <f>6975868.27/1000</f>
        <v>6975.8682699999999</v>
      </c>
      <c r="S58" s="359"/>
      <c r="T58" s="356"/>
      <c r="U58" s="356"/>
      <c r="V58" s="356"/>
      <c r="W58" s="356"/>
      <c r="X58" s="356"/>
      <c r="Y58" s="354"/>
      <c r="Z58" s="359"/>
      <c r="AA58" s="354"/>
      <c r="AB58" s="359"/>
      <c r="AC58" s="357"/>
      <c r="AD58" s="358">
        <f>SUM(C58:AC58)</f>
        <v>14680.106820000001</v>
      </c>
    </row>
    <row r="59" spans="1:30" s="46" customFormat="1">
      <c r="A59" s="108" t="s">
        <v>241</v>
      </c>
      <c r="B59" s="150" t="s">
        <v>319</v>
      </c>
      <c r="C59" s="59"/>
      <c r="D59" s="58"/>
      <c r="E59" s="354"/>
      <c r="F59" s="360"/>
      <c r="G59" s="360"/>
      <c r="H59" s="360"/>
      <c r="I59" s="360"/>
      <c r="J59" s="360"/>
      <c r="K59" s="360"/>
      <c r="L59" s="360"/>
      <c r="M59" s="360"/>
      <c r="N59" s="360"/>
      <c r="O59" s="360"/>
      <c r="P59" s="360"/>
      <c r="Q59" s="360">
        <f>767761/1000</f>
        <v>767.76099999999997</v>
      </c>
      <c r="R59" s="360"/>
      <c r="S59" s="360"/>
      <c r="T59" s="356"/>
      <c r="U59" s="356"/>
      <c r="V59" s="356"/>
      <c r="W59" s="356"/>
      <c r="X59" s="356"/>
      <c r="Y59" s="354"/>
      <c r="Z59" s="360"/>
      <c r="AA59" s="354"/>
      <c r="AB59" s="360"/>
      <c r="AC59" s="361"/>
      <c r="AD59" s="362">
        <f>SUM(C59:AC59)</f>
        <v>767.76099999999997</v>
      </c>
    </row>
    <row r="60" spans="1:30" s="128" customFormat="1" ht="15">
      <c r="A60" s="431" t="s">
        <v>68</v>
      </c>
      <c r="B60" s="432"/>
      <c r="C60" s="57">
        <f>+SUM(C56:C59)</f>
        <v>0</v>
      </c>
      <c r="D60" s="58">
        <f t="shared" ref="D60:AC60" si="10">+SUM(D56:D59)</f>
        <v>0</v>
      </c>
      <c r="E60" s="354">
        <f t="shared" si="10"/>
        <v>0</v>
      </c>
      <c r="F60" s="359">
        <f t="shared" si="10"/>
        <v>0</v>
      </c>
      <c r="G60" s="359">
        <f t="shared" si="10"/>
        <v>0</v>
      </c>
      <c r="H60" s="359">
        <f t="shared" si="10"/>
        <v>0</v>
      </c>
      <c r="I60" s="359">
        <f t="shared" si="10"/>
        <v>0</v>
      </c>
      <c r="J60" s="359">
        <f t="shared" si="10"/>
        <v>0</v>
      </c>
      <c r="K60" s="359">
        <f t="shared" si="10"/>
        <v>0</v>
      </c>
      <c r="L60" s="359">
        <f t="shared" si="10"/>
        <v>6.3155200000000002</v>
      </c>
      <c r="M60" s="359">
        <f t="shared" si="10"/>
        <v>7706.23855</v>
      </c>
      <c r="N60" s="359">
        <f t="shared" si="10"/>
        <v>1402.4441499999998</v>
      </c>
      <c r="O60" s="359">
        <f t="shared" si="10"/>
        <v>0</v>
      </c>
      <c r="P60" s="359">
        <f t="shared" si="10"/>
        <v>0</v>
      </c>
      <c r="Q60" s="359">
        <f t="shared" si="10"/>
        <v>767.76099999999997</v>
      </c>
      <c r="R60" s="359">
        <f t="shared" si="10"/>
        <v>6975.8682699999999</v>
      </c>
      <c r="S60" s="359">
        <f t="shared" si="10"/>
        <v>20.471520000000002</v>
      </c>
      <c r="T60" s="356">
        <f t="shared" si="10"/>
        <v>0</v>
      </c>
      <c r="U60" s="356">
        <f t="shared" si="10"/>
        <v>0</v>
      </c>
      <c r="V60" s="356">
        <f t="shared" si="10"/>
        <v>0</v>
      </c>
      <c r="W60" s="356">
        <f t="shared" si="10"/>
        <v>0</v>
      </c>
      <c r="X60" s="356">
        <f t="shared" si="10"/>
        <v>0</v>
      </c>
      <c r="Y60" s="354">
        <f t="shared" si="10"/>
        <v>0</v>
      </c>
      <c r="Z60" s="359">
        <f t="shared" si="10"/>
        <v>0</v>
      </c>
      <c r="AA60" s="354">
        <f t="shared" si="10"/>
        <v>0</v>
      </c>
      <c r="AB60" s="359">
        <f t="shared" si="10"/>
        <v>0</v>
      </c>
      <c r="AC60" s="357">
        <f t="shared" si="10"/>
        <v>0</v>
      </c>
      <c r="AD60" s="358">
        <f>SUM(C60:AC60)</f>
        <v>16879.099009999998</v>
      </c>
    </row>
    <row r="61" spans="1:30" s="46" customFormat="1">
      <c r="A61" s="111"/>
      <c r="B61" s="48"/>
      <c r="C61" s="112"/>
      <c r="D61" s="60"/>
      <c r="E61" s="363"/>
      <c r="F61" s="364"/>
      <c r="G61" s="364"/>
      <c r="H61" s="364"/>
      <c r="I61" s="364"/>
      <c r="J61" s="364"/>
      <c r="K61" s="364"/>
      <c r="L61" s="364"/>
      <c r="M61" s="364"/>
      <c r="N61" s="364"/>
      <c r="O61" s="364"/>
      <c r="P61" s="364"/>
      <c r="Q61" s="364"/>
      <c r="R61" s="364"/>
      <c r="S61" s="364"/>
      <c r="T61" s="363"/>
      <c r="U61" s="363"/>
      <c r="V61" s="363"/>
      <c r="W61" s="363"/>
      <c r="X61" s="363"/>
      <c r="Y61" s="363"/>
      <c r="Z61" s="364"/>
      <c r="AA61" s="363"/>
      <c r="AB61" s="364"/>
      <c r="AC61" s="364"/>
      <c r="AD61" s="365"/>
    </row>
    <row r="62" spans="1:30" s="46" customFormat="1" ht="15">
      <c r="A62" s="113" t="s">
        <v>69</v>
      </c>
      <c r="B62" s="152" t="s">
        <v>320</v>
      </c>
      <c r="C62" s="112"/>
      <c r="D62" s="114"/>
      <c r="E62" s="366"/>
      <c r="F62" s="364"/>
      <c r="G62" s="364"/>
      <c r="H62" s="364"/>
      <c r="I62" s="364"/>
      <c r="J62" s="364"/>
      <c r="K62" s="364"/>
      <c r="L62" s="364"/>
      <c r="M62" s="364"/>
      <c r="N62" s="364"/>
      <c r="O62" s="364"/>
      <c r="P62" s="364"/>
      <c r="Q62" s="364"/>
      <c r="R62" s="364"/>
      <c r="S62" s="364"/>
      <c r="T62" s="366"/>
      <c r="U62" s="366"/>
      <c r="V62" s="366"/>
      <c r="W62" s="366"/>
      <c r="X62" s="366"/>
      <c r="Y62" s="366"/>
      <c r="Z62" s="364"/>
      <c r="AA62" s="366"/>
      <c r="AB62" s="364"/>
      <c r="AC62" s="364"/>
      <c r="AD62" s="365"/>
    </row>
    <row r="63" spans="1:30" s="46" customFormat="1">
      <c r="A63" s="108" t="s">
        <v>321</v>
      </c>
      <c r="B63" s="150" t="s">
        <v>322</v>
      </c>
      <c r="C63" s="61"/>
      <c r="D63" s="58"/>
      <c r="E63" s="354"/>
      <c r="F63" s="355"/>
      <c r="G63" s="355"/>
      <c r="H63" s="355"/>
      <c r="I63" s="355"/>
      <c r="J63" s="355"/>
      <c r="K63" s="355"/>
      <c r="L63" s="355"/>
      <c r="M63" s="355"/>
      <c r="N63" s="355">
        <f>28840/1000</f>
        <v>28.84</v>
      </c>
      <c r="O63" s="355"/>
      <c r="P63" s="355"/>
      <c r="Q63" s="355"/>
      <c r="R63" s="355"/>
      <c r="S63" s="355"/>
      <c r="T63" s="356"/>
      <c r="U63" s="356"/>
      <c r="V63" s="356"/>
      <c r="W63" s="356"/>
      <c r="X63" s="356"/>
      <c r="Y63" s="354"/>
      <c r="Z63" s="355"/>
      <c r="AA63" s="354"/>
      <c r="AB63" s="355"/>
      <c r="AC63" s="357"/>
      <c r="AD63" s="358">
        <f t="shared" ref="AD63:AD72" si="11">SUM(C63:AC63)</f>
        <v>28.84</v>
      </c>
    </row>
    <row r="64" spans="1:30" s="46" customFormat="1">
      <c r="A64" s="108" t="s">
        <v>247</v>
      </c>
      <c r="B64" s="150" t="s">
        <v>323</v>
      </c>
      <c r="C64" s="57"/>
      <c r="D64" s="58"/>
      <c r="E64" s="354"/>
      <c r="F64" s="359"/>
      <c r="G64" s="359"/>
      <c r="H64" s="359"/>
      <c r="I64" s="359"/>
      <c r="J64" s="359"/>
      <c r="K64" s="359"/>
      <c r="L64" s="359"/>
      <c r="M64" s="359"/>
      <c r="N64" s="359"/>
      <c r="O64" s="359"/>
      <c r="P64" s="359"/>
      <c r="Q64" s="359"/>
      <c r="R64" s="359"/>
      <c r="S64" s="359"/>
      <c r="T64" s="356"/>
      <c r="U64" s="356"/>
      <c r="V64" s="356"/>
      <c r="W64" s="356"/>
      <c r="X64" s="356"/>
      <c r="Y64" s="354"/>
      <c r="Z64" s="359"/>
      <c r="AA64" s="354"/>
      <c r="AB64" s="359"/>
      <c r="AC64" s="357"/>
      <c r="AD64" s="358">
        <f t="shared" si="11"/>
        <v>0</v>
      </c>
    </row>
    <row r="65" spans="1:30" s="46" customFormat="1">
      <c r="A65" s="108" t="s">
        <v>248</v>
      </c>
      <c r="B65" s="150" t="s">
        <v>324</v>
      </c>
      <c r="C65" s="57"/>
      <c r="D65" s="58"/>
      <c r="E65" s="354"/>
      <c r="F65" s="359"/>
      <c r="G65" s="359"/>
      <c r="H65" s="359"/>
      <c r="I65" s="359"/>
      <c r="J65" s="359"/>
      <c r="K65" s="359"/>
      <c r="L65" s="359"/>
      <c r="M65" s="359"/>
      <c r="N65" s="359"/>
      <c r="O65" s="359"/>
      <c r="P65" s="359"/>
      <c r="Q65" s="359"/>
      <c r="R65" s="359"/>
      <c r="S65" s="359"/>
      <c r="T65" s="356"/>
      <c r="U65" s="356"/>
      <c r="V65" s="356"/>
      <c r="W65" s="356"/>
      <c r="X65" s="356"/>
      <c r="Y65" s="354"/>
      <c r="Z65" s="359"/>
      <c r="AA65" s="354"/>
      <c r="AB65" s="359"/>
      <c r="AC65" s="357"/>
      <c r="AD65" s="358">
        <f t="shared" si="11"/>
        <v>0</v>
      </c>
    </row>
    <row r="66" spans="1:30" s="46" customFormat="1">
      <c r="A66" s="108" t="s">
        <v>325</v>
      </c>
      <c r="B66" s="150" t="s">
        <v>326</v>
      </c>
      <c r="C66" s="57"/>
      <c r="D66" s="58"/>
      <c r="E66" s="354"/>
      <c r="F66" s="359"/>
      <c r="G66" s="359"/>
      <c r="H66" s="359"/>
      <c r="I66" s="359"/>
      <c r="J66" s="359"/>
      <c r="K66" s="359"/>
      <c r="L66" s="359"/>
      <c r="M66" s="359"/>
      <c r="N66" s="359">
        <f>216724.19/1000</f>
        <v>216.72418999999999</v>
      </c>
      <c r="O66" s="359"/>
      <c r="P66" s="359"/>
      <c r="Q66" s="359"/>
      <c r="R66" s="359">
        <f>17500/1000</f>
        <v>17.5</v>
      </c>
      <c r="S66" s="359">
        <f>43517.61/1000</f>
        <v>43.517609999999998</v>
      </c>
      <c r="T66" s="356"/>
      <c r="U66" s="356"/>
      <c r="V66" s="356"/>
      <c r="W66" s="356"/>
      <c r="X66" s="356"/>
      <c r="Y66" s="354"/>
      <c r="Z66" s="359"/>
      <c r="AA66" s="354"/>
      <c r="AB66" s="359"/>
      <c r="AC66" s="357"/>
      <c r="AD66" s="358">
        <f t="shared" si="11"/>
        <v>277.74180000000001</v>
      </c>
    </row>
    <row r="67" spans="1:30" s="46" customFormat="1">
      <c r="A67" s="108" t="s">
        <v>327</v>
      </c>
      <c r="B67" s="150" t="s">
        <v>328</v>
      </c>
      <c r="C67" s="57"/>
      <c r="D67" s="58"/>
      <c r="E67" s="354"/>
      <c r="F67" s="359"/>
      <c r="G67" s="359"/>
      <c r="H67" s="359"/>
      <c r="I67" s="359"/>
      <c r="J67" s="359"/>
      <c r="K67" s="359"/>
      <c r="L67" s="359"/>
      <c r="M67" s="359"/>
      <c r="N67" s="359"/>
      <c r="O67" s="359"/>
      <c r="P67" s="359"/>
      <c r="Q67" s="359"/>
      <c r="R67" s="359"/>
      <c r="S67" s="359"/>
      <c r="T67" s="356"/>
      <c r="U67" s="356"/>
      <c r="V67" s="356"/>
      <c r="W67" s="356"/>
      <c r="X67" s="356"/>
      <c r="Y67" s="354"/>
      <c r="Z67" s="359"/>
      <c r="AA67" s="354"/>
      <c r="AB67" s="359"/>
      <c r="AC67" s="357"/>
      <c r="AD67" s="358">
        <f t="shared" si="11"/>
        <v>0</v>
      </c>
    </row>
    <row r="68" spans="1:30" s="46" customFormat="1">
      <c r="A68" s="108" t="s">
        <v>329</v>
      </c>
      <c r="B68" s="150" t="s">
        <v>330</v>
      </c>
      <c r="C68" s="57"/>
      <c r="D68" s="58"/>
      <c r="E68" s="354"/>
      <c r="F68" s="359"/>
      <c r="G68" s="359"/>
      <c r="H68" s="359"/>
      <c r="I68" s="359"/>
      <c r="J68" s="359"/>
      <c r="K68" s="359"/>
      <c r="L68" s="359"/>
      <c r="M68" s="359"/>
      <c r="N68" s="359"/>
      <c r="O68" s="359"/>
      <c r="P68" s="359"/>
      <c r="Q68" s="359"/>
      <c r="R68" s="359"/>
      <c r="S68" s="359"/>
      <c r="T68" s="356"/>
      <c r="U68" s="356"/>
      <c r="V68" s="356"/>
      <c r="W68" s="356"/>
      <c r="X68" s="356"/>
      <c r="Y68" s="354"/>
      <c r="Z68" s="359"/>
      <c r="AA68" s="354"/>
      <c r="AB68" s="359"/>
      <c r="AC68" s="357"/>
      <c r="AD68" s="358">
        <f t="shared" si="11"/>
        <v>0</v>
      </c>
    </row>
    <row r="69" spans="1:30" s="46" customFormat="1">
      <c r="A69" s="108" t="s">
        <v>331</v>
      </c>
      <c r="B69" s="150" t="s">
        <v>332</v>
      </c>
      <c r="C69" s="57"/>
      <c r="D69" s="58"/>
      <c r="E69" s="354"/>
      <c r="F69" s="359"/>
      <c r="G69" s="359"/>
      <c r="H69" s="359"/>
      <c r="I69" s="359"/>
      <c r="J69" s="359"/>
      <c r="K69" s="359"/>
      <c r="L69" s="359"/>
      <c r="M69" s="359"/>
      <c r="N69" s="359"/>
      <c r="O69" s="359"/>
      <c r="P69" s="359"/>
      <c r="Q69" s="359"/>
      <c r="R69" s="359"/>
      <c r="S69" s="359"/>
      <c r="T69" s="356"/>
      <c r="U69" s="356"/>
      <c r="V69" s="356"/>
      <c r="W69" s="356"/>
      <c r="X69" s="356"/>
      <c r="Y69" s="354"/>
      <c r="Z69" s="359"/>
      <c r="AA69" s="354"/>
      <c r="AB69" s="359"/>
      <c r="AC69" s="357"/>
      <c r="AD69" s="358">
        <f t="shared" si="11"/>
        <v>0</v>
      </c>
    </row>
    <row r="70" spans="1:30" s="46" customFormat="1">
      <c r="A70" s="108" t="s">
        <v>333</v>
      </c>
      <c r="B70" s="150" t="s">
        <v>334</v>
      </c>
      <c r="C70" s="57"/>
      <c r="D70" s="58"/>
      <c r="E70" s="354"/>
      <c r="F70" s="359"/>
      <c r="G70" s="359"/>
      <c r="H70" s="359"/>
      <c r="I70" s="359"/>
      <c r="J70" s="359"/>
      <c r="K70" s="359"/>
      <c r="L70" s="359"/>
      <c r="M70" s="359"/>
      <c r="N70" s="359"/>
      <c r="O70" s="359"/>
      <c r="P70" s="359"/>
      <c r="Q70" s="359"/>
      <c r="R70" s="359">
        <f>139125/1000</f>
        <v>139.125</v>
      </c>
      <c r="S70" s="359"/>
      <c r="T70" s="356"/>
      <c r="U70" s="356"/>
      <c r="V70" s="356"/>
      <c r="W70" s="356"/>
      <c r="X70" s="356"/>
      <c r="Y70" s="354"/>
      <c r="Z70" s="359"/>
      <c r="AA70" s="354"/>
      <c r="AB70" s="359"/>
      <c r="AC70" s="357"/>
      <c r="AD70" s="358">
        <f t="shared" si="11"/>
        <v>139.125</v>
      </c>
    </row>
    <row r="71" spans="1:30" s="46" customFormat="1">
      <c r="A71" s="108" t="s">
        <v>335</v>
      </c>
      <c r="B71" s="150" t="s">
        <v>336</v>
      </c>
      <c r="C71" s="59"/>
      <c r="D71" s="58"/>
      <c r="E71" s="354"/>
      <c r="F71" s="360"/>
      <c r="G71" s="360"/>
      <c r="H71" s="360"/>
      <c r="I71" s="360"/>
      <c r="J71" s="360"/>
      <c r="K71" s="360"/>
      <c r="L71" s="360"/>
      <c r="M71" s="360"/>
      <c r="N71" s="360">
        <f>48527632.82/1000</f>
        <v>48527.632819999999</v>
      </c>
      <c r="O71" s="360"/>
      <c r="P71" s="360"/>
      <c r="Q71" s="360"/>
      <c r="R71" s="360"/>
      <c r="S71" s="360"/>
      <c r="T71" s="356"/>
      <c r="U71" s="356"/>
      <c r="V71" s="356"/>
      <c r="W71" s="356"/>
      <c r="X71" s="356"/>
      <c r="Y71" s="354"/>
      <c r="Z71" s="360"/>
      <c r="AA71" s="354"/>
      <c r="AB71" s="360"/>
      <c r="AC71" s="361"/>
      <c r="AD71" s="362">
        <f t="shared" si="11"/>
        <v>48527.632819999999</v>
      </c>
    </row>
    <row r="72" spans="1:30" s="46" customFormat="1" ht="15">
      <c r="A72" s="431" t="s">
        <v>72</v>
      </c>
      <c r="B72" s="432"/>
      <c r="C72" s="57">
        <f>SUM(C63:C71)</f>
        <v>0</v>
      </c>
      <c r="D72" s="58">
        <f t="shared" ref="D72:AC72" si="12">SUM(D63:D71)</f>
        <v>0</v>
      </c>
      <c r="E72" s="354">
        <f t="shared" si="12"/>
        <v>0</v>
      </c>
      <c r="F72" s="359">
        <f t="shared" si="12"/>
        <v>0</v>
      </c>
      <c r="G72" s="359">
        <f t="shared" si="12"/>
        <v>0</v>
      </c>
      <c r="H72" s="359">
        <f t="shared" si="12"/>
        <v>0</v>
      </c>
      <c r="I72" s="359">
        <f t="shared" si="12"/>
        <v>0</v>
      </c>
      <c r="J72" s="359">
        <f t="shared" si="12"/>
        <v>0</v>
      </c>
      <c r="K72" s="359">
        <f t="shared" si="12"/>
        <v>0</v>
      </c>
      <c r="L72" s="359">
        <f t="shared" si="12"/>
        <v>0</v>
      </c>
      <c r="M72" s="359">
        <f t="shared" si="12"/>
        <v>0</v>
      </c>
      <c r="N72" s="359">
        <f t="shared" si="12"/>
        <v>48773.197009999996</v>
      </c>
      <c r="O72" s="359">
        <f t="shared" si="12"/>
        <v>0</v>
      </c>
      <c r="P72" s="359">
        <f t="shared" si="12"/>
        <v>0</v>
      </c>
      <c r="Q72" s="359">
        <f t="shared" si="12"/>
        <v>0</v>
      </c>
      <c r="R72" s="359">
        <f t="shared" si="12"/>
        <v>156.625</v>
      </c>
      <c r="S72" s="359">
        <f t="shared" si="12"/>
        <v>43.517609999999998</v>
      </c>
      <c r="T72" s="356">
        <f t="shared" si="12"/>
        <v>0</v>
      </c>
      <c r="U72" s="356">
        <f t="shared" si="12"/>
        <v>0</v>
      </c>
      <c r="V72" s="356">
        <f t="shared" si="12"/>
        <v>0</v>
      </c>
      <c r="W72" s="356">
        <f t="shared" si="12"/>
        <v>0</v>
      </c>
      <c r="X72" s="356">
        <f t="shared" si="12"/>
        <v>0</v>
      </c>
      <c r="Y72" s="354">
        <f t="shared" si="12"/>
        <v>0</v>
      </c>
      <c r="Z72" s="359">
        <f t="shared" si="12"/>
        <v>0</v>
      </c>
      <c r="AA72" s="354">
        <f t="shared" si="12"/>
        <v>0</v>
      </c>
      <c r="AB72" s="359">
        <f t="shared" si="12"/>
        <v>0</v>
      </c>
      <c r="AC72" s="357">
        <f t="shared" si="12"/>
        <v>0</v>
      </c>
      <c r="AD72" s="358">
        <f t="shared" si="11"/>
        <v>48973.339619999999</v>
      </c>
    </row>
    <row r="73" spans="1:30" s="46" customFormat="1">
      <c r="A73" s="111"/>
      <c r="B73" s="48"/>
      <c r="C73" s="112"/>
      <c r="D73" s="60"/>
      <c r="E73" s="363"/>
      <c r="F73" s="364"/>
      <c r="G73" s="364"/>
      <c r="H73" s="364"/>
      <c r="I73" s="364"/>
      <c r="J73" s="364"/>
      <c r="K73" s="364"/>
      <c r="L73" s="364"/>
      <c r="M73" s="364"/>
      <c r="N73" s="364"/>
      <c r="O73" s="364"/>
      <c r="P73" s="364"/>
      <c r="Q73" s="364"/>
      <c r="R73" s="364"/>
      <c r="S73" s="364"/>
      <c r="T73" s="363"/>
      <c r="U73" s="363"/>
      <c r="V73" s="363"/>
      <c r="W73" s="363"/>
      <c r="X73" s="363"/>
      <c r="Y73" s="363"/>
      <c r="Z73" s="364"/>
      <c r="AA73" s="363"/>
      <c r="AB73" s="364"/>
      <c r="AC73" s="364"/>
      <c r="AD73" s="365"/>
    </row>
    <row r="74" spans="1:30" s="46" customFormat="1" ht="15">
      <c r="A74" s="113" t="s">
        <v>73</v>
      </c>
      <c r="B74" s="152" t="s">
        <v>70</v>
      </c>
      <c r="C74" s="112"/>
      <c r="D74" s="114"/>
      <c r="E74" s="366"/>
      <c r="F74" s="364"/>
      <c r="G74" s="364"/>
      <c r="H74" s="364"/>
      <c r="I74" s="364"/>
      <c r="J74" s="364"/>
      <c r="K74" s="364"/>
      <c r="L74" s="364"/>
      <c r="M74" s="364"/>
      <c r="N74" s="364"/>
      <c r="O74" s="364"/>
      <c r="P74" s="364"/>
      <c r="Q74" s="364"/>
      <c r="R74" s="364"/>
      <c r="S74" s="364"/>
      <c r="T74" s="366"/>
      <c r="U74" s="366"/>
      <c r="V74" s="366"/>
      <c r="W74" s="366"/>
      <c r="X74" s="366"/>
      <c r="Y74" s="366"/>
      <c r="Z74" s="364"/>
      <c r="AA74" s="366"/>
      <c r="AB74" s="364"/>
      <c r="AC74" s="364"/>
      <c r="AD74" s="365"/>
    </row>
    <row r="75" spans="1:30" s="46" customFormat="1">
      <c r="A75" s="108" t="s">
        <v>337</v>
      </c>
      <c r="B75" s="150" t="s">
        <v>338</v>
      </c>
      <c r="C75" s="61"/>
      <c r="D75" s="58"/>
      <c r="E75" s="354"/>
      <c r="F75" s="355"/>
      <c r="G75" s="355"/>
      <c r="H75" s="355"/>
      <c r="I75" s="355"/>
      <c r="J75" s="355"/>
      <c r="K75" s="355"/>
      <c r="L75" s="355"/>
      <c r="M75" s="355"/>
      <c r="N75" s="355"/>
      <c r="O75" s="355"/>
      <c r="P75" s="355"/>
      <c r="Q75" s="355"/>
      <c r="R75" s="355"/>
      <c r="S75" s="355"/>
      <c r="T75" s="356"/>
      <c r="U75" s="356"/>
      <c r="V75" s="356"/>
      <c r="W75" s="356"/>
      <c r="X75" s="356"/>
      <c r="Y75" s="354"/>
      <c r="Z75" s="355"/>
      <c r="AA75" s="354"/>
      <c r="AB75" s="355"/>
      <c r="AC75" s="357"/>
      <c r="AD75" s="358">
        <f>SUM(C75:AC75)</f>
        <v>0</v>
      </c>
    </row>
    <row r="76" spans="1:30" s="46" customFormat="1">
      <c r="A76" s="108" t="s">
        <v>339</v>
      </c>
      <c r="B76" s="150" t="s">
        <v>71</v>
      </c>
      <c r="C76" s="57"/>
      <c r="D76" s="58"/>
      <c r="E76" s="354"/>
      <c r="F76" s="359">
        <f>310/1000</f>
        <v>0.31</v>
      </c>
      <c r="G76" s="359">
        <f>96559.25/1000</f>
        <v>96.559250000000006</v>
      </c>
      <c r="H76" s="359"/>
      <c r="I76" s="359"/>
      <c r="J76" s="359">
        <f>16472.95/1000</f>
        <v>16.472950000000001</v>
      </c>
      <c r="K76" s="359">
        <f>22644/1000</f>
        <v>22.643999999999998</v>
      </c>
      <c r="L76" s="359">
        <f>279883.95/1000</f>
        <v>279.88395000000003</v>
      </c>
      <c r="M76" s="359"/>
      <c r="N76" s="359">
        <f>-20330.5/1000</f>
        <v>-20.330500000000001</v>
      </c>
      <c r="O76" s="359">
        <f>7553.8/1000</f>
        <v>7.5537999999999998</v>
      </c>
      <c r="P76" s="359">
        <f>163789.02/1000</f>
        <v>163.78901999999999</v>
      </c>
      <c r="Q76" s="359"/>
      <c r="R76" s="359">
        <f>52080/1000</f>
        <v>52.08</v>
      </c>
      <c r="S76" s="359">
        <f>216695.66/1000</f>
        <v>216.69566</v>
      </c>
      <c r="T76" s="356"/>
      <c r="U76" s="356"/>
      <c r="V76" s="356"/>
      <c r="W76" s="356"/>
      <c r="X76" s="356"/>
      <c r="Y76" s="354"/>
      <c r="Z76" s="359"/>
      <c r="AA76" s="354"/>
      <c r="AB76" s="359"/>
      <c r="AC76" s="357"/>
      <c r="AD76" s="358">
        <f>SUM(C76:AC76)</f>
        <v>835.65813000000003</v>
      </c>
    </row>
    <row r="77" spans="1:30" s="46" customFormat="1">
      <c r="A77" s="108" t="s">
        <v>340</v>
      </c>
      <c r="B77" s="150" t="s">
        <v>341</v>
      </c>
      <c r="C77" s="57"/>
      <c r="D77" s="58"/>
      <c r="E77" s="354"/>
      <c r="F77" s="359"/>
      <c r="G77" s="359"/>
      <c r="H77" s="359"/>
      <c r="I77" s="359"/>
      <c r="J77" s="359"/>
      <c r="K77" s="359"/>
      <c r="L77" s="359"/>
      <c r="M77" s="359"/>
      <c r="N77" s="359"/>
      <c r="O77" s="359"/>
      <c r="P77" s="359">
        <f>797478/1000</f>
        <v>797.47799999999995</v>
      </c>
      <c r="Q77" s="359"/>
      <c r="R77" s="359"/>
      <c r="S77" s="359"/>
      <c r="T77" s="356"/>
      <c r="U77" s="356"/>
      <c r="V77" s="356"/>
      <c r="W77" s="356"/>
      <c r="X77" s="356"/>
      <c r="Y77" s="354"/>
      <c r="Z77" s="359"/>
      <c r="AA77" s="354"/>
      <c r="AB77" s="359"/>
      <c r="AC77" s="357"/>
      <c r="AD77" s="358">
        <f>SUM(C77:AC77)</f>
        <v>797.47799999999995</v>
      </c>
    </row>
    <row r="78" spans="1:30" s="46" customFormat="1">
      <c r="A78" s="108" t="s">
        <v>342</v>
      </c>
      <c r="B78" s="150" t="s">
        <v>343</v>
      </c>
      <c r="C78" s="59"/>
      <c r="D78" s="58"/>
      <c r="E78" s="354"/>
      <c r="F78" s="360"/>
      <c r="G78" s="360"/>
      <c r="H78" s="360"/>
      <c r="I78" s="360"/>
      <c r="J78" s="360"/>
      <c r="K78" s="360"/>
      <c r="L78" s="360"/>
      <c r="M78" s="360"/>
      <c r="N78" s="360"/>
      <c r="O78" s="360"/>
      <c r="P78" s="360"/>
      <c r="Q78" s="360"/>
      <c r="R78" s="360"/>
      <c r="S78" s="360"/>
      <c r="T78" s="356"/>
      <c r="U78" s="356"/>
      <c r="V78" s="356"/>
      <c r="W78" s="356"/>
      <c r="X78" s="356"/>
      <c r="Y78" s="354"/>
      <c r="Z78" s="360"/>
      <c r="AA78" s="354"/>
      <c r="AB78" s="360"/>
      <c r="AC78" s="361"/>
      <c r="AD78" s="362">
        <f>SUM(C78:AC78)</f>
        <v>0</v>
      </c>
    </row>
    <row r="79" spans="1:30" s="46" customFormat="1" ht="15">
      <c r="A79" s="431" t="s">
        <v>81</v>
      </c>
      <c r="B79" s="432"/>
      <c r="C79" s="57">
        <f>SUM(C75:C78)</f>
        <v>0</v>
      </c>
      <c r="D79" s="58">
        <f t="shared" ref="D79:AC79" si="13">SUM(D75:D78)</f>
        <v>0</v>
      </c>
      <c r="E79" s="354">
        <f t="shared" si="13"/>
        <v>0</v>
      </c>
      <c r="F79" s="359">
        <f t="shared" si="13"/>
        <v>0.31</v>
      </c>
      <c r="G79" s="359">
        <f t="shared" si="13"/>
        <v>96.559250000000006</v>
      </c>
      <c r="H79" s="359">
        <f t="shared" si="13"/>
        <v>0</v>
      </c>
      <c r="I79" s="359">
        <f t="shared" si="13"/>
        <v>0</v>
      </c>
      <c r="J79" s="359">
        <f t="shared" si="13"/>
        <v>16.472950000000001</v>
      </c>
      <c r="K79" s="359">
        <f t="shared" si="13"/>
        <v>22.643999999999998</v>
      </c>
      <c r="L79" s="359">
        <f t="shared" si="13"/>
        <v>279.88395000000003</v>
      </c>
      <c r="M79" s="359">
        <f t="shared" si="13"/>
        <v>0</v>
      </c>
      <c r="N79" s="359">
        <f t="shared" si="13"/>
        <v>-20.330500000000001</v>
      </c>
      <c r="O79" s="359">
        <f t="shared" si="13"/>
        <v>7.5537999999999998</v>
      </c>
      <c r="P79" s="359">
        <f t="shared" si="13"/>
        <v>961.26702</v>
      </c>
      <c r="Q79" s="359">
        <f t="shared" si="13"/>
        <v>0</v>
      </c>
      <c r="R79" s="359">
        <f t="shared" si="13"/>
        <v>52.08</v>
      </c>
      <c r="S79" s="359">
        <f t="shared" si="13"/>
        <v>216.69566</v>
      </c>
      <c r="T79" s="356">
        <f t="shared" si="13"/>
        <v>0</v>
      </c>
      <c r="U79" s="356">
        <f t="shared" si="13"/>
        <v>0</v>
      </c>
      <c r="V79" s="356">
        <f t="shared" si="13"/>
        <v>0</v>
      </c>
      <c r="W79" s="356">
        <f t="shared" si="13"/>
        <v>0</v>
      </c>
      <c r="X79" s="356">
        <f t="shared" si="13"/>
        <v>0</v>
      </c>
      <c r="Y79" s="354">
        <f t="shared" si="13"/>
        <v>0</v>
      </c>
      <c r="Z79" s="359">
        <f t="shared" si="13"/>
        <v>0</v>
      </c>
      <c r="AA79" s="354">
        <f t="shared" si="13"/>
        <v>0</v>
      </c>
      <c r="AB79" s="359">
        <f t="shared" si="13"/>
        <v>0</v>
      </c>
      <c r="AC79" s="357">
        <f t="shared" si="13"/>
        <v>0</v>
      </c>
      <c r="AD79" s="358">
        <f>SUM(C79:AC79)</f>
        <v>1633.1361300000001</v>
      </c>
    </row>
    <row r="80" spans="1:30" s="46" customFormat="1">
      <c r="A80" s="111"/>
      <c r="B80" s="48"/>
      <c r="C80" s="112"/>
      <c r="D80" s="60"/>
      <c r="E80" s="363"/>
      <c r="F80" s="364"/>
      <c r="G80" s="364"/>
      <c r="H80" s="364"/>
      <c r="I80" s="364"/>
      <c r="J80" s="364"/>
      <c r="K80" s="364"/>
      <c r="L80" s="364"/>
      <c r="M80" s="364"/>
      <c r="N80" s="364"/>
      <c r="O80" s="364"/>
      <c r="P80" s="364"/>
      <c r="Q80" s="364"/>
      <c r="R80" s="364"/>
      <c r="S80" s="364"/>
      <c r="T80" s="363"/>
      <c r="U80" s="363"/>
      <c r="V80" s="363"/>
      <c r="W80" s="363"/>
      <c r="X80" s="363"/>
      <c r="Y80" s="363"/>
      <c r="Z80" s="364"/>
      <c r="AA80" s="363"/>
      <c r="AB80" s="364"/>
      <c r="AC80" s="364"/>
      <c r="AD80" s="365"/>
    </row>
    <row r="81" spans="1:30" s="46" customFormat="1" ht="15">
      <c r="A81" s="45" t="s">
        <v>50</v>
      </c>
      <c r="B81" s="153" t="s">
        <v>74</v>
      </c>
      <c r="C81" s="112"/>
      <c r="D81" s="114"/>
      <c r="E81" s="366"/>
      <c r="F81" s="364"/>
      <c r="G81" s="364"/>
      <c r="H81" s="364"/>
      <c r="I81" s="364"/>
      <c r="J81" s="364"/>
      <c r="K81" s="364"/>
      <c r="L81" s="364"/>
      <c r="M81" s="364"/>
      <c r="N81" s="364"/>
      <c r="O81" s="364"/>
      <c r="P81" s="364"/>
      <c r="Q81" s="364"/>
      <c r="R81" s="364"/>
      <c r="S81" s="364"/>
      <c r="T81" s="366"/>
      <c r="U81" s="366"/>
      <c r="V81" s="366"/>
      <c r="W81" s="364"/>
      <c r="X81" s="366"/>
      <c r="Y81" s="366"/>
      <c r="Z81" s="366"/>
      <c r="AA81" s="366"/>
      <c r="AB81" s="364"/>
      <c r="AC81" s="364"/>
      <c r="AD81" s="365"/>
    </row>
    <row r="82" spans="1:30" s="46" customFormat="1">
      <c r="A82" s="108" t="s">
        <v>19</v>
      </c>
      <c r="B82" s="150" t="s">
        <v>75</v>
      </c>
      <c r="C82" s="61"/>
      <c r="D82" s="58"/>
      <c r="E82" s="356"/>
      <c r="F82" s="355"/>
      <c r="G82" s="355"/>
      <c r="H82" s="355"/>
      <c r="I82" s="355"/>
      <c r="J82" s="355"/>
      <c r="K82" s="355"/>
      <c r="L82" s="355"/>
      <c r="M82" s="355"/>
      <c r="N82" s="355"/>
      <c r="O82" s="355"/>
      <c r="P82" s="355"/>
      <c r="Q82" s="355"/>
      <c r="R82" s="355">
        <f>5076720.12/1000</f>
        <v>5076.72012</v>
      </c>
      <c r="S82" s="355"/>
      <c r="T82" s="356"/>
      <c r="U82" s="356"/>
      <c r="V82" s="356"/>
      <c r="W82" s="355"/>
      <c r="X82" s="356"/>
      <c r="Y82" s="356"/>
      <c r="Z82" s="356"/>
      <c r="AA82" s="356"/>
      <c r="AB82" s="355"/>
      <c r="AC82" s="357"/>
      <c r="AD82" s="358">
        <f t="shared" ref="AD82:AD92" si="14">SUM(C82:AC82)</f>
        <v>5076.72012</v>
      </c>
    </row>
    <row r="83" spans="1:30" s="46" customFormat="1">
      <c r="A83" s="108" t="s">
        <v>344</v>
      </c>
      <c r="B83" s="150" t="s">
        <v>77</v>
      </c>
      <c r="C83" s="57"/>
      <c r="D83" s="58"/>
      <c r="E83" s="356"/>
      <c r="F83" s="359"/>
      <c r="G83" s="359"/>
      <c r="H83" s="359"/>
      <c r="I83" s="359"/>
      <c r="J83" s="359"/>
      <c r="K83" s="359"/>
      <c r="L83" s="359"/>
      <c r="M83" s="359"/>
      <c r="N83" s="359"/>
      <c r="O83" s="359"/>
      <c r="P83" s="359"/>
      <c r="Q83" s="359"/>
      <c r="R83" s="359">
        <f>6305014.06/1000</f>
        <v>6305.0140599999995</v>
      </c>
      <c r="S83" s="359">
        <f>34842962.56/1000</f>
        <v>34842.96256</v>
      </c>
      <c r="T83" s="356"/>
      <c r="U83" s="356"/>
      <c r="V83" s="356"/>
      <c r="W83" s="359"/>
      <c r="X83" s="356"/>
      <c r="Y83" s="356"/>
      <c r="Z83" s="356"/>
      <c r="AA83" s="356"/>
      <c r="AB83" s="359"/>
      <c r="AC83" s="357"/>
      <c r="AD83" s="358">
        <f t="shared" si="14"/>
        <v>41147.976620000001</v>
      </c>
    </row>
    <row r="84" spans="1:30" s="46" customFormat="1">
      <c r="A84" s="108" t="s">
        <v>345</v>
      </c>
      <c r="B84" s="150" t="s">
        <v>346</v>
      </c>
      <c r="C84" s="57"/>
      <c r="D84" s="58"/>
      <c r="E84" s="356"/>
      <c r="F84" s="359"/>
      <c r="G84" s="359"/>
      <c r="H84" s="359"/>
      <c r="I84" s="359"/>
      <c r="J84" s="359"/>
      <c r="K84" s="359"/>
      <c r="L84" s="359"/>
      <c r="M84" s="359"/>
      <c r="N84" s="359">
        <f>110537685/1000</f>
        <v>110537.685</v>
      </c>
      <c r="O84" s="359">
        <f>154529.12/1000</f>
        <v>154.52912000000001</v>
      </c>
      <c r="P84" s="359"/>
      <c r="Q84" s="359"/>
      <c r="R84" s="359"/>
      <c r="S84" s="359"/>
      <c r="T84" s="356"/>
      <c r="U84" s="356"/>
      <c r="V84" s="356"/>
      <c r="W84" s="356"/>
      <c r="X84" s="356"/>
      <c r="Y84" s="356"/>
      <c r="Z84" s="356"/>
      <c r="AA84" s="356"/>
      <c r="AB84" s="359"/>
      <c r="AC84" s="357"/>
      <c r="AD84" s="358">
        <f t="shared" si="14"/>
        <v>110692.21412</v>
      </c>
    </row>
    <row r="85" spans="1:30" s="46" customFormat="1">
      <c r="A85" s="108" t="s">
        <v>347</v>
      </c>
      <c r="B85" s="154" t="s">
        <v>348</v>
      </c>
      <c r="C85" s="57"/>
      <c r="D85" s="140"/>
      <c r="E85" s="357">
        <f>47572575.18/1000</f>
        <v>47572.57518</v>
      </c>
      <c r="F85" s="359"/>
      <c r="G85" s="359"/>
      <c r="H85" s="359"/>
      <c r="I85" s="359"/>
      <c r="J85" s="359"/>
      <c r="K85" s="359"/>
      <c r="L85" s="359"/>
      <c r="M85" s="359"/>
      <c r="N85" s="359"/>
      <c r="O85" s="359"/>
      <c r="P85" s="359"/>
      <c r="Q85" s="359"/>
      <c r="R85" s="359"/>
      <c r="S85" s="359"/>
      <c r="T85" s="356"/>
      <c r="U85" s="356"/>
      <c r="V85" s="356"/>
      <c r="W85" s="356"/>
      <c r="X85" s="356"/>
      <c r="Y85" s="356"/>
      <c r="Z85" s="356"/>
      <c r="AA85" s="356"/>
      <c r="AB85" s="359"/>
      <c r="AC85" s="357"/>
      <c r="AD85" s="358">
        <f t="shared" si="14"/>
        <v>47572.57518</v>
      </c>
    </row>
    <row r="86" spans="1:30" s="46" customFormat="1">
      <c r="A86" s="115" t="s">
        <v>349</v>
      </c>
      <c r="B86" s="154" t="s">
        <v>76</v>
      </c>
      <c r="C86" s="57"/>
      <c r="D86" s="58"/>
      <c r="E86" s="356"/>
      <c r="F86" s="359"/>
      <c r="G86" s="359"/>
      <c r="H86" s="359"/>
      <c r="I86" s="359"/>
      <c r="J86" s="359"/>
      <c r="K86" s="359"/>
      <c r="L86" s="359"/>
      <c r="M86" s="359">
        <f>112275.03/1000</f>
        <v>112.27503</v>
      </c>
      <c r="N86" s="359"/>
      <c r="O86" s="359"/>
      <c r="P86" s="359"/>
      <c r="Q86" s="359"/>
      <c r="R86" s="359"/>
      <c r="S86" s="359"/>
      <c r="T86" s="356"/>
      <c r="U86" s="356"/>
      <c r="V86" s="356"/>
      <c r="W86" s="356"/>
      <c r="X86" s="356"/>
      <c r="Y86" s="356"/>
      <c r="Z86" s="359"/>
      <c r="AA86" s="356"/>
      <c r="AB86" s="359"/>
      <c r="AC86" s="361"/>
      <c r="AD86" s="358">
        <f t="shared" si="14"/>
        <v>112.27503</v>
      </c>
    </row>
    <row r="87" spans="1:30" s="46" customFormat="1">
      <c r="A87" s="115" t="s">
        <v>350</v>
      </c>
      <c r="B87" s="154" t="s">
        <v>351</v>
      </c>
      <c r="C87" s="57"/>
      <c r="D87" s="58"/>
      <c r="E87" s="356"/>
      <c r="F87" s="359"/>
      <c r="G87" s="359"/>
      <c r="H87" s="359"/>
      <c r="I87" s="359"/>
      <c r="J87" s="359"/>
      <c r="K87" s="359"/>
      <c r="L87" s="359"/>
      <c r="M87" s="359"/>
      <c r="N87" s="359"/>
      <c r="O87" s="359"/>
      <c r="P87" s="359"/>
      <c r="Q87" s="359"/>
      <c r="R87" s="359"/>
      <c r="S87" s="360"/>
      <c r="T87" s="356"/>
      <c r="U87" s="356"/>
      <c r="V87" s="356"/>
      <c r="W87" s="356"/>
      <c r="X87" s="356"/>
      <c r="Y87" s="356"/>
      <c r="Z87" s="356"/>
      <c r="AA87" s="356"/>
      <c r="AB87" s="359"/>
      <c r="AC87" s="361"/>
      <c r="AD87" s="358">
        <f t="shared" si="14"/>
        <v>0</v>
      </c>
    </row>
    <row r="88" spans="1:30" s="46" customFormat="1">
      <c r="A88" s="115" t="s">
        <v>352</v>
      </c>
      <c r="B88" s="154" t="s">
        <v>78</v>
      </c>
      <c r="C88" s="57"/>
      <c r="D88" s="58"/>
      <c r="E88" s="356"/>
      <c r="F88" s="356"/>
      <c r="G88" s="356"/>
      <c r="H88" s="356"/>
      <c r="I88" s="356"/>
      <c r="J88" s="356"/>
      <c r="K88" s="356"/>
      <c r="L88" s="356"/>
      <c r="M88" s="356"/>
      <c r="N88" s="356"/>
      <c r="O88" s="356"/>
      <c r="P88" s="356"/>
      <c r="Q88" s="356"/>
      <c r="R88" s="356"/>
      <c r="S88" s="359"/>
      <c r="T88" s="356"/>
      <c r="U88" s="356"/>
      <c r="V88" s="356"/>
      <c r="W88" s="356"/>
      <c r="X88" s="356"/>
      <c r="Y88" s="356"/>
      <c r="Z88" s="356"/>
      <c r="AA88" s="356"/>
      <c r="AB88" s="359"/>
      <c r="AC88" s="361"/>
      <c r="AD88" s="358">
        <f t="shared" si="14"/>
        <v>0</v>
      </c>
    </row>
    <row r="89" spans="1:30" s="46" customFormat="1">
      <c r="A89" s="115" t="s">
        <v>353</v>
      </c>
      <c r="B89" s="154" t="s">
        <v>79</v>
      </c>
      <c r="C89" s="57"/>
      <c r="D89" s="58"/>
      <c r="E89" s="356"/>
      <c r="F89" s="356"/>
      <c r="G89" s="356"/>
      <c r="H89" s="356"/>
      <c r="I89" s="356"/>
      <c r="J89" s="356"/>
      <c r="K89" s="356"/>
      <c r="L89" s="356"/>
      <c r="M89" s="356"/>
      <c r="N89" s="356"/>
      <c r="O89" s="356"/>
      <c r="P89" s="356"/>
      <c r="Q89" s="356"/>
      <c r="R89" s="356"/>
      <c r="S89" s="359"/>
      <c r="T89" s="356"/>
      <c r="U89" s="356"/>
      <c r="V89" s="356"/>
      <c r="W89" s="356"/>
      <c r="X89" s="356"/>
      <c r="Y89" s="356"/>
      <c r="Z89" s="356"/>
      <c r="AA89" s="356"/>
      <c r="AB89" s="359"/>
      <c r="AC89" s="361"/>
      <c r="AD89" s="358">
        <f t="shared" si="14"/>
        <v>0</v>
      </c>
    </row>
    <row r="90" spans="1:30" s="46" customFormat="1">
      <c r="A90" s="115" t="s">
        <v>354</v>
      </c>
      <c r="B90" s="155" t="s">
        <v>355</v>
      </c>
      <c r="C90" s="57"/>
      <c r="D90" s="58"/>
      <c r="E90" s="356"/>
      <c r="F90" s="356"/>
      <c r="G90" s="356"/>
      <c r="H90" s="356"/>
      <c r="I90" s="356"/>
      <c r="J90" s="356"/>
      <c r="K90" s="356"/>
      <c r="L90" s="356"/>
      <c r="M90" s="356"/>
      <c r="N90" s="356"/>
      <c r="O90" s="356"/>
      <c r="P90" s="356"/>
      <c r="Q90" s="356"/>
      <c r="R90" s="356"/>
      <c r="S90" s="359">
        <f>136587930.17/1000</f>
        <v>136587.93016999998</v>
      </c>
      <c r="T90" s="356"/>
      <c r="U90" s="356"/>
      <c r="V90" s="356"/>
      <c r="W90" s="356"/>
      <c r="X90" s="356"/>
      <c r="Y90" s="356"/>
      <c r="Z90" s="356"/>
      <c r="AA90" s="356"/>
      <c r="AB90" s="359"/>
      <c r="AC90" s="361"/>
      <c r="AD90" s="358">
        <f t="shared" si="14"/>
        <v>136587.93016999998</v>
      </c>
    </row>
    <row r="91" spans="1:30" s="46" customFormat="1">
      <c r="A91" s="115" t="s">
        <v>356</v>
      </c>
      <c r="B91" s="154" t="s">
        <v>80</v>
      </c>
      <c r="C91" s="57"/>
      <c r="D91" s="58"/>
      <c r="E91" s="356"/>
      <c r="F91" s="356"/>
      <c r="G91" s="356"/>
      <c r="H91" s="356"/>
      <c r="I91" s="356"/>
      <c r="J91" s="356"/>
      <c r="K91" s="356"/>
      <c r="L91" s="356"/>
      <c r="M91" s="356"/>
      <c r="N91" s="356"/>
      <c r="O91" s="356"/>
      <c r="P91" s="356"/>
      <c r="Q91" s="356"/>
      <c r="R91" s="356"/>
      <c r="S91" s="360"/>
      <c r="T91" s="356"/>
      <c r="U91" s="356"/>
      <c r="V91" s="356"/>
      <c r="W91" s="356"/>
      <c r="X91" s="356"/>
      <c r="Y91" s="356"/>
      <c r="Z91" s="356"/>
      <c r="AA91" s="356"/>
      <c r="AB91" s="360"/>
      <c r="AC91" s="361"/>
      <c r="AD91" s="362">
        <f t="shared" si="14"/>
        <v>0</v>
      </c>
    </row>
    <row r="92" spans="1:30" s="46" customFormat="1" ht="15">
      <c r="A92" s="431" t="s">
        <v>52</v>
      </c>
      <c r="B92" s="432"/>
      <c r="C92" s="57">
        <f>SUM(C82:C91)-C89</f>
        <v>0</v>
      </c>
      <c r="D92" s="58">
        <f t="shared" ref="D92:AC92" si="15">SUM(D82:D91)-D89</f>
        <v>0</v>
      </c>
      <c r="E92" s="354">
        <f t="shared" si="15"/>
        <v>47572.57518</v>
      </c>
      <c r="F92" s="359">
        <f t="shared" si="15"/>
        <v>0</v>
      </c>
      <c r="G92" s="359">
        <f t="shared" si="15"/>
        <v>0</v>
      </c>
      <c r="H92" s="359">
        <f t="shared" si="15"/>
        <v>0</v>
      </c>
      <c r="I92" s="359">
        <f t="shared" si="15"/>
        <v>0</v>
      </c>
      <c r="J92" s="359">
        <f t="shared" si="15"/>
        <v>0</v>
      </c>
      <c r="K92" s="359">
        <f t="shared" si="15"/>
        <v>0</v>
      </c>
      <c r="L92" s="359">
        <f t="shared" si="15"/>
        <v>0</v>
      </c>
      <c r="M92" s="359">
        <f t="shared" si="15"/>
        <v>112.27503</v>
      </c>
      <c r="N92" s="359">
        <f t="shared" si="15"/>
        <v>110537.685</v>
      </c>
      <c r="O92" s="359">
        <f t="shared" si="15"/>
        <v>154.52912000000001</v>
      </c>
      <c r="P92" s="359">
        <f t="shared" si="15"/>
        <v>0</v>
      </c>
      <c r="Q92" s="359">
        <f t="shared" si="15"/>
        <v>0</v>
      </c>
      <c r="R92" s="359">
        <f t="shared" si="15"/>
        <v>11381.734179999999</v>
      </c>
      <c r="S92" s="359">
        <f t="shared" si="15"/>
        <v>171430.89272999996</v>
      </c>
      <c r="T92" s="356">
        <f t="shared" si="15"/>
        <v>0</v>
      </c>
      <c r="U92" s="356">
        <f t="shared" si="15"/>
        <v>0</v>
      </c>
      <c r="V92" s="354">
        <f t="shared" si="15"/>
        <v>0</v>
      </c>
      <c r="W92" s="359">
        <f t="shared" si="15"/>
        <v>0</v>
      </c>
      <c r="X92" s="356">
        <f t="shared" si="15"/>
        <v>0</v>
      </c>
      <c r="Y92" s="354">
        <f t="shared" si="15"/>
        <v>0</v>
      </c>
      <c r="Z92" s="359">
        <f t="shared" si="15"/>
        <v>0</v>
      </c>
      <c r="AA92" s="354">
        <f t="shared" si="15"/>
        <v>0</v>
      </c>
      <c r="AB92" s="359">
        <f t="shared" si="15"/>
        <v>0</v>
      </c>
      <c r="AC92" s="357">
        <f t="shared" si="15"/>
        <v>0</v>
      </c>
      <c r="AD92" s="358">
        <f t="shared" si="14"/>
        <v>341189.69123999996</v>
      </c>
    </row>
    <row r="93" spans="1:30" s="46" customFormat="1" ht="15" thickBot="1">
      <c r="A93" s="117"/>
      <c r="B93" s="157"/>
      <c r="C93" s="114"/>
      <c r="D93" s="58"/>
      <c r="E93" s="356"/>
      <c r="F93" s="366"/>
      <c r="G93" s="366"/>
      <c r="H93" s="366"/>
      <c r="I93" s="366"/>
      <c r="J93" s="366"/>
      <c r="K93" s="366"/>
      <c r="L93" s="366"/>
      <c r="M93" s="366"/>
      <c r="N93" s="366"/>
      <c r="O93" s="366"/>
      <c r="P93" s="366"/>
      <c r="Q93" s="366"/>
      <c r="R93" s="366"/>
      <c r="S93" s="366"/>
      <c r="T93" s="356"/>
      <c r="U93" s="356"/>
      <c r="V93" s="356"/>
      <c r="W93" s="366"/>
      <c r="X93" s="356"/>
      <c r="Y93" s="356"/>
      <c r="Z93" s="366"/>
      <c r="AA93" s="356"/>
      <c r="AB93" s="366"/>
      <c r="AC93" s="366"/>
      <c r="AD93" s="369"/>
    </row>
    <row r="94" spans="1:30" s="46" customFormat="1" ht="15.75" thickBot="1">
      <c r="A94" s="118" t="s">
        <v>357</v>
      </c>
      <c r="B94" s="162"/>
      <c r="C94" s="142">
        <f>SUM(C14,C20,C28,C37,C47,C53,C60,C72,C79,C92)</f>
        <v>0</v>
      </c>
      <c r="D94" s="145">
        <f t="shared" ref="D94:AC94" si="16">SUM(D14,D20,D28,D37,D47,D53,D60,D72,D79,D92)</f>
        <v>0</v>
      </c>
      <c r="E94" s="370">
        <f t="shared" si="16"/>
        <v>47572.57518</v>
      </c>
      <c r="F94" s="370">
        <f t="shared" si="16"/>
        <v>928.98179000000005</v>
      </c>
      <c r="G94" s="370">
        <f t="shared" si="16"/>
        <v>96.559250000000006</v>
      </c>
      <c r="H94" s="370">
        <f t="shared" si="16"/>
        <v>0</v>
      </c>
      <c r="I94" s="370">
        <f t="shared" si="16"/>
        <v>0</v>
      </c>
      <c r="J94" s="370">
        <f t="shared" si="16"/>
        <v>88.491810000000001</v>
      </c>
      <c r="K94" s="370">
        <f t="shared" si="16"/>
        <v>135.28725</v>
      </c>
      <c r="L94" s="370">
        <f t="shared" si="16"/>
        <v>5020.3602100000007</v>
      </c>
      <c r="M94" s="370">
        <f t="shared" si="16"/>
        <v>7818.5135799999998</v>
      </c>
      <c r="N94" s="370">
        <f t="shared" si="16"/>
        <v>242227.34503</v>
      </c>
      <c r="O94" s="370">
        <f t="shared" si="16"/>
        <v>346.75619000000006</v>
      </c>
      <c r="P94" s="370">
        <f t="shared" si="16"/>
        <v>1270.5671400000001</v>
      </c>
      <c r="Q94" s="370">
        <f t="shared" si="16"/>
        <v>2003.89257</v>
      </c>
      <c r="R94" s="370">
        <f t="shared" si="16"/>
        <v>18878.426179999999</v>
      </c>
      <c r="S94" s="370">
        <f t="shared" si="16"/>
        <v>178814.52581999995</v>
      </c>
      <c r="T94" s="371">
        <f t="shared" si="16"/>
        <v>0</v>
      </c>
      <c r="U94" s="372">
        <f t="shared" si="16"/>
        <v>0</v>
      </c>
      <c r="V94" s="372">
        <f t="shared" si="16"/>
        <v>0</v>
      </c>
      <c r="W94" s="370">
        <f t="shared" si="16"/>
        <v>0</v>
      </c>
      <c r="X94" s="372">
        <f t="shared" si="16"/>
        <v>0</v>
      </c>
      <c r="Y94" s="373">
        <f t="shared" si="16"/>
        <v>0</v>
      </c>
      <c r="Z94" s="370">
        <f t="shared" si="16"/>
        <v>0</v>
      </c>
      <c r="AA94" s="374">
        <f t="shared" si="16"/>
        <v>0</v>
      </c>
      <c r="AB94" s="370">
        <f t="shared" si="16"/>
        <v>0</v>
      </c>
      <c r="AC94" s="375">
        <f t="shared" si="16"/>
        <v>0</v>
      </c>
      <c r="AD94" s="376">
        <f>SUM(C94:AC94)</f>
        <v>505202.28200000001</v>
      </c>
    </row>
    <row r="95" spans="1:30" s="46" customFormat="1">
      <c r="A95" s="119"/>
      <c r="B95" s="158"/>
      <c r="C95" s="60"/>
      <c r="D95" s="60"/>
      <c r="E95" s="363"/>
      <c r="F95" s="363"/>
      <c r="G95" s="363"/>
      <c r="H95" s="363"/>
      <c r="I95" s="363"/>
      <c r="J95" s="363"/>
      <c r="K95" s="363"/>
      <c r="L95" s="363"/>
      <c r="M95" s="363"/>
      <c r="N95" s="363"/>
      <c r="O95" s="363"/>
      <c r="P95" s="363"/>
      <c r="Q95" s="363"/>
      <c r="R95" s="363"/>
      <c r="S95" s="363"/>
      <c r="T95" s="363"/>
      <c r="U95" s="363"/>
      <c r="V95" s="363"/>
      <c r="W95" s="363"/>
      <c r="X95" s="363"/>
      <c r="Y95" s="363"/>
      <c r="Z95" s="363"/>
      <c r="AA95" s="363"/>
      <c r="AB95" s="363"/>
      <c r="AC95" s="363"/>
      <c r="AD95" s="377"/>
    </row>
    <row r="96" spans="1:30" s="121" customFormat="1" ht="18">
      <c r="A96" s="435" t="s">
        <v>82</v>
      </c>
      <c r="B96" s="436"/>
      <c r="C96" s="144"/>
      <c r="D96" s="144"/>
      <c r="E96" s="378"/>
      <c r="F96" s="378"/>
      <c r="G96" s="378"/>
      <c r="H96" s="378"/>
      <c r="I96" s="378"/>
      <c r="J96" s="378"/>
      <c r="K96" s="378"/>
      <c r="L96" s="378"/>
      <c r="M96" s="378"/>
      <c r="N96" s="378"/>
      <c r="O96" s="378"/>
      <c r="P96" s="378"/>
      <c r="Q96" s="378"/>
      <c r="R96" s="378"/>
      <c r="S96" s="378"/>
      <c r="T96" s="378"/>
      <c r="U96" s="378"/>
      <c r="V96" s="378"/>
      <c r="W96" s="378"/>
      <c r="X96" s="378"/>
      <c r="Y96" s="378"/>
      <c r="Z96" s="378"/>
      <c r="AA96" s="378"/>
      <c r="AB96" s="378"/>
      <c r="AC96" s="378"/>
      <c r="AD96" s="379"/>
    </row>
    <row r="97" spans="1:30" s="46" customFormat="1">
      <c r="A97" s="111"/>
      <c r="B97" s="48"/>
      <c r="C97" s="58"/>
      <c r="D97" s="58"/>
      <c r="E97" s="356"/>
      <c r="F97" s="356"/>
      <c r="G97" s="356"/>
      <c r="H97" s="356"/>
      <c r="I97" s="356"/>
      <c r="J97" s="356"/>
      <c r="K97" s="356"/>
      <c r="L97" s="356"/>
      <c r="M97" s="363"/>
      <c r="N97" s="363"/>
      <c r="O97" s="363"/>
      <c r="P97" s="363"/>
      <c r="Q97" s="363"/>
      <c r="R97" s="363"/>
      <c r="S97" s="363"/>
      <c r="T97" s="356"/>
      <c r="U97" s="356"/>
      <c r="V97" s="356"/>
      <c r="W97" s="356"/>
      <c r="X97" s="356"/>
      <c r="Y97" s="356"/>
      <c r="Z97" s="363"/>
      <c r="AA97" s="356"/>
      <c r="AB97" s="363"/>
      <c r="AC97" s="363"/>
      <c r="AD97" s="377"/>
    </row>
    <row r="98" spans="1:30" s="46" customFormat="1">
      <c r="A98" s="122" t="s">
        <v>470</v>
      </c>
      <c r="B98" s="150" t="s">
        <v>83</v>
      </c>
      <c r="C98" s="59"/>
      <c r="D98" s="58"/>
      <c r="E98" s="356"/>
      <c r="F98" s="356"/>
      <c r="G98" s="356"/>
      <c r="H98" s="356"/>
      <c r="I98" s="356"/>
      <c r="J98" s="356"/>
      <c r="K98" s="356"/>
      <c r="L98" s="356"/>
      <c r="M98" s="355"/>
      <c r="N98" s="355"/>
      <c r="O98" s="355"/>
      <c r="P98" s="355"/>
      <c r="Q98" s="355"/>
      <c r="R98" s="355"/>
      <c r="S98" s="355"/>
      <c r="T98" s="356"/>
      <c r="U98" s="356"/>
      <c r="V98" s="356"/>
      <c r="W98" s="356"/>
      <c r="X98" s="356"/>
      <c r="Y98" s="356"/>
      <c r="Z98" s="355"/>
      <c r="AA98" s="356"/>
      <c r="AB98" s="355"/>
      <c r="AC98" s="357"/>
      <c r="AD98" s="358">
        <f>SUM(C98:AC98)</f>
        <v>0</v>
      </c>
    </row>
    <row r="99" spans="1:30" s="46" customFormat="1">
      <c r="A99" s="122" t="s">
        <v>471</v>
      </c>
      <c r="B99" s="150" t="s">
        <v>84</v>
      </c>
      <c r="C99" s="59"/>
      <c r="D99" s="58"/>
      <c r="E99" s="356"/>
      <c r="F99" s="360"/>
      <c r="G99" s="360"/>
      <c r="H99" s="360"/>
      <c r="I99" s="360">
        <f>138436.1/1000</f>
        <v>138.43610000000001</v>
      </c>
      <c r="J99" s="360">
        <f>11253/1000</f>
        <v>11.253</v>
      </c>
      <c r="K99" s="360"/>
      <c r="L99" s="360">
        <f>33364.77/1000</f>
        <v>33.36477</v>
      </c>
      <c r="M99" s="360"/>
      <c r="N99" s="360">
        <f>-89084.47/1000</f>
        <v>-89.084469999999996</v>
      </c>
      <c r="O99" s="360">
        <f>7707.7/1000</f>
        <v>7.7077</v>
      </c>
      <c r="P99" s="360"/>
      <c r="Q99" s="360"/>
      <c r="R99" s="360"/>
      <c r="S99" s="360">
        <f>808304.12/1000</f>
        <v>808.30412000000001</v>
      </c>
      <c r="T99" s="356"/>
      <c r="U99" s="356"/>
      <c r="V99" s="356"/>
      <c r="W99" s="356"/>
      <c r="X99" s="356"/>
      <c r="Y99" s="356"/>
      <c r="Z99" s="360"/>
      <c r="AA99" s="356"/>
      <c r="AB99" s="360"/>
      <c r="AC99" s="357">
        <f>110717436.45/1000</f>
        <v>110717.43645000001</v>
      </c>
      <c r="AD99" s="358">
        <f>SUM(C99:AC99)</f>
        <v>111627.41767000001</v>
      </c>
    </row>
    <row r="100" spans="1:30" s="46" customFormat="1" ht="15">
      <c r="A100" s="98" t="s">
        <v>85</v>
      </c>
      <c r="B100" s="150"/>
      <c r="C100" s="57">
        <f>SUM(C98:C99)</f>
        <v>0</v>
      </c>
      <c r="D100" s="58">
        <f t="shared" ref="D100:AC100" si="17">SUM(D98:D99)</f>
        <v>0</v>
      </c>
      <c r="E100" s="354">
        <f t="shared" si="17"/>
        <v>0</v>
      </c>
      <c r="F100" s="359">
        <f t="shared" si="17"/>
        <v>0</v>
      </c>
      <c r="G100" s="359">
        <f t="shared" si="17"/>
        <v>0</v>
      </c>
      <c r="H100" s="359">
        <f t="shared" si="17"/>
        <v>0</v>
      </c>
      <c r="I100" s="359">
        <f t="shared" si="17"/>
        <v>138.43610000000001</v>
      </c>
      <c r="J100" s="359">
        <f t="shared" si="17"/>
        <v>11.253</v>
      </c>
      <c r="K100" s="359">
        <f t="shared" si="17"/>
        <v>0</v>
      </c>
      <c r="L100" s="359">
        <f t="shared" si="17"/>
        <v>33.36477</v>
      </c>
      <c r="M100" s="359">
        <f t="shared" si="17"/>
        <v>0</v>
      </c>
      <c r="N100" s="359">
        <f t="shared" si="17"/>
        <v>-89.084469999999996</v>
      </c>
      <c r="O100" s="359">
        <f t="shared" si="17"/>
        <v>7.7077</v>
      </c>
      <c r="P100" s="359">
        <f t="shared" si="17"/>
        <v>0</v>
      </c>
      <c r="Q100" s="359">
        <f t="shared" si="17"/>
        <v>0</v>
      </c>
      <c r="R100" s="359">
        <f t="shared" si="17"/>
        <v>0</v>
      </c>
      <c r="S100" s="359">
        <f t="shared" si="17"/>
        <v>808.30412000000001</v>
      </c>
      <c r="T100" s="367">
        <f t="shared" si="17"/>
        <v>0</v>
      </c>
      <c r="U100" s="356">
        <f t="shared" si="17"/>
        <v>0</v>
      </c>
      <c r="V100" s="356">
        <f t="shared" si="17"/>
        <v>0</v>
      </c>
      <c r="W100" s="356">
        <f t="shared" si="17"/>
        <v>0</v>
      </c>
      <c r="X100" s="356">
        <f t="shared" si="17"/>
        <v>0</v>
      </c>
      <c r="Y100" s="354">
        <f t="shared" si="17"/>
        <v>0</v>
      </c>
      <c r="Z100" s="359">
        <f t="shared" si="17"/>
        <v>0</v>
      </c>
      <c r="AA100" s="368">
        <f t="shared" si="17"/>
        <v>0</v>
      </c>
      <c r="AB100" s="359">
        <f t="shared" si="17"/>
        <v>0</v>
      </c>
      <c r="AC100" s="357">
        <f t="shared" si="17"/>
        <v>110717.43645000001</v>
      </c>
      <c r="AD100" s="358">
        <f>SUM(C100:AC100)</f>
        <v>111627.41767000001</v>
      </c>
    </row>
    <row r="101" spans="1:30" s="46" customFormat="1">
      <c r="A101" s="111"/>
      <c r="B101" s="48"/>
      <c r="C101" s="112"/>
      <c r="D101" s="60"/>
      <c r="E101" s="363"/>
      <c r="F101" s="364"/>
      <c r="G101" s="364"/>
      <c r="H101" s="364"/>
      <c r="I101" s="364"/>
      <c r="J101" s="364"/>
      <c r="K101" s="364"/>
      <c r="L101" s="364"/>
      <c r="M101" s="364"/>
      <c r="N101" s="364"/>
      <c r="O101" s="364"/>
      <c r="P101" s="364"/>
      <c r="Q101" s="364"/>
      <c r="R101" s="364"/>
      <c r="S101" s="364"/>
      <c r="T101" s="363"/>
      <c r="U101" s="363"/>
      <c r="V101" s="363"/>
      <c r="W101" s="363"/>
      <c r="X101" s="363"/>
      <c r="Y101" s="363"/>
      <c r="Z101" s="364"/>
      <c r="AA101" s="363"/>
      <c r="AB101" s="364"/>
      <c r="AC101" s="364"/>
      <c r="AD101" s="365"/>
    </row>
    <row r="102" spans="1:30" s="121" customFormat="1" ht="18">
      <c r="A102" s="435" t="s">
        <v>86</v>
      </c>
      <c r="B102" s="436"/>
      <c r="C102" s="144"/>
      <c r="D102" s="144"/>
      <c r="E102" s="378"/>
      <c r="F102" s="378"/>
      <c r="G102" s="378"/>
      <c r="H102" s="378"/>
      <c r="I102" s="378"/>
      <c r="J102" s="378"/>
      <c r="K102" s="378"/>
      <c r="L102" s="378"/>
      <c r="M102" s="378"/>
      <c r="N102" s="378"/>
      <c r="O102" s="378"/>
      <c r="P102" s="378"/>
      <c r="Q102" s="378"/>
      <c r="R102" s="378"/>
      <c r="S102" s="378"/>
      <c r="T102" s="378"/>
      <c r="U102" s="378"/>
      <c r="V102" s="378"/>
      <c r="W102" s="378"/>
      <c r="X102" s="378"/>
      <c r="Y102" s="378"/>
      <c r="Z102" s="378"/>
      <c r="AA102" s="378"/>
      <c r="AB102" s="378"/>
      <c r="AC102" s="378"/>
      <c r="AD102" s="379"/>
    </row>
    <row r="103" spans="1:30" s="46" customFormat="1">
      <c r="A103" s="111"/>
      <c r="B103" s="48"/>
      <c r="C103" s="60"/>
      <c r="D103" s="60"/>
      <c r="E103" s="363"/>
      <c r="F103" s="363"/>
      <c r="G103" s="363"/>
      <c r="H103" s="363"/>
      <c r="I103" s="363"/>
      <c r="J103" s="363"/>
      <c r="K103" s="363"/>
      <c r="L103" s="363"/>
      <c r="M103" s="363"/>
      <c r="N103" s="363"/>
      <c r="O103" s="363"/>
      <c r="P103" s="363"/>
      <c r="Q103" s="363"/>
      <c r="R103" s="363"/>
      <c r="S103" s="363"/>
      <c r="T103" s="363"/>
      <c r="U103" s="363"/>
      <c r="V103" s="363"/>
      <c r="W103" s="363"/>
      <c r="X103" s="363"/>
      <c r="Y103" s="363"/>
      <c r="Z103" s="363"/>
      <c r="AA103" s="363"/>
      <c r="AB103" s="363"/>
      <c r="AC103" s="363"/>
      <c r="AD103" s="377"/>
    </row>
    <row r="104" spans="1:30" s="62" customFormat="1" ht="15">
      <c r="A104" s="441" t="s">
        <v>87</v>
      </c>
      <c r="B104" s="442"/>
      <c r="C104" s="112"/>
      <c r="D104" s="114"/>
      <c r="E104" s="366"/>
      <c r="F104" s="364"/>
      <c r="G104" s="364"/>
      <c r="H104" s="364"/>
      <c r="I104" s="364"/>
      <c r="J104" s="364"/>
      <c r="K104" s="364"/>
      <c r="L104" s="364"/>
      <c r="M104" s="364"/>
      <c r="N104" s="364"/>
      <c r="O104" s="364"/>
      <c r="P104" s="364"/>
      <c r="Q104" s="364"/>
      <c r="R104" s="364"/>
      <c r="S104" s="364"/>
      <c r="T104" s="366"/>
      <c r="U104" s="366"/>
      <c r="V104" s="366"/>
      <c r="W104" s="366"/>
      <c r="X104" s="366"/>
      <c r="Y104" s="366"/>
      <c r="Z104" s="366"/>
      <c r="AA104" s="366"/>
      <c r="AB104" s="364"/>
      <c r="AC104" s="363"/>
      <c r="AD104" s="377"/>
    </row>
    <row r="105" spans="1:30" s="62" customFormat="1" ht="15">
      <c r="A105" s="50" t="s">
        <v>88</v>
      </c>
      <c r="B105" s="51" t="s">
        <v>89</v>
      </c>
      <c r="C105" s="61"/>
      <c r="D105" s="58"/>
      <c r="E105" s="356"/>
      <c r="F105" s="355"/>
      <c r="G105" s="355"/>
      <c r="H105" s="355"/>
      <c r="I105" s="355"/>
      <c r="J105" s="355"/>
      <c r="K105" s="355"/>
      <c r="L105" s="355"/>
      <c r="M105" s="355"/>
      <c r="N105" s="355"/>
      <c r="O105" s="355"/>
      <c r="P105" s="355"/>
      <c r="Q105" s="355"/>
      <c r="R105" s="355"/>
      <c r="S105" s="355"/>
      <c r="T105" s="356"/>
      <c r="U105" s="356"/>
      <c r="V105" s="359"/>
      <c r="W105" s="356"/>
      <c r="X105" s="356"/>
      <c r="Y105" s="356"/>
      <c r="Z105" s="356"/>
      <c r="AA105" s="356"/>
      <c r="AB105" s="355"/>
      <c r="AC105" s="380"/>
      <c r="AD105" s="358">
        <f t="shared" ref="AD105:AD123" si="18">SUM(C105:AC105)</f>
        <v>0</v>
      </c>
    </row>
    <row r="106" spans="1:30" s="62" customFormat="1" ht="15">
      <c r="A106" s="50" t="s">
        <v>90</v>
      </c>
      <c r="B106" s="51" t="s">
        <v>91</v>
      </c>
      <c r="C106" s="57"/>
      <c r="D106" s="58"/>
      <c r="E106" s="356"/>
      <c r="F106" s="359"/>
      <c r="G106" s="359"/>
      <c r="H106" s="359"/>
      <c r="I106" s="359"/>
      <c r="J106" s="359"/>
      <c r="K106" s="359"/>
      <c r="L106" s="359"/>
      <c r="M106" s="359"/>
      <c r="N106" s="359"/>
      <c r="O106" s="359"/>
      <c r="P106" s="359"/>
      <c r="Q106" s="359"/>
      <c r="R106" s="359"/>
      <c r="S106" s="359"/>
      <c r="T106" s="356"/>
      <c r="U106" s="356"/>
      <c r="V106" s="356"/>
      <c r="W106" s="356"/>
      <c r="X106" s="356"/>
      <c r="Y106" s="356"/>
      <c r="Z106" s="356"/>
      <c r="AA106" s="356"/>
      <c r="AB106" s="359"/>
      <c r="AC106" s="357"/>
      <c r="AD106" s="358">
        <f t="shared" si="18"/>
        <v>0</v>
      </c>
    </row>
    <row r="107" spans="1:30" s="62" customFormat="1" ht="15">
      <c r="A107" s="50" t="s">
        <v>92</v>
      </c>
      <c r="B107" s="51" t="s">
        <v>93</v>
      </c>
      <c r="C107" s="57"/>
      <c r="D107" s="58"/>
      <c r="E107" s="356"/>
      <c r="F107" s="359"/>
      <c r="G107" s="359"/>
      <c r="H107" s="359"/>
      <c r="I107" s="359"/>
      <c r="J107" s="359"/>
      <c r="K107" s="359"/>
      <c r="L107" s="359"/>
      <c r="M107" s="359"/>
      <c r="N107" s="359"/>
      <c r="O107" s="359"/>
      <c r="P107" s="359"/>
      <c r="Q107" s="359"/>
      <c r="R107" s="359"/>
      <c r="S107" s="359"/>
      <c r="T107" s="356"/>
      <c r="U107" s="356"/>
      <c r="V107" s="356"/>
      <c r="W107" s="356"/>
      <c r="X107" s="356"/>
      <c r="Y107" s="356"/>
      <c r="Z107" s="356"/>
      <c r="AA107" s="356"/>
      <c r="AB107" s="359"/>
      <c r="AC107" s="357"/>
      <c r="AD107" s="358">
        <f t="shared" si="18"/>
        <v>0</v>
      </c>
    </row>
    <row r="108" spans="1:30" s="62" customFormat="1" ht="15">
      <c r="A108" s="50" t="s">
        <v>94</v>
      </c>
      <c r="B108" s="51" t="s">
        <v>95</v>
      </c>
      <c r="C108" s="57"/>
      <c r="D108" s="58"/>
      <c r="E108" s="356"/>
      <c r="F108" s="359"/>
      <c r="G108" s="359"/>
      <c r="H108" s="359"/>
      <c r="I108" s="359"/>
      <c r="J108" s="359"/>
      <c r="K108" s="359"/>
      <c r="L108" s="359"/>
      <c r="M108" s="359"/>
      <c r="N108" s="359"/>
      <c r="O108" s="359"/>
      <c r="P108" s="359"/>
      <c r="Q108" s="359"/>
      <c r="R108" s="359"/>
      <c r="S108" s="359"/>
      <c r="T108" s="356"/>
      <c r="U108" s="356"/>
      <c r="V108" s="356"/>
      <c r="W108" s="356"/>
      <c r="X108" s="356"/>
      <c r="Y108" s="356"/>
      <c r="Z108" s="356"/>
      <c r="AA108" s="356"/>
      <c r="AB108" s="359"/>
      <c r="AC108" s="357"/>
      <c r="AD108" s="358">
        <f t="shared" si="18"/>
        <v>0</v>
      </c>
    </row>
    <row r="109" spans="1:30" s="62" customFormat="1" ht="15">
      <c r="A109" s="50" t="s">
        <v>96</v>
      </c>
      <c r="B109" s="51" t="s">
        <v>97</v>
      </c>
      <c r="C109" s="57"/>
      <c r="D109" s="58"/>
      <c r="E109" s="356"/>
      <c r="F109" s="359"/>
      <c r="G109" s="359"/>
      <c r="H109" s="359"/>
      <c r="I109" s="359"/>
      <c r="J109" s="359"/>
      <c r="K109" s="359"/>
      <c r="L109" s="359"/>
      <c r="M109" s="359"/>
      <c r="N109" s="359"/>
      <c r="O109" s="359"/>
      <c r="P109" s="359"/>
      <c r="Q109" s="359"/>
      <c r="R109" s="359"/>
      <c r="S109" s="359">
        <f>(1663370.19)/1000</f>
        <v>1663.3701899999999</v>
      </c>
      <c r="T109" s="356"/>
      <c r="U109" s="356"/>
      <c r="V109" s="356"/>
      <c r="W109" s="356"/>
      <c r="X109" s="356"/>
      <c r="Y109" s="356"/>
      <c r="Z109" s="356"/>
      <c r="AA109" s="356"/>
      <c r="AB109" s="359"/>
      <c r="AC109" s="357"/>
      <c r="AD109" s="358">
        <f t="shared" si="18"/>
        <v>1663.3701899999999</v>
      </c>
    </row>
    <row r="110" spans="1:30" s="62" customFormat="1" ht="15">
      <c r="A110" s="50" t="s">
        <v>98</v>
      </c>
      <c r="B110" s="51" t="s">
        <v>99</v>
      </c>
      <c r="C110" s="57"/>
      <c r="D110" s="58"/>
      <c r="E110" s="356"/>
      <c r="F110" s="359"/>
      <c r="G110" s="359">
        <f>572186.75/1000</f>
        <v>572.18674999999996</v>
      </c>
      <c r="H110" s="359"/>
      <c r="I110" s="359"/>
      <c r="J110" s="359">
        <f>7200/1000</f>
        <v>7.2</v>
      </c>
      <c r="K110" s="359">
        <f>13380/1000</f>
        <v>13.38</v>
      </c>
      <c r="L110" s="359">
        <f>42361/1000</f>
        <v>42.360999999999997</v>
      </c>
      <c r="M110" s="359"/>
      <c r="N110" s="359">
        <f>330000/1000</f>
        <v>330</v>
      </c>
      <c r="O110" s="359">
        <f>8710/1000</f>
        <v>8.7100000000000009</v>
      </c>
      <c r="P110" s="359">
        <f>2585441.12/1000</f>
        <v>2585.44112</v>
      </c>
      <c r="Q110" s="359">
        <f>4052/1000</f>
        <v>4.0519999999999996</v>
      </c>
      <c r="R110" s="359"/>
      <c r="S110" s="359">
        <f>(5411148.84+28597530.46+388566)/1000</f>
        <v>34397.245299999995</v>
      </c>
      <c r="T110" s="356"/>
      <c r="U110" s="356"/>
      <c r="V110" s="356"/>
      <c r="W110" s="356"/>
      <c r="X110" s="356"/>
      <c r="Y110" s="356"/>
      <c r="Z110" s="356"/>
      <c r="AA110" s="356"/>
      <c r="AB110" s="359"/>
      <c r="AC110" s="357"/>
      <c r="AD110" s="358">
        <f t="shared" si="18"/>
        <v>37960.576169999993</v>
      </c>
    </row>
    <row r="111" spans="1:30" s="62" customFormat="1" ht="15">
      <c r="A111" s="50" t="s">
        <v>100</v>
      </c>
      <c r="B111" s="51" t="s">
        <v>101</v>
      </c>
      <c r="C111" s="57"/>
      <c r="D111" s="58"/>
      <c r="E111" s="356"/>
      <c r="F111" s="359"/>
      <c r="G111" s="359"/>
      <c r="H111" s="359"/>
      <c r="I111" s="359"/>
      <c r="J111" s="359"/>
      <c r="K111" s="359"/>
      <c r="L111" s="359"/>
      <c r="M111" s="359"/>
      <c r="N111" s="359"/>
      <c r="O111" s="359"/>
      <c r="P111" s="359"/>
      <c r="Q111" s="359"/>
      <c r="R111" s="359"/>
      <c r="S111" s="359"/>
      <c r="T111" s="356"/>
      <c r="U111" s="356"/>
      <c r="V111" s="356"/>
      <c r="W111" s="356"/>
      <c r="X111" s="356"/>
      <c r="Y111" s="356"/>
      <c r="Z111" s="356"/>
      <c r="AA111" s="356"/>
      <c r="AB111" s="359"/>
      <c r="AC111" s="357"/>
      <c r="AD111" s="358">
        <f t="shared" si="18"/>
        <v>0</v>
      </c>
    </row>
    <row r="112" spans="1:30" s="62" customFormat="1" ht="15">
      <c r="A112" s="50" t="s">
        <v>102</v>
      </c>
      <c r="B112" s="51" t="s">
        <v>103</v>
      </c>
      <c r="C112" s="57"/>
      <c r="D112" s="58"/>
      <c r="E112" s="356"/>
      <c r="F112" s="359"/>
      <c r="G112" s="359"/>
      <c r="H112" s="359"/>
      <c r="I112" s="359"/>
      <c r="J112" s="359"/>
      <c r="K112" s="359"/>
      <c r="L112" s="359"/>
      <c r="M112" s="359"/>
      <c r="N112" s="359"/>
      <c r="O112" s="359"/>
      <c r="P112" s="359"/>
      <c r="Q112" s="359"/>
      <c r="R112" s="359"/>
      <c r="S112" s="359">
        <f>89134.85/1000</f>
        <v>89.13485</v>
      </c>
      <c r="T112" s="356"/>
      <c r="U112" s="356"/>
      <c r="V112" s="356"/>
      <c r="W112" s="356"/>
      <c r="X112" s="356"/>
      <c r="Y112" s="356"/>
      <c r="Z112" s="356"/>
      <c r="AA112" s="356"/>
      <c r="AB112" s="359"/>
      <c r="AC112" s="357"/>
      <c r="AD112" s="358">
        <f t="shared" si="18"/>
        <v>89.13485</v>
      </c>
    </row>
    <row r="113" spans="1:30" s="62" customFormat="1" ht="15">
      <c r="A113" s="50" t="s">
        <v>104</v>
      </c>
      <c r="B113" s="51" t="s">
        <v>105</v>
      </c>
      <c r="C113" s="57"/>
      <c r="D113" s="58"/>
      <c r="E113" s="356"/>
      <c r="F113" s="359"/>
      <c r="G113" s="359">
        <f>1407/1000</f>
        <v>1.407</v>
      </c>
      <c r="H113" s="359"/>
      <c r="I113" s="359"/>
      <c r="J113" s="359"/>
      <c r="K113" s="359"/>
      <c r="L113" s="359"/>
      <c r="M113" s="359"/>
      <c r="N113" s="359"/>
      <c r="O113" s="359"/>
      <c r="P113" s="359"/>
      <c r="Q113" s="359"/>
      <c r="R113" s="359"/>
      <c r="S113" s="359"/>
      <c r="T113" s="356"/>
      <c r="U113" s="356"/>
      <c r="V113" s="356"/>
      <c r="W113" s="356"/>
      <c r="X113" s="356"/>
      <c r="Y113" s="356"/>
      <c r="Z113" s="356"/>
      <c r="AA113" s="356"/>
      <c r="AB113" s="359"/>
      <c r="AC113" s="357"/>
      <c r="AD113" s="358">
        <f t="shared" si="18"/>
        <v>1.407</v>
      </c>
    </row>
    <row r="114" spans="1:30" s="62" customFormat="1" ht="15">
      <c r="A114" s="50" t="s">
        <v>106</v>
      </c>
      <c r="B114" s="51" t="s">
        <v>107</v>
      </c>
      <c r="C114" s="57"/>
      <c r="D114" s="58"/>
      <c r="E114" s="356"/>
      <c r="F114" s="356"/>
      <c r="G114" s="356"/>
      <c r="H114" s="356"/>
      <c r="I114" s="356"/>
      <c r="J114" s="356"/>
      <c r="K114" s="356"/>
      <c r="L114" s="356"/>
      <c r="M114" s="356"/>
      <c r="N114" s="356"/>
      <c r="O114" s="356"/>
      <c r="P114" s="356"/>
      <c r="Q114" s="356"/>
      <c r="R114" s="356"/>
      <c r="S114" s="356"/>
      <c r="T114" s="356"/>
      <c r="U114" s="356"/>
      <c r="V114" s="356"/>
      <c r="W114" s="359"/>
      <c r="X114" s="356"/>
      <c r="Y114" s="356"/>
      <c r="Z114" s="359"/>
      <c r="AA114" s="356"/>
      <c r="AB114" s="356"/>
      <c r="AC114" s="366"/>
      <c r="AD114" s="358">
        <f t="shared" si="18"/>
        <v>0</v>
      </c>
    </row>
    <row r="115" spans="1:30" s="62" customFormat="1" ht="15">
      <c r="A115" s="50" t="s">
        <v>108</v>
      </c>
      <c r="B115" s="51" t="s">
        <v>109</v>
      </c>
      <c r="C115" s="57"/>
      <c r="D115" s="58"/>
      <c r="E115" s="356"/>
      <c r="F115" s="356"/>
      <c r="G115" s="356"/>
      <c r="H115" s="356"/>
      <c r="I115" s="356"/>
      <c r="J115" s="356"/>
      <c r="K115" s="356"/>
      <c r="L115" s="356"/>
      <c r="M115" s="356"/>
      <c r="N115" s="356"/>
      <c r="O115" s="356"/>
      <c r="P115" s="356"/>
      <c r="Q115" s="356"/>
      <c r="R115" s="356"/>
      <c r="S115" s="356"/>
      <c r="T115" s="356"/>
      <c r="U115" s="356"/>
      <c r="V115" s="356"/>
      <c r="W115" s="359"/>
      <c r="X115" s="356"/>
      <c r="Y115" s="359"/>
      <c r="Z115" s="356"/>
      <c r="AA115" s="356"/>
      <c r="AB115" s="356"/>
      <c r="AC115" s="356"/>
      <c r="AD115" s="358">
        <f t="shared" si="18"/>
        <v>0</v>
      </c>
    </row>
    <row r="116" spans="1:30" s="62" customFormat="1" ht="15">
      <c r="A116" s="50" t="s">
        <v>110</v>
      </c>
      <c r="B116" s="51" t="s">
        <v>111</v>
      </c>
      <c r="C116" s="57"/>
      <c r="D116" s="58"/>
      <c r="E116" s="356"/>
      <c r="F116" s="356"/>
      <c r="G116" s="356"/>
      <c r="H116" s="356"/>
      <c r="I116" s="356"/>
      <c r="J116" s="356"/>
      <c r="K116" s="356"/>
      <c r="L116" s="356"/>
      <c r="M116" s="356"/>
      <c r="N116" s="356"/>
      <c r="O116" s="356"/>
      <c r="P116" s="356"/>
      <c r="Q116" s="356"/>
      <c r="R116" s="356"/>
      <c r="S116" s="356"/>
      <c r="T116" s="356"/>
      <c r="U116" s="356"/>
      <c r="V116" s="356"/>
      <c r="W116" s="359"/>
      <c r="X116" s="356"/>
      <c r="Y116" s="359"/>
      <c r="Z116" s="359"/>
      <c r="AA116" s="356"/>
      <c r="AB116" s="356"/>
      <c r="AC116" s="356"/>
      <c r="AD116" s="358">
        <f t="shared" si="18"/>
        <v>0</v>
      </c>
    </row>
    <row r="117" spans="1:30" s="62" customFormat="1" ht="15">
      <c r="A117" s="50" t="s">
        <v>112</v>
      </c>
      <c r="B117" s="51" t="s">
        <v>113</v>
      </c>
      <c r="C117" s="57"/>
      <c r="D117" s="58"/>
      <c r="E117" s="356"/>
      <c r="F117" s="356"/>
      <c r="G117" s="356"/>
      <c r="H117" s="356"/>
      <c r="I117" s="356"/>
      <c r="J117" s="356"/>
      <c r="K117" s="356"/>
      <c r="L117" s="356"/>
      <c r="M117" s="356"/>
      <c r="N117" s="356"/>
      <c r="O117" s="356"/>
      <c r="P117" s="356"/>
      <c r="Q117" s="356"/>
      <c r="R117" s="356"/>
      <c r="S117" s="356"/>
      <c r="T117" s="356"/>
      <c r="U117" s="356"/>
      <c r="V117" s="356"/>
      <c r="W117" s="356"/>
      <c r="X117" s="356"/>
      <c r="Y117" s="356"/>
      <c r="Z117" s="356"/>
      <c r="AA117" s="356"/>
      <c r="AB117" s="356"/>
      <c r="AC117" s="356"/>
      <c r="AD117" s="358">
        <f t="shared" si="18"/>
        <v>0</v>
      </c>
    </row>
    <row r="118" spans="1:30" s="62" customFormat="1" ht="15">
      <c r="A118" s="50" t="s">
        <v>114</v>
      </c>
      <c r="B118" s="51" t="s">
        <v>115</v>
      </c>
      <c r="C118" s="57"/>
      <c r="D118" s="58"/>
      <c r="E118" s="356"/>
      <c r="F118" s="356"/>
      <c r="G118" s="356"/>
      <c r="H118" s="356"/>
      <c r="I118" s="356"/>
      <c r="J118" s="356"/>
      <c r="K118" s="356"/>
      <c r="L118" s="356"/>
      <c r="M118" s="356"/>
      <c r="N118" s="356"/>
      <c r="O118" s="356"/>
      <c r="P118" s="356"/>
      <c r="Q118" s="356"/>
      <c r="R118" s="356"/>
      <c r="S118" s="356"/>
      <c r="T118" s="356"/>
      <c r="U118" s="356"/>
      <c r="V118" s="356"/>
      <c r="W118" s="359"/>
      <c r="X118" s="359"/>
      <c r="Y118" s="359">
        <f>30026373.34/1000</f>
        <v>30026.373339999998</v>
      </c>
      <c r="Z118" s="359"/>
      <c r="AA118" s="356"/>
      <c r="AB118" s="356"/>
      <c r="AC118" s="356"/>
      <c r="AD118" s="358">
        <f t="shared" si="18"/>
        <v>30026.373339999998</v>
      </c>
    </row>
    <row r="119" spans="1:30" s="62" customFormat="1" ht="15">
      <c r="A119" s="50" t="s">
        <v>116</v>
      </c>
      <c r="B119" s="51" t="s">
        <v>117</v>
      </c>
      <c r="C119" s="57"/>
      <c r="D119" s="58"/>
      <c r="E119" s="356"/>
      <c r="F119" s="356"/>
      <c r="G119" s="356"/>
      <c r="H119" s="356"/>
      <c r="I119" s="356"/>
      <c r="J119" s="356"/>
      <c r="K119" s="356"/>
      <c r="L119" s="356"/>
      <c r="M119" s="356"/>
      <c r="N119" s="356"/>
      <c r="O119" s="356"/>
      <c r="P119" s="356"/>
      <c r="Q119" s="356"/>
      <c r="R119" s="356"/>
      <c r="S119" s="356"/>
      <c r="T119" s="356"/>
      <c r="U119" s="356"/>
      <c r="V119" s="356"/>
      <c r="W119" s="359"/>
      <c r="X119" s="359"/>
      <c r="Y119" s="359"/>
      <c r="Z119" s="356"/>
      <c r="AA119" s="356"/>
      <c r="AB119" s="356"/>
      <c r="AC119" s="356"/>
      <c r="AD119" s="358">
        <f t="shared" si="18"/>
        <v>0</v>
      </c>
    </row>
    <row r="120" spans="1:30" s="62" customFormat="1" ht="15">
      <c r="A120" s="50" t="s">
        <v>118</v>
      </c>
      <c r="B120" s="51" t="s">
        <v>119</v>
      </c>
      <c r="C120" s="57"/>
      <c r="D120" s="58"/>
      <c r="E120" s="356"/>
      <c r="F120" s="356"/>
      <c r="G120" s="356"/>
      <c r="H120" s="356"/>
      <c r="I120" s="356"/>
      <c r="J120" s="356"/>
      <c r="K120" s="356"/>
      <c r="L120" s="356"/>
      <c r="M120" s="356"/>
      <c r="N120" s="356"/>
      <c r="O120" s="356"/>
      <c r="P120" s="356"/>
      <c r="Q120" s="356"/>
      <c r="R120" s="356"/>
      <c r="S120" s="356"/>
      <c r="T120" s="356"/>
      <c r="U120" s="356"/>
      <c r="V120" s="356"/>
      <c r="W120" s="359"/>
      <c r="X120" s="356"/>
      <c r="Y120" s="359">
        <f>11774183.95/1000</f>
        <v>11774.183949999999</v>
      </c>
      <c r="Z120" s="356"/>
      <c r="AA120" s="356"/>
      <c r="AB120" s="356"/>
      <c r="AC120" s="356"/>
      <c r="AD120" s="358">
        <f t="shared" si="18"/>
        <v>11774.183949999999</v>
      </c>
    </row>
    <row r="121" spans="1:30" s="62" customFormat="1" ht="15">
      <c r="A121" s="50" t="s">
        <v>120</v>
      </c>
      <c r="B121" s="51" t="s">
        <v>121</v>
      </c>
      <c r="C121" s="57"/>
      <c r="D121" s="58"/>
      <c r="E121" s="356"/>
      <c r="F121" s="356"/>
      <c r="G121" s="356"/>
      <c r="H121" s="356"/>
      <c r="I121" s="356"/>
      <c r="J121" s="356"/>
      <c r="K121" s="356"/>
      <c r="L121" s="356"/>
      <c r="M121" s="356"/>
      <c r="N121" s="356"/>
      <c r="O121" s="356"/>
      <c r="P121" s="356"/>
      <c r="Q121" s="356"/>
      <c r="R121" s="356"/>
      <c r="S121" s="356"/>
      <c r="T121" s="356"/>
      <c r="U121" s="356"/>
      <c r="V121" s="359">
        <f>175566998.04/1000</f>
        <v>175566.99804000001</v>
      </c>
      <c r="W121" s="359"/>
      <c r="X121" s="356"/>
      <c r="Y121" s="356"/>
      <c r="Z121" s="356"/>
      <c r="AA121" s="356"/>
      <c r="AB121" s="356"/>
      <c r="AC121" s="363"/>
      <c r="AD121" s="358">
        <f t="shared" si="18"/>
        <v>175566.99804000001</v>
      </c>
    </row>
    <row r="122" spans="1:30" s="62" customFormat="1" ht="15">
      <c r="A122" s="50" t="s">
        <v>122</v>
      </c>
      <c r="B122" s="51" t="s">
        <v>123</v>
      </c>
      <c r="C122" s="59"/>
      <c r="D122" s="58"/>
      <c r="E122" s="356"/>
      <c r="F122" s="360"/>
      <c r="G122" s="360"/>
      <c r="H122" s="360"/>
      <c r="I122" s="360"/>
      <c r="J122" s="360"/>
      <c r="K122" s="360"/>
      <c r="L122" s="360"/>
      <c r="M122" s="360"/>
      <c r="N122" s="360"/>
      <c r="O122" s="360"/>
      <c r="P122" s="360"/>
      <c r="Q122" s="360"/>
      <c r="R122" s="360"/>
      <c r="S122" s="360">
        <f>50979.09/1000</f>
        <v>50.979089999999999</v>
      </c>
      <c r="T122" s="356"/>
      <c r="U122" s="356"/>
      <c r="V122" s="356"/>
      <c r="W122" s="356"/>
      <c r="X122" s="356"/>
      <c r="Y122" s="356"/>
      <c r="Z122" s="356"/>
      <c r="AA122" s="356"/>
      <c r="AB122" s="360"/>
      <c r="AC122" s="357"/>
      <c r="AD122" s="358">
        <f t="shared" si="18"/>
        <v>50.979089999999999</v>
      </c>
    </row>
    <row r="123" spans="1:30" s="46" customFormat="1" ht="15.75">
      <c r="A123" s="445" t="s">
        <v>124</v>
      </c>
      <c r="B123" s="446"/>
      <c r="C123" s="57">
        <f>SUM(C105:C122)</f>
        <v>0</v>
      </c>
      <c r="D123" s="58">
        <f t="shared" ref="D123:AC123" si="19">SUM(D105:D122)</f>
        <v>0</v>
      </c>
      <c r="E123" s="354">
        <f t="shared" si="19"/>
        <v>0</v>
      </c>
      <c r="F123" s="359">
        <f t="shared" si="19"/>
        <v>0</v>
      </c>
      <c r="G123" s="359">
        <f t="shared" si="19"/>
        <v>573.59375</v>
      </c>
      <c r="H123" s="359">
        <f t="shared" si="19"/>
        <v>0</v>
      </c>
      <c r="I123" s="359">
        <f t="shared" si="19"/>
        <v>0</v>
      </c>
      <c r="J123" s="359">
        <f t="shared" si="19"/>
        <v>7.2</v>
      </c>
      <c r="K123" s="359">
        <f t="shared" si="19"/>
        <v>13.38</v>
      </c>
      <c r="L123" s="359">
        <f t="shared" si="19"/>
        <v>42.360999999999997</v>
      </c>
      <c r="M123" s="359">
        <f t="shared" si="19"/>
        <v>0</v>
      </c>
      <c r="N123" s="359">
        <f t="shared" si="19"/>
        <v>330</v>
      </c>
      <c r="O123" s="359">
        <f t="shared" si="19"/>
        <v>8.7100000000000009</v>
      </c>
      <c r="P123" s="359">
        <f t="shared" si="19"/>
        <v>2585.44112</v>
      </c>
      <c r="Q123" s="359">
        <f t="shared" si="19"/>
        <v>4.0519999999999996</v>
      </c>
      <c r="R123" s="359">
        <f t="shared" si="19"/>
        <v>0</v>
      </c>
      <c r="S123" s="359">
        <f t="shared" si="19"/>
        <v>36200.729429999999</v>
      </c>
      <c r="T123" s="356">
        <f t="shared" si="19"/>
        <v>0</v>
      </c>
      <c r="U123" s="354">
        <f t="shared" si="19"/>
        <v>0</v>
      </c>
      <c r="V123" s="359">
        <f t="shared" si="19"/>
        <v>175566.99804000001</v>
      </c>
      <c r="W123" s="359">
        <f t="shared" si="19"/>
        <v>0</v>
      </c>
      <c r="X123" s="359">
        <f t="shared" si="19"/>
        <v>0</v>
      </c>
      <c r="Y123" s="359">
        <f t="shared" si="19"/>
        <v>41800.557289999997</v>
      </c>
      <c r="Z123" s="359">
        <f t="shared" si="19"/>
        <v>0</v>
      </c>
      <c r="AA123" s="354">
        <f t="shared" si="19"/>
        <v>0</v>
      </c>
      <c r="AB123" s="359">
        <f t="shared" si="19"/>
        <v>0</v>
      </c>
      <c r="AC123" s="357">
        <f t="shared" si="19"/>
        <v>0</v>
      </c>
      <c r="AD123" s="358">
        <f t="shared" si="18"/>
        <v>257133.02262999999</v>
      </c>
    </row>
    <row r="124" spans="1:30" s="46" customFormat="1" ht="15">
      <c r="A124" s="47"/>
      <c r="B124" s="48"/>
      <c r="C124" s="112"/>
      <c r="D124" s="60"/>
      <c r="E124" s="363"/>
      <c r="F124" s="364"/>
      <c r="G124" s="364"/>
      <c r="H124" s="364"/>
      <c r="I124" s="364"/>
      <c r="J124" s="364"/>
      <c r="K124" s="364"/>
      <c r="L124" s="364"/>
      <c r="M124" s="364"/>
      <c r="N124" s="364"/>
      <c r="O124" s="364"/>
      <c r="P124" s="364"/>
      <c r="Q124" s="364"/>
      <c r="R124" s="364"/>
      <c r="S124" s="364"/>
      <c r="T124" s="363"/>
      <c r="U124" s="363"/>
      <c r="V124" s="364"/>
      <c r="W124" s="364"/>
      <c r="X124" s="364"/>
      <c r="Y124" s="364"/>
      <c r="Z124" s="364"/>
      <c r="AA124" s="363"/>
      <c r="AB124" s="364"/>
      <c r="AC124" s="364"/>
      <c r="AD124" s="365"/>
    </row>
    <row r="125" spans="1:30" s="46" customFormat="1" ht="15">
      <c r="A125" s="441" t="s">
        <v>125</v>
      </c>
      <c r="B125" s="442"/>
      <c r="C125" s="114"/>
      <c r="D125" s="114"/>
      <c r="E125" s="366"/>
      <c r="F125" s="366"/>
      <c r="G125" s="366"/>
      <c r="H125" s="366"/>
      <c r="I125" s="366"/>
      <c r="J125" s="366"/>
      <c r="K125" s="366"/>
      <c r="L125" s="366"/>
      <c r="M125" s="366"/>
      <c r="N125" s="366"/>
      <c r="O125" s="366"/>
      <c r="P125" s="366"/>
      <c r="Q125" s="366"/>
      <c r="R125" s="366"/>
      <c r="S125" s="366"/>
      <c r="T125" s="366"/>
      <c r="U125" s="366"/>
      <c r="V125" s="366"/>
      <c r="W125" s="366"/>
      <c r="X125" s="366"/>
      <c r="Y125" s="366"/>
      <c r="Z125" s="366"/>
      <c r="AA125" s="366"/>
      <c r="AB125" s="366"/>
      <c r="AC125" s="366"/>
      <c r="AD125" s="365"/>
    </row>
    <row r="126" spans="1:30" s="62" customFormat="1" ht="15">
      <c r="A126" s="50" t="s">
        <v>126</v>
      </c>
      <c r="B126" s="51" t="s">
        <v>127</v>
      </c>
      <c r="C126" s="57"/>
      <c r="D126" s="58"/>
      <c r="E126" s="356"/>
      <c r="F126" s="356"/>
      <c r="G126" s="356"/>
      <c r="H126" s="356"/>
      <c r="I126" s="356"/>
      <c r="J126" s="356"/>
      <c r="K126" s="356"/>
      <c r="L126" s="356"/>
      <c r="M126" s="356"/>
      <c r="N126" s="356"/>
      <c r="O126" s="356"/>
      <c r="P126" s="356"/>
      <c r="Q126" s="356"/>
      <c r="R126" s="356"/>
      <c r="S126" s="356"/>
      <c r="T126" s="356"/>
      <c r="U126" s="356"/>
      <c r="V126" s="356"/>
      <c r="W126" s="356"/>
      <c r="X126" s="356"/>
      <c r="Y126" s="356"/>
      <c r="Z126" s="356"/>
      <c r="AA126" s="356"/>
      <c r="AB126" s="356"/>
      <c r="AC126" s="363"/>
      <c r="AD126" s="358">
        <f t="shared" ref="AD126:AD138" si="20">SUM(C126:AC126)</f>
        <v>0</v>
      </c>
    </row>
    <row r="127" spans="1:30" s="62" customFormat="1" ht="15">
      <c r="A127" s="50" t="s">
        <v>128</v>
      </c>
      <c r="B127" s="51" t="s">
        <v>129</v>
      </c>
      <c r="C127" s="57"/>
      <c r="D127" s="58"/>
      <c r="E127" s="356"/>
      <c r="F127" s="359"/>
      <c r="G127" s="359"/>
      <c r="H127" s="359"/>
      <c r="I127" s="359"/>
      <c r="J127" s="359"/>
      <c r="K127" s="359"/>
      <c r="L127" s="359"/>
      <c r="M127" s="359"/>
      <c r="N127" s="359"/>
      <c r="O127" s="359"/>
      <c r="P127" s="359"/>
      <c r="Q127" s="359"/>
      <c r="R127" s="359"/>
      <c r="S127" s="359"/>
      <c r="T127" s="356"/>
      <c r="U127" s="356"/>
      <c r="V127" s="356"/>
      <c r="W127" s="356"/>
      <c r="X127" s="356"/>
      <c r="Y127" s="356"/>
      <c r="Z127" s="356"/>
      <c r="AA127" s="356"/>
      <c r="AB127" s="359"/>
      <c r="AC127" s="357"/>
      <c r="AD127" s="358">
        <f t="shared" si="20"/>
        <v>0</v>
      </c>
    </row>
    <row r="128" spans="1:30" s="62" customFormat="1" ht="15">
      <c r="A128" s="50" t="s">
        <v>130</v>
      </c>
      <c r="B128" s="51" t="s">
        <v>131</v>
      </c>
      <c r="C128" s="57"/>
      <c r="D128" s="58"/>
      <c r="E128" s="356"/>
      <c r="F128" s="359"/>
      <c r="G128" s="359">
        <f>97/1000</f>
        <v>9.7000000000000003E-2</v>
      </c>
      <c r="H128" s="359"/>
      <c r="I128" s="359"/>
      <c r="J128" s="359">
        <f>2101.2/1000</f>
        <v>2.1012</v>
      </c>
      <c r="K128" s="359">
        <f>-2054.44/1000</f>
        <v>-2.05444</v>
      </c>
      <c r="L128" s="359">
        <f>139202.61/1000</f>
        <v>139.20260999999999</v>
      </c>
      <c r="M128" s="359"/>
      <c r="N128" s="359"/>
      <c r="O128" s="359"/>
      <c r="P128" s="359">
        <f>86320/1000</f>
        <v>86.32</v>
      </c>
      <c r="Q128" s="359"/>
      <c r="R128" s="359"/>
      <c r="S128" s="359"/>
      <c r="T128" s="356"/>
      <c r="U128" s="356"/>
      <c r="V128" s="356"/>
      <c r="W128" s="356"/>
      <c r="X128" s="356"/>
      <c r="Y128" s="356"/>
      <c r="Z128" s="356"/>
      <c r="AA128" s="356"/>
      <c r="AB128" s="359"/>
      <c r="AC128" s="357"/>
      <c r="AD128" s="358">
        <f t="shared" si="20"/>
        <v>225.66636999999997</v>
      </c>
    </row>
    <row r="129" spans="1:30" s="62" customFormat="1" ht="15">
      <c r="A129" s="50" t="s">
        <v>132</v>
      </c>
      <c r="B129" s="51" t="s">
        <v>133</v>
      </c>
      <c r="C129" s="57"/>
      <c r="D129" s="58"/>
      <c r="E129" s="356"/>
      <c r="F129" s="359"/>
      <c r="G129" s="359"/>
      <c r="H129" s="359"/>
      <c r="I129" s="359"/>
      <c r="J129" s="359"/>
      <c r="K129" s="359"/>
      <c r="L129" s="359"/>
      <c r="M129" s="359"/>
      <c r="N129" s="359"/>
      <c r="O129" s="359"/>
      <c r="P129" s="359"/>
      <c r="Q129" s="359"/>
      <c r="R129" s="359"/>
      <c r="S129" s="359"/>
      <c r="T129" s="356"/>
      <c r="U129" s="356"/>
      <c r="V129" s="356"/>
      <c r="W129" s="356"/>
      <c r="X129" s="356"/>
      <c r="Y129" s="356"/>
      <c r="Z129" s="356"/>
      <c r="AA129" s="356"/>
      <c r="AB129" s="359"/>
      <c r="AC129" s="357"/>
      <c r="AD129" s="358">
        <f t="shared" si="20"/>
        <v>0</v>
      </c>
    </row>
    <row r="130" spans="1:30" s="62" customFormat="1" ht="15">
      <c r="A130" s="50" t="s">
        <v>134</v>
      </c>
      <c r="B130" s="51" t="s">
        <v>135</v>
      </c>
      <c r="C130" s="57"/>
      <c r="D130" s="58"/>
      <c r="E130" s="356"/>
      <c r="F130" s="359"/>
      <c r="G130" s="359"/>
      <c r="H130" s="359"/>
      <c r="I130" s="359"/>
      <c r="J130" s="359"/>
      <c r="K130" s="359"/>
      <c r="L130" s="359"/>
      <c r="M130" s="359"/>
      <c r="N130" s="359"/>
      <c r="O130" s="359"/>
      <c r="P130" s="359"/>
      <c r="Q130" s="359"/>
      <c r="R130" s="359"/>
      <c r="S130" s="359"/>
      <c r="T130" s="356"/>
      <c r="U130" s="356"/>
      <c r="V130" s="356"/>
      <c r="W130" s="356"/>
      <c r="X130" s="356"/>
      <c r="Y130" s="356"/>
      <c r="Z130" s="356"/>
      <c r="AA130" s="356"/>
      <c r="AB130" s="359"/>
      <c r="AC130" s="357"/>
      <c r="AD130" s="358">
        <f t="shared" si="20"/>
        <v>0</v>
      </c>
    </row>
    <row r="131" spans="1:30" s="62" customFormat="1" ht="15">
      <c r="A131" s="50" t="s">
        <v>136</v>
      </c>
      <c r="B131" s="51" t="s">
        <v>137</v>
      </c>
      <c r="C131" s="57"/>
      <c r="D131" s="58"/>
      <c r="E131" s="356"/>
      <c r="F131" s="356"/>
      <c r="G131" s="356"/>
      <c r="H131" s="356"/>
      <c r="I131" s="356"/>
      <c r="J131" s="356"/>
      <c r="K131" s="356"/>
      <c r="L131" s="356"/>
      <c r="M131" s="356"/>
      <c r="N131" s="356"/>
      <c r="O131" s="356"/>
      <c r="P131" s="356"/>
      <c r="Q131" s="356"/>
      <c r="R131" s="356"/>
      <c r="S131" s="356"/>
      <c r="T131" s="356"/>
      <c r="U131" s="356"/>
      <c r="V131" s="356"/>
      <c r="W131" s="359"/>
      <c r="X131" s="356"/>
      <c r="Y131" s="356"/>
      <c r="Z131" s="356"/>
      <c r="AA131" s="359">
        <f>35913157.55/1000</f>
        <v>35913.157549999996</v>
      </c>
      <c r="AB131" s="356"/>
      <c r="AC131" s="366"/>
      <c r="AD131" s="358">
        <f t="shared" si="20"/>
        <v>35913.157549999996</v>
      </c>
    </row>
    <row r="132" spans="1:30" s="46" customFormat="1">
      <c r="A132" s="50" t="s">
        <v>138</v>
      </c>
      <c r="B132" s="51" t="s">
        <v>139</v>
      </c>
      <c r="C132" s="57"/>
      <c r="D132" s="58"/>
      <c r="E132" s="356"/>
      <c r="F132" s="356"/>
      <c r="G132" s="356"/>
      <c r="H132" s="356"/>
      <c r="I132" s="356"/>
      <c r="J132" s="356"/>
      <c r="K132" s="356"/>
      <c r="L132" s="356"/>
      <c r="M132" s="356"/>
      <c r="N132" s="356"/>
      <c r="O132" s="356"/>
      <c r="P132" s="356"/>
      <c r="Q132" s="356"/>
      <c r="R132" s="356"/>
      <c r="S132" s="356"/>
      <c r="T132" s="359">
        <f>10075291.09/1000</f>
        <v>10075.291090000001</v>
      </c>
      <c r="U132" s="356"/>
      <c r="V132" s="356"/>
      <c r="W132" s="359"/>
      <c r="X132" s="359"/>
      <c r="Y132" s="356"/>
      <c r="Z132" s="356"/>
      <c r="AA132" s="356"/>
      <c r="AB132" s="356"/>
      <c r="AC132" s="356"/>
      <c r="AD132" s="358">
        <f t="shared" si="20"/>
        <v>10075.291090000001</v>
      </c>
    </row>
    <row r="133" spans="1:30" s="46" customFormat="1">
      <c r="A133" s="50" t="s">
        <v>140</v>
      </c>
      <c r="B133" s="51" t="s">
        <v>141</v>
      </c>
      <c r="C133" s="57"/>
      <c r="D133" s="58"/>
      <c r="E133" s="356"/>
      <c r="F133" s="356"/>
      <c r="G133" s="356"/>
      <c r="H133" s="356"/>
      <c r="I133" s="356"/>
      <c r="J133" s="356"/>
      <c r="K133" s="356"/>
      <c r="L133" s="356"/>
      <c r="M133" s="356"/>
      <c r="N133" s="356"/>
      <c r="O133" s="356"/>
      <c r="P133" s="356"/>
      <c r="Q133" s="356"/>
      <c r="R133" s="356"/>
      <c r="S133" s="356"/>
      <c r="T133" s="356"/>
      <c r="U133" s="356"/>
      <c r="V133" s="356"/>
      <c r="W133" s="359"/>
      <c r="X133" s="359"/>
      <c r="Y133" s="356"/>
      <c r="Z133" s="356"/>
      <c r="AA133" s="356"/>
      <c r="AB133" s="356"/>
      <c r="AC133" s="356"/>
      <c r="AD133" s="358">
        <f t="shared" si="20"/>
        <v>0</v>
      </c>
    </row>
    <row r="134" spans="1:30" s="46" customFormat="1">
      <c r="A134" s="50" t="s">
        <v>142</v>
      </c>
      <c r="B134" s="51" t="s">
        <v>143</v>
      </c>
      <c r="C134" s="57"/>
      <c r="D134" s="58"/>
      <c r="E134" s="356"/>
      <c r="F134" s="356"/>
      <c r="G134" s="356"/>
      <c r="H134" s="356"/>
      <c r="I134" s="356"/>
      <c r="J134" s="356"/>
      <c r="K134" s="356"/>
      <c r="L134" s="356"/>
      <c r="M134" s="356"/>
      <c r="N134" s="356"/>
      <c r="O134" s="356"/>
      <c r="P134" s="356"/>
      <c r="Q134" s="356"/>
      <c r="R134" s="356"/>
      <c r="S134" s="356"/>
      <c r="T134" s="356"/>
      <c r="U134" s="356"/>
      <c r="V134" s="356"/>
      <c r="W134" s="359"/>
      <c r="X134" s="356"/>
      <c r="Y134" s="356"/>
      <c r="Z134" s="356"/>
      <c r="AA134" s="359">
        <f>7171830.01/1000</f>
        <v>7171.8300099999997</v>
      </c>
      <c r="AB134" s="356"/>
      <c r="AC134" s="356"/>
      <c r="AD134" s="358">
        <f t="shared" si="20"/>
        <v>7171.8300099999997</v>
      </c>
    </row>
    <row r="135" spans="1:30" s="46" customFormat="1">
      <c r="A135" s="50" t="s">
        <v>144</v>
      </c>
      <c r="B135" s="51" t="s">
        <v>145</v>
      </c>
      <c r="C135" s="57"/>
      <c r="D135" s="58"/>
      <c r="E135" s="356"/>
      <c r="F135" s="356"/>
      <c r="G135" s="356"/>
      <c r="H135" s="356"/>
      <c r="I135" s="356"/>
      <c r="J135" s="356"/>
      <c r="K135" s="356"/>
      <c r="L135" s="356"/>
      <c r="M135" s="356"/>
      <c r="N135" s="356"/>
      <c r="O135" s="356"/>
      <c r="P135" s="356"/>
      <c r="Q135" s="356"/>
      <c r="R135" s="356"/>
      <c r="S135" s="356"/>
      <c r="T135" s="356"/>
      <c r="U135" s="359"/>
      <c r="V135" s="356"/>
      <c r="W135" s="359"/>
      <c r="X135" s="356"/>
      <c r="Y135" s="356"/>
      <c r="Z135" s="356"/>
      <c r="AA135" s="356"/>
      <c r="AB135" s="356"/>
      <c r="AC135" s="356"/>
      <c r="AD135" s="358">
        <f t="shared" si="20"/>
        <v>0</v>
      </c>
    </row>
    <row r="136" spans="1:30" s="46" customFormat="1">
      <c r="A136" s="50" t="s">
        <v>146</v>
      </c>
      <c r="B136" s="54" t="s">
        <v>147</v>
      </c>
      <c r="C136" s="57"/>
      <c r="D136" s="58"/>
      <c r="E136" s="356"/>
      <c r="F136" s="356"/>
      <c r="G136" s="356"/>
      <c r="H136" s="356"/>
      <c r="I136" s="356"/>
      <c r="J136" s="356"/>
      <c r="K136" s="356"/>
      <c r="L136" s="356"/>
      <c r="M136" s="356"/>
      <c r="N136" s="356"/>
      <c r="O136" s="356"/>
      <c r="P136" s="356"/>
      <c r="Q136" s="356"/>
      <c r="R136" s="356"/>
      <c r="S136" s="356"/>
      <c r="T136" s="359">
        <f>-706896578.37/1000</f>
        <v>-706896.57837</v>
      </c>
      <c r="U136" s="356"/>
      <c r="V136" s="356"/>
      <c r="W136" s="359"/>
      <c r="X136" s="356"/>
      <c r="Y136" s="356"/>
      <c r="Z136" s="356"/>
      <c r="AA136" s="356"/>
      <c r="AB136" s="356"/>
      <c r="AC136" s="356"/>
      <c r="AD136" s="358">
        <f t="shared" si="20"/>
        <v>-706896.57837</v>
      </c>
    </row>
    <row r="137" spans="1:30" s="46" customFormat="1">
      <c r="A137" s="50" t="s">
        <v>148</v>
      </c>
      <c r="B137" s="54" t="s">
        <v>149</v>
      </c>
      <c r="C137" s="57"/>
      <c r="D137" s="58"/>
      <c r="E137" s="356"/>
      <c r="F137" s="356"/>
      <c r="G137" s="356"/>
      <c r="H137" s="356"/>
      <c r="I137" s="356"/>
      <c r="J137" s="356"/>
      <c r="K137" s="356"/>
      <c r="L137" s="356"/>
      <c r="M137" s="356"/>
      <c r="N137" s="356"/>
      <c r="O137" s="356"/>
      <c r="P137" s="356"/>
      <c r="Q137" s="356"/>
      <c r="R137" s="356"/>
      <c r="S137" s="356"/>
      <c r="T137" s="356"/>
      <c r="U137" s="356"/>
      <c r="V137" s="356"/>
      <c r="W137" s="360"/>
      <c r="X137" s="356"/>
      <c r="Y137" s="356"/>
      <c r="Z137" s="356"/>
      <c r="AA137" s="360"/>
      <c r="AB137" s="356"/>
      <c r="AC137" s="356"/>
      <c r="AD137" s="358">
        <f t="shared" si="20"/>
        <v>0</v>
      </c>
    </row>
    <row r="138" spans="1:30" s="46" customFormat="1" ht="15.75">
      <c r="A138" s="52" t="s">
        <v>150</v>
      </c>
      <c r="B138" s="53"/>
      <c r="C138" s="57">
        <f>SUM(C125:C137)</f>
        <v>0</v>
      </c>
      <c r="D138" s="58">
        <f t="shared" ref="D138:AC138" si="21">SUM(D125:D137)</f>
        <v>0</v>
      </c>
      <c r="E138" s="356">
        <f t="shared" si="21"/>
        <v>0</v>
      </c>
      <c r="F138" s="359">
        <f t="shared" si="21"/>
        <v>0</v>
      </c>
      <c r="G138" s="359">
        <f t="shared" si="21"/>
        <v>9.7000000000000003E-2</v>
      </c>
      <c r="H138" s="359">
        <f t="shared" si="21"/>
        <v>0</v>
      </c>
      <c r="I138" s="359">
        <f t="shared" si="21"/>
        <v>0</v>
      </c>
      <c r="J138" s="359">
        <f t="shared" si="21"/>
        <v>2.1012</v>
      </c>
      <c r="K138" s="359">
        <f t="shared" si="21"/>
        <v>-2.05444</v>
      </c>
      <c r="L138" s="359">
        <f t="shared" si="21"/>
        <v>139.20260999999999</v>
      </c>
      <c r="M138" s="359">
        <f t="shared" si="21"/>
        <v>0</v>
      </c>
      <c r="N138" s="359">
        <f t="shared" si="21"/>
        <v>0</v>
      </c>
      <c r="O138" s="359">
        <f t="shared" si="21"/>
        <v>0</v>
      </c>
      <c r="P138" s="359">
        <f t="shared" si="21"/>
        <v>86.32</v>
      </c>
      <c r="Q138" s="359">
        <f t="shared" si="21"/>
        <v>0</v>
      </c>
      <c r="R138" s="359">
        <f t="shared" si="21"/>
        <v>0</v>
      </c>
      <c r="S138" s="359">
        <f t="shared" si="21"/>
        <v>0</v>
      </c>
      <c r="T138" s="359">
        <f t="shared" si="21"/>
        <v>-696821.28728000005</v>
      </c>
      <c r="U138" s="359">
        <f t="shared" si="21"/>
        <v>0</v>
      </c>
      <c r="V138" s="356">
        <f t="shared" si="21"/>
        <v>0</v>
      </c>
      <c r="W138" s="359">
        <f t="shared" si="21"/>
        <v>0</v>
      </c>
      <c r="X138" s="359">
        <f t="shared" si="21"/>
        <v>0</v>
      </c>
      <c r="Y138" s="356">
        <f t="shared" si="21"/>
        <v>0</v>
      </c>
      <c r="Z138" s="356">
        <f t="shared" si="21"/>
        <v>0</v>
      </c>
      <c r="AA138" s="359">
        <f t="shared" si="21"/>
        <v>43084.987559999994</v>
      </c>
      <c r="AB138" s="359">
        <f t="shared" si="21"/>
        <v>0</v>
      </c>
      <c r="AC138" s="357">
        <f t="shared" si="21"/>
        <v>0</v>
      </c>
      <c r="AD138" s="358">
        <f t="shared" si="20"/>
        <v>-653510.63335000002</v>
      </c>
    </row>
    <row r="139" spans="1:30" s="46" customFormat="1" ht="15">
      <c r="A139" s="47"/>
      <c r="B139" s="48"/>
      <c r="C139" s="112"/>
      <c r="D139" s="60"/>
      <c r="E139" s="363"/>
      <c r="F139" s="364"/>
      <c r="G139" s="364"/>
      <c r="H139" s="364"/>
      <c r="I139" s="364"/>
      <c r="J139" s="364"/>
      <c r="K139" s="364"/>
      <c r="L139" s="364"/>
      <c r="M139" s="364"/>
      <c r="N139" s="364"/>
      <c r="O139" s="364"/>
      <c r="P139" s="364"/>
      <c r="Q139" s="364"/>
      <c r="R139" s="364"/>
      <c r="S139" s="364"/>
      <c r="T139" s="364"/>
      <c r="U139" s="364"/>
      <c r="V139" s="363"/>
      <c r="W139" s="364"/>
      <c r="X139" s="364"/>
      <c r="Y139" s="363"/>
      <c r="Z139" s="363"/>
      <c r="AA139" s="364"/>
      <c r="AB139" s="364"/>
      <c r="AC139" s="363"/>
      <c r="AD139" s="365"/>
    </row>
    <row r="140" spans="1:30" s="46" customFormat="1" ht="15">
      <c r="A140" s="443" t="s">
        <v>151</v>
      </c>
      <c r="B140" s="444"/>
      <c r="C140" s="112"/>
      <c r="D140" s="114"/>
      <c r="E140" s="366"/>
      <c r="F140" s="364"/>
      <c r="G140" s="364"/>
      <c r="H140" s="364"/>
      <c r="I140" s="364"/>
      <c r="J140" s="364"/>
      <c r="K140" s="364"/>
      <c r="L140" s="364"/>
      <c r="M140" s="364"/>
      <c r="N140" s="364"/>
      <c r="O140" s="364"/>
      <c r="P140" s="364"/>
      <c r="Q140" s="364"/>
      <c r="R140" s="364"/>
      <c r="S140" s="364"/>
      <c r="T140" s="366"/>
      <c r="U140" s="366"/>
      <c r="V140" s="366"/>
      <c r="W140" s="366"/>
      <c r="X140" s="366"/>
      <c r="Y140" s="366"/>
      <c r="Z140" s="366"/>
      <c r="AA140" s="366"/>
      <c r="AB140" s="364"/>
      <c r="AC140" s="364"/>
      <c r="AD140" s="377"/>
    </row>
    <row r="141" spans="1:30" s="46" customFormat="1">
      <c r="A141" s="50" t="s">
        <v>152</v>
      </c>
      <c r="B141" s="154" t="s">
        <v>153</v>
      </c>
      <c r="C141" s="61"/>
      <c r="D141" s="58"/>
      <c r="E141" s="356"/>
      <c r="F141" s="355"/>
      <c r="G141" s="355"/>
      <c r="H141" s="355"/>
      <c r="I141" s="355"/>
      <c r="J141" s="355"/>
      <c r="K141" s="355"/>
      <c r="L141" s="355"/>
      <c r="M141" s="355"/>
      <c r="N141" s="355"/>
      <c r="O141" s="355"/>
      <c r="P141" s="355"/>
      <c r="Q141" s="355"/>
      <c r="R141" s="355"/>
      <c r="S141" s="355">
        <f>40577458.95/1000</f>
        <v>40577.45895</v>
      </c>
      <c r="T141" s="356"/>
      <c r="U141" s="356"/>
      <c r="V141" s="356"/>
      <c r="W141" s="356"/>
      <c r="X141" s="356"/>
      <c r="Y141" s="356"/>
      <c r="Z141" s="356"/>
      <c r="AA141" s="356"/>
      <c r="AB141" s="355"/>
      <c r="AC141" s="380"/>
      <c r="AD141" s="358">
        <f t="shared" ref="AD141:AD154" si="22">SUM(C141:AC141)</f>
        <v>40577.45895</v>
      </c>
    </row>
    <row r="142" spans="1:30" s="46" customFormat="1">
      <c r="A142" s="50" t="s">
        <v>154</v>
      </c>
      <c r="B142" s="154" t="s">
        <v>155</v>
      </c>
      <c r="C142" s="57"/>
      <c r="D142" s="58"/>
      <c r="E142" s="356"/>
      <c r="F142" s="359"/>
      <c r="G142" s="359"/>
      <c r="H142" s="359"/>
      <c r="I142" s="359"/>
      <c r="J142" s="359"/>
      <c r="K142" s="359"/>
      <c r="L142" s="359"/>
      <c r="M142" s="359"/>
      <c r="N142" s="359"/>
      <c r="O142" s="359"/>
      <c r="P142" s="359"/>
      <c r="Q142" s="359"/>
      <c r="R142" s="359"/>
      <c r="S142" s="359">
        <f>52357559.2/1000</f>
        <v>52357.559200000003</v>
      </c>
      <c r="T142" s="356"/>
      <c r="U142" s="356"/>
      <c r="V142" s="356"/>
      <c r="W142" s="356"/>
      <c r="X142" s="356"/>
      <c r="Y142" s="356"/>
      <c r="Z142" s="356"/>
      <c r="AA142" s="356"/>
      <c r="AB142" s="359"/>
      <c r="AC142" s="357"/>
      <c r="AD142" s="358">
        <f t="shared" si="22"/>
        <v>52357.559200000003</v>
      </c>
    </row>
    <row r="143" spans="1:30" s="46" customFormat="1">
      <c r="A143" s="50" t="s">
        <v>156</v>
      </c>
      <c r="B143" s="154" t="s">
        <v>157</v>
      </c>
      <c r="C143" s="57"/>
      <c r="D143" s="58"/>
      <c r="E143" s="356"/>
      <c r="F143" s="359"/>
      <c r="G143" s="359"/>
      <c r="H143" s="359"/>
      <c r="I143" s="359"/>
      <c r="J143" s="359"/>
      <c r="K143" s="359"/>
      <c r="L143" s="359"/>
      <c r="M143" s="359"/>
      <c r="N143" s="359"/>
      <c r="O143" s="359"/>
      <c r="P143" s="359"/>
      <c r="Q143" s="359"/>
      <c r="R143" s="359"/>
      <c r="S143" s="359"/>
      <c r="T143" s="356"/>
      <c r="U143" s="356"/>
      <c r="V143" s="356"/>
      <c r="W143" s="356"/>
      <c r="X143" s="356"/>
      <c r="Y143" s="356"/>
      <c r="Z143" s="356"/>
      <c r="AA143" s="356"/>
      <c r="AB143" s="359"/>
      <c r="AC143" s="357"/>
      <c r="AD143" s="358">
        <f t="shared" si="22"/>
        <v>0</v>
      </c>
    </row>
    <row r="144" spans="1:30" s="46" customFormat="1">
      <c r="A144" s="50" t="s">
        <v>158</v>
      </c>
      <c r="B144" s="154" t="s">
        <v>159</v>
      </c>
      <c r="C144" s="57"/>
      <c r="D144" s="58"/>
      <c r="E144" s="356"/>
      <c r="F144" s="359"/>
      <c r="G144" s="359"/>
      <c r="H144" s="359"/>
      <c r="I144" s="359"/>
      <c r="J144" s="359"/>
      <c r="K144" s="359"/>
      <c r="L144" s="359"/>
      <c r="M144" s="359"/>
      <c r="N144" s="359"/>
      <c r="O144" s="359"/>
      <c r="P144" s="359"/>
      <c r="Q144" s="359"/>
      <c r="R144" s="359"/>
      <c r="S144" s="359"/>
      <c r="T144" s="356"/>
      <c r="U144" s="356"/>
      <c r="V144" s="356"/>
      <c r="W144" s="356"/>
      <c r="X144" s="356"/>
      <c r="Y144" s="356"/>
      <c r="Z144" s="356"/>
      <c r="AA144" s="356"/>
      <c r="AB144" s="359"/>
      <c r="AC144" s="357"/>
      <c r="AD144" s="358">
        <f t="shared" si="22"/>
        <v>0</v>
      </c>
    </row>
    <row r="145" spans="1:30" s="46" customFormat="1">
      <c r="A145" s="50" t="s">
        <v>160</v>
      </c>
      <c r="B145" s="159" t="s">
        <v>161</v>
      </c>
      <c r="C145" s="57"/>
      <c r="D145" s="58"/>
      <c r="E145" s="356"/>
      <c r="F145" s="359"/>
      <c r="G145" s="359"/>
      <c r="H145" s="359"/>
      <c r="I145" s="359"/>
      <c r="J145" s="359"/>
      <c r="K145" s="359"/>
      <c r="L145" s="359"/>
      <c r="M145" s="359"/>
      <c r="N145" s="359"/>
      <c r="O145" s="359"/>
      <c r="P145" s="359"/>
      <c r="Q145" s="359"/>
      <c r="R145" s="359"/>
      <c r="S145" s="359">
        <f>899196.61/1000</f>
        <v>899.19660999999996</v>
      </c>
      <c r="T145" s="356"/>
      <c r="U145" s="356"/>
      <c r="V145" s="356"/>
      <c r="W145" s="356"/>
      <c r="X145" s="356"/>
      <c r="Y145" s="356"/>
      <c r="Z145" s="356"/>
      <c r="AA145" s="356"/>
      <c r="AB145" s="359"/>
      <c r="AC145" s="357"/>
      <c r="AD145" s="358">
        <f t="shared" si="22"/>
        <v>899.19660999999996</v>
      </c>
    </row>
    <row r="146" spans="1:30" s="46" customFormat="1">
      <c r="A146" s="50" t="s">
        <v>162</v>
      </c>
      <c r="B146" s="154" t="s">
        <v>163</v>
      </c>
      <c r="C146" s="57"/>
      <c r="D146" s="58"/>
      <c r="E146" s="356"/>
      <c r="F146" s="356"/>
      <c r="G146" s="356"/>
      <c r="H146" s="356"/>
      <c r="I146" s="356"/>
      <c r="J146" s="356"/>
      <c r="K146" s="356"/>
      <c r="L146" s="356"/>
      <c r="M146" s="356"/>
      <c r="N146" s="356"/>
      <c r="O146" s="356"/>
      <c r="P146" s="356"/>
      <c r="Q146" s="356"/>
      <c r="R146" s="356"/>
      <c r="S146" s="356"/>
      <c r="T146" s="356"/>
      <c r="U146" s="356"/>
      <c r="V146" s="359"/>
      <c r="W146" s="359"/>
      <c r="X146" s="356"/>
      <c r="Y146" s="356"/>
      <c r="Z146" s="356"/>
      <c r="AA146" s="356"/>
      <c r="AB146" s="356"/>
      <c r="AC146" s="366"/>
      <c r="AD146" s="358">
        <f t="shared" si="22"/>
        <v>0</v>
      </c>
    </row>
    <row r="147" spans="1:30" s="46" customFormat="1">
      <c r="A147" s="50" t="s">
        <v>164</v>
      </c>
      <c r="B147" s="154" t="s">
        <v>165</v>
      </c>
      <c r="C147" s="57"/>
      <c r="D147" s="58"/>
      <c r="E147" s="356"/>
      <c r="F147" s="356"/>
      <c r="G147" s="356"/>
      <c r="H147" s="356"/>
      <c r="I147" s="356"/>
      <c r="J147" s="356"/>
      <c r="K147" s="356"/>
      <c r="L147" s="356"/>
      <c r="M147" s="356"/>
      <c r="N147" s="356"/>
      <c r="O147" s="356"/>
      <c r="P147" s="356"/>
      <c r="Q147" s="356"/>
      <c r="R147" s="356"/>
      <c r="S147" s="356"/>
      <c r="T147" s="356"/>
      <c r="U147" s="356"/>
      <c r="V147" s="356"/>
      <c r="W147" s="359"/>
      <c r="X147" s="356"/>
      <c r="Y147" s="359"/>
      <c r="Z147" s="356"/>
      <c r="AA147" s="356"/>
      <c r="AB147" s="356"/>
      <c r="AC147" s="356"/>
      <c r="AD147" s="358">
        <f t="shared" si="22"/>
        <v>0</v>
      </c>
    </row>
    <row r="148" spans="1:30" s="46" customFormat="1">
      <c r="A148" s="50" t="s">
        <v>166</v>
      </c>
      <c r="B148" s="154" t="s">
        <v>167</v>
      </c>
      <c r="C148" s="57"/>
      <c r="D148" s="58"/>
      <c r="E148" s="356"/>
      <c r="F148" s="356"/>
      <c r="G148" s="356"/>
      <c r="H148" s="356"/>
      <c r="I148" s="356"/>
      <c r="J148" s="356"/>
      <c r="K148" s="356"/>
      <c r="L148" s="356"/>
      <c r="M148" s="356"/>
      <c r="N148" s="356"/>
      <c r="O148" s="356"/>
      <c r="P148" s="356"/>
      <c r="Q148" s="356"/>
      <c r="R148" s="356"/>
      <c r="S148" s="356"/>
      <c r="T148" s="356"/>
      <c r="U148" s="356"/>
      <c r="V148" s="356"/>
      <c r="W148" s="359"/>
      <c r="X148" s="356"/>
      <c r="Y148" s="359"/>
      <c r="Z148" s="356"/>
      <c r="AA148" s="356"/>
      <c r="AB148" s="356"/>
      <c r="AC148" s="356"/>
      <c r="AD148" s="358">
        <f t="shared" si="22"/>
        <v>0</v>
      </c>
    </row>
    <row r="149" spans="1:30" s="46" customFormat="1">
      <c r="A149" s="50" t="s">
        <v>168</v>
      </c>
      <c r="B149" s="154" t="s">
        <v>169</v>
      </c>
      <c r="C149" s="57"/>
      <c r="D149" s="58"/>
      <c r="E149" s="356"/>
      <c r="F149" s="356"/>
      <c r="G149" s="356"/>
      <c r="H149" s="356"/>
      <c r="I149" s="356"/>
      <c r="J149" s="356"/>
      <c r="K149" s="356"/>
      <c r="L149" s="356"/>
      <c r="M149" s="356"/>
      <c r="N149" s="356"/>
      <c r="O149" s="356"/>
      <c r="P149" s="356"/>
      <c r="Q149" s="356"/>
      <c r="R149" s="356"/>
      <c r="S149" s="356"/>
      <c r="T149" s="356"/>
      <c r="U149" s="356"/>
      <c r="V149" s="356"/>
      <c r="W149" s="359"/>
      <c r="X149" s="356"/>
      <c r="Y149" s="359"/>
      <c r="Z149" s="356"/>
      <c r="AA149" s="356"/>
      <c r="AB149" s="356"/>
      <c r="AC149" s="356"/>
      <c r="AD149" s="358">
        <f t="shared" si="22"/>
        <v>0</v>
      </c>
    </row>
    <row r="150" spans="1:30" s="46" customFormat="1">
      <c r="A150" s="50" t="s">
        <v>170</v>
      </c>
      <c r="B150" s="154" t="s">
        <v>171</v>
      </c>
      <c r="C150" s="57"/>
      <c r="D150" s="58"/>
      <c r="E150" s="356"/>
      <c r="F150" s="356"/>
      <c r="G150" s="356"/>
      <c r="H150" s="356"/>
      <c r="I150" s="356"/>
      <c r="J150" s="356"/>
      <c r="K150" s="356"/>
      <c r="L150" s="356"/>
      <c r="M150" s="356"/>
      <c r="N150" s="356"/>
      <c r="O150" s="356"/>
      <c r="P150" s="356"/>
      <c r="Q150" s="356"/>
      <c r="R150" s="356"/>
      <c r="S150" s="356"/>
      <c r="T150" s="356"/>
      <c r="U150" s="356"/>
      <c r="V150" s="356"/>
      <c r="W150" s="359"/>
      <c r="X150" s="356"/>
      <c r="Y150" s="359"/>
      <c r="Z150" s="356"/>
      <c r="AA150" s="356"/>
      <c r="AB150" s="356"/>
      <c r="AC150" s="356"/>
      <c r="AD150" s="358">
        <f t="shared" si="22"/>
        <v>0</v>
      </c>
    </row>
    <row r="151" spans="1:30" s="46" customFormat="1">
      <c r="A151" s="50" t="s">
        <v>172</v>
      </c>
      <c r="B151" s="154" t="s">
        <v>173</v>
      </c>
      <c r="C151" s="57"/>
      <c r="D151" s="58"/>
      <c r="E151" s="356"/>
      <c r="F151" s="356"/>
      <c r="G151" s="356"/>
      <c r="H151" s="356"/>
      <c r="I151" s="356"/>
      <c r="J151" s="356"/>
      <c r="K151" s="356"/>
      <c r="L151" s="356"/>
      <c r="M151" s="356"/>
      <c r="N151" s="356"/>
      <c r="O151" s="356"/>
      <c r="P151" s="356"/>
      <c r="Q151" s="356"/>
      <c r="R151" s="356"/>
      <c r="S151" s="356"/>
      <c r="T151" s="356"/>
      <c r="U151" s="356"/>
      <c r="V151" s="356"/>
      <c r="W151" s="359"/>
      <c r="X151" s="356"/>
      <c r="Y151" s="359"/>
      <c r="Z151" s="356"/>
      <c r="AA151" s="356"/>
      <c r="AB151" s="356"/>
      <c r="AC151" s="356"/>
      <c r="AD151" s="358">
        <f t="shared" si="22"/>
        <v>0</v>
      </c>
    </row>
    <row r="152" spans="1:30" s="46" customFormat="1">
      <c r="A152" s="50" t="s">
        <v>174</v>
      </c>
      <c r="B152" s="154" t="s">
        <v>175</v>
      </c>
      <c r="C152" s="57"/>
      <c r="D152" s="58"/>
      <c r="E152" s="356"/>
      <c r="F152" s="356"/>
      <c r="G152" s="356"/>
      <c r="H152" s="356"/>
      <c r="I152" s="356"/>
      <c r="J152" s="356"/>
      <c r="K152" s="356"/>
      <c r="L152" s="356"/>
      <c r="M152" s="356"/>
      <c r="N152" s="356"/>
      <c r="O152" s="356"/>
      <c r="P152" s="356"/>
      <c r="Q152" s="356"/>
      <c r="R152" s="356"/>
      <c r="S152" s="356"/>
      <c r="T152" s="356"/>
      <c r="U152" s="356"/>
      <c r="V152" s="356"/>
      <c r="W152" s="359"/>
      <c r="X152" s="356"/>
      <c r="Y152" s="359"/>
      <c r="Z152" s="356"/>
      <c r="AA152" s="356"/>
      <c r="AB152" s="356"/>
      <c r="AC152" s="356"/>
      <c r="AD152" s="358">
        <f t="shared" si="22"/>
        <v>0</v>
      </c>
    </row>
    <row r="153" spans="1:30" s="46" customFormat="1">
      <c r="A153" s="50" t="s">
        <v>176</v>
      </c>
      <c r="B153" s="154" t="s">
        <v>177</v>
      </c>
      <c r="C153" s="57"/>
      <c r="D153" s="58"/>
      <c r="E153" s="356"/>
      <c r="F153" s="356"/>
      <c r="G153" s="356"/>
      <c r="H153" s="356"/>
      <c r="I153" s="356"/>
      <c r="J153" s="356"/>
      <c r="K153" s="356"/>
      <c r="L153" s="356"/>
      <c r="M153" s="356"/>
      <c r="N153" s="356"/>
      <c r="O153" s="356"/>
      <c r="P153" s="356"/>
      <c r="Q153" s="356"/>
      <c r="R153" s="356"/>
      <c r="S153" s="356"/>
      <c r="T153" s="356"/>
      <c r="U153" s="356"/>
      <c r="V153" s="356"/>
      <c r="W153" s="360"/>
      <c r="X153" s="356"/>
      <c r="Y153" s="360">
        <f>6600/1000</f>
        <v>6.6</v>
      </c>
      <c r="Z153" s="356"/>
      <c r="AA153" s="356"/>
      <c r="AB153" s="356"/>
      <c r="AC153" s="363"/>
      <c r="AD153" s="358">
        <f t="shared" si="22"/>
        <v>6.6</v>
      </c>
    </row>
    <row r="154" spans="1:30" s="46" customFormat="1" ht="15.75">
      <c r="A154" s="52" t="s">
        <v>178</v>
      </c>
      <c r="B154" s="53"/>
      <c r="C154" s="57">
        <f>SUM(C141:C153)</f>
        <v>0</v>
      </c>
      <c r="D154" s="58">
        <f t="shared" ref="D154:AC154" si="23">SUM(D141:D153)</f>
        <v>0</v>
      </c>
      <c r="E154" s="356">
        <f t="shared" si="23"/>
        <v>0</v>
      </c>
      <c r="F154" s="359">
        <f t="shared" si="23"/>
        <v>0</v>
      </c>
      <c r="G154" s="359">
        <f t="shared" si="23"/>
        <v>0</v>
      </c>
      <c r="H154" s="359">
        <f t="shared" si="23"/>
        <v>0</v>
      </c>
      <c r="I154" s="359">
        <f t="shared" si="23"/>
        <v>0</v>
      </c>
      <c r="J154" s="359">
        <f t="shared" si="23"/>
        <v>0</v>
      </c>
      <c r="K154" s="359">
        <f t="shared" si="23"/>
        <v>0</v>
      </c>
      <c r="L154" s="359">
        <f t="shared" si="23"/>
        <v>0</v>
      </c>
      <c r="M154" s="359">
        <f t="shared" si="23"/>
        <v>0</v>
      </c>
      <c r="N154" s="359">
        <f t="shared" si="23"/>
        <v>0</v>
      </c>
      <c r="O154" s="359">
        <f t="shared" si="23"/>
        <v>0</v>
      </c>
      <c r="P154" s="359">
        <f t="shared" si="23"/>
        <v>0</v>
      </c>
      <c r="Q154" s="359">
        <f t="shared" si="23"/>
        <v>0</v>
      </c>
      <c r="R154" s="359">
        <f t="shared" si="23"/>
        <v>0</v>
      </c>
      <c r="S154" s="359">
        <f t="shared" si="23"/>
        <v>93834.214760000003</v>
      </c>
      <c r="T154" s="356">
        <f t="shared" si="23"/>
        <v>0</v>
      </c>
      <c r="U154" s="356">
        <f t="shared" si="23"/>
        <v>0</v>
      </c>
      <c r="V154" s="359">
        <f t="shared" si="23"/>
        <v>0</v>
      </c>
      <c r="W154" s="359">
        <f t="shared" si="23"/>
        <v>0</v>
      </c>
      <c r="X154" s="356">
        <f t="shared" si="23"/>
        <v>0</v>
      </c>
      <c r="Y154" s="359">
        <f t="shared" si="23"/>
        <v>6.6</v>
      </c>
      <c r="Z154" s="356">
        <f t="shared" si="23"/>
        <v>0</v>
      </c>
      <c r="AA154" s="356">
        <f t="shared" si="23"/>
        <v>0</v>
      </c>
      <c r="AB154" s="359">
        <f t="shared" si="23"/>
        <v>0</v>
      </c>
      <c r="AC154" s="357">
        <f t="shared" si="23"/>
        <v>0</v>
      </c>
      <c r="AD154" s="358">
        <f t="shared" si="22"/>
        <v>93840.814760000008</v>
      </c>
    </row>
    <row r="155" spans="1:30" s="46" customFormat="1" ht="15">
      <c r="A155" s="47"/>
      <c r="B155" s="48"/>
      <c r="C155" s="112"/>
      <c r="D155" s="60"/>
      <c r="E155" s="363"/>
      <c r="F155" s="364"/>
      <c r="G155" s="364"/>
      <c r="H155" s="364"/>
      <c r="I155" s="364"/>
      <c r="J155" s="364"/>
      <c r="K155" s="364"/>
      <c r="L155" s="364"/>
      <c r="M155" s="364"/>
      <c r="N155" s="364"/>
      <c r="O155" s="364"/>
      <c r="P155" s="364"/>
      <c r="Q155" s="364"/>
      <c r="R155" s="364"/>
      <c r="S155" s="364"/>
      <c r="T155" s="363"/>
      <c r="U155" s="363"/>
      <c r="V155" s="364"/>
      <c r="W155" s="364"/>
      <c r="X155" s="363"/>
      <c r="Y155" s="364"/>
      <c r="Z155" s="363"/>
      <c r="AA155" s="363"/>
      <c r="AB155" s="363"/>
      <c r="AC155" s="363"/>
      <c r="AD155" s="365"/>
    </row>
    <row r="156" spans="1:30" s="46" customFormat="1" ht="15">
      <c r="A156" s="441" t="s">
        <v>179</v>
      </c>
      <c r="B156" s="442"/>
      <c r="C156" s="114"/>
      <c r="D156" s="114"/>
      <c r="E156" s="366"/>
      <c r="F156" s="366"/>
      <c r="G156" s="366"/>
      <c r="H156" s="366"/>
      <c r="I156" s="366"/>
      <c r="J156" s="366"/>
      <c r="K156" s="366"/>
      <c r="L156" s="366"/>
      <c r="M156" s="366"/>
      <c r="N156" s="366"/>
      <c r="O156" s="366"/>
      <c r="P156" s="366"/>
      <c r="Q156" s="366"/>
      <c r="R156" s="366"/>
      <c r="S156" s="366"/>
      <c r="T156" s="366"/>
      <c r="U156" s="366"/>
      <c r="V156" s="366"/>
      <c r="W156" s="364"/>
      <c r="X156" s="364"/>
      <c r="Y156" s="366"/>
      <c r="Z156" s="366"/>
      <c r="AA156" s="364"/>
      <c r="AB156" s="366"/>
      <c r="AC156" s="366"/>
      <c r="AD156" s="365"/>
    </row>
    <row r="157" spans="1:30" s="46" customFormat="1">
      <c r="A157" s="50" t="s">
        <v>180</v>
      </c>
      <c r="B157" s="51" t="s">
        <v>181</v>
      </c>
      <c r="C157" s="57"/>
      <c r="D157" s="58"/>
      <c r="E157" s="356"/>
      <c r="F157" s="356"/>
      <c r="G157" s="356"/>
      <c r="H157" s="356"/>
      <c r="I157" s="356"/>
      <c r="J157" s="356"/>
      <c r="K157" s="356"/>
      <c r="L157" s="356"/>
      <c r="M157" s="356"/>
      <c r="N157" s="356"/>
      <c r="O157" s="356"/>
      <c r="P157" s="356"/>
      <c r="Q157" s="356"/>
      <c r="R157" s="356"/>
      <c r="S157" s="356"/>
      <c r="T157" s="356"/>
      <c r="U157" s="356"/>
      <c r="V157" s="356"/>
      <c r="W157" s="355"/>
      <c r="X157" s="355"/>
      <c r="Y157" s="356"/>
      <c r="Z157" s="356"/>
      <c r="AA157" s="355"/>
      <c r="AB157" s="356"/>
      <c r="AC157" s="356"/>
      <c r="AD157" s="358">
        <f>SUM(C157:AC157)</f>
        <v>0</v>
      </c>
    </row>
    <row r="158" spans="1:30" s="46" customFormat="1">
      <c r="A158" s="50" t="s">
        <v>182</v>
      </c>
      <c r="B158" s="51" t="s">
        <v>183</v>
      </c>
      <c r="C158" s="57"/>
      <c r="D158" s="58"/>
      <c r="E158" s="356"/>
      <c r="F158" s="356"/>
      <c r="G158" s="356"/>
      <c r="H158" s="356"/>
      <c r="I158" s="356"/>
      <c r="J158" s="356"/>
      <c r="K158" s="356"/>
      <c r="L158" s="356"/>
      <c r="M158" s="356"/>
      <c r="N158" s="356"/>
      <c r="O158" s="356"/>
      <c r="P158" s="356"/>
      <c r="Q158" s="356"/>
      <c r="R158" s="356"/>
      <c r="S158" s="356"/>
      <c r="T158" s="356"/>
      <c r="U158" s="356"/>
      <c r="V158" s="356"/>
      <c r="W158" s="359"/>
      <c r="X158" s="359"/>
      <c r="Y158" s="356"/>
      <c r="Z158" s="356"/>
      <c r="AA158" s="359"/>
      <c r="AB158" s="356"/>
      <c r="AC158" s="356"/>
      <c r="AD158" s="358">
        <f>SUM(C158:AC158)</f>
        <v>0</v>
      </c>
    </row>
    <row r="159" spans="1:30" s="46" customFormat="1">
      <c r="A159" s="50" t="s">
        <v>184</v>
      </c>
      <c r="B159" s="51" t="s">
        <v>185</v>
      </c>
      <c r="C159" s="57"/>
      <c r="D159" s="58"/>
      <c r="E159" s="356"/>
      <c r="F159" s="356"/>
      <c r="G159" s="356"/>
      <c r="H159" s="356"/>
      <c r="I159" s="356"/>
      <c r="J159" s="356"/>
      <c r="K159" s="356"/>
      <c r="L159" s="356"/>
      <c r="M159" s="356"/>
      <c r="N159" s="356"/>
      <c r="O159" s="356"/>
      <c r="P159" s="356"/>
      <c r="Q159" s="356"/>
      <c r="R159" s="356"/>
      <c r="S159" s="356"/>
      <c r="T159" s="356"/>
      <c r="U159" s="356"/>
      <c r="V159" s="356"/>
      <c r="W159" s="359"/>
      <c r="X159" s="359">
        <f>124007060.54/1000</f>
        <v>124007.06054000001</v>
      </c>
      <c r="Y159" s="356"/>
      <c r="Z159" s="356"/>
      <c r="AA159" s="359">
        <f>52885095.87/1000</f>
        <v>52885.095869999997</v>
      </c>
      <c r="AB159" s="356"/>
      <c r="AC159" s="356"/>
      <c r="AD159" s="358">
        <f>SUM(C159:AC159)</f>
        <v>176892.15641</v>
      </c>
    </row>
    <row r="160" spans="1:30" s="46" customFormat="1">
      <c r="A160" s="50" t="s">
        <v>186</v>
      </c>
      <c r="B160" s="54" t="s">
        <v>187</v>
      </c>
      <c r="C160" s="57"/>
      <c r="D160" s="58"/>
      <c r="E160" s="356"/>
      <c r="F160" s="356"/>
      <c r="G160" s="356"/>
      <c r="H160" s="356"/>
      <c r="I160" s="356"/>
      <c r="J160" s="356"/>
      <c r="K160" s="356"/>
      <c r="L160" s="356"/>
      <c r="M160" s="356"/>
      <c r="N160" s="356"/>
      <c r="O160" s="356"/>
      <c r="P160" s="356"/>
      <c r="Q160" s="356"/>
      <c r="R160" s="356"/>
      <c r="S160" s="356"/>
      <c r="T160" s="356"/>
      <c r="U160" s="356"/>
      <c r="V160" s="356"/>
      <c r="W160" s="356"/>
      <c r="X160" s="356"/>
      <c r="Y160" s="356"/>
      <c r="Z160" s="356"/>
      <c r="AA160" s="360">
        <f>28626486.57/1000</f>
        <v>28626.486570000001</v>
      </c>
      <c r="AB160" s="356"/>
      <c r="AC160" s="356"/>
      <c r="AD160" s="358">
        <f>SUM(C160:AC160)</f>
        <v>28626.486570000001</v>
      </c>
    </row>
    <row r="161" spans="1:30" s="46" customFormat="1" ht="15.75">
      <c r="A161" s="52" t="s">
        <v>188</v>
      </c>
      <c r="B161" s="53"/>
      <c r="C161" s="57">
        <f t="shared" ref="C161:AC161" si="24">SUM(C157:C160)</f>
        <v>0</v>
      </c>
      <c r="D161" s="58">
        <f t="shared" si="24"/>
        <v>0</v>
      </c>
      <c r="E161" s="356">
        <f t="shared" si="24"/>
        <v>0</v>
      </c>
      <c r="F161" s="356">
        <f t="shared" si="24"/>
        <v>0</v>
      </c>
      <c r="G161" s="356">
        <f t="shared" si="24"/>
        <v>0</v>
      </c>
      <c r="H161" s="356">
        <f t="shared" si="24"/>
        <v>0</v>
      </c>
      <c r="I161" s="356">
        <f t="shared" si="24"/>
        <v>0</v>
      </c>
      <c r="J161" s="356">
        <f t="shared" si="24"/>
        <v>0</v>
      </c>
      <c r="K161" s="356">
        <f t="shared" si="24"/>
        <v>0</v>
      </c>
      <c r="L161" s="356">
        <f t="shared" si="24"/>
        <v>0</v>
      </c>
      <c r="M161" s="356">
        <f t="shared" si="24"/>
        <v>0</v>
      </c>
      <c r="N161" s="356">
        <f t="shared" si="24"/>
        <v>0</v>
      </c>
      <c r="O161" s="356">
        <f t="shared" si="24"/>
        <v>0</v>
      </c>
      <c r="P161" s="356">
        <f t="shared" si="24"/>
        <v>0</v>
      </c>
      <c r="Q161" s="356">
        <f t="shared" si="24"/>
        <v>0</v>
      </c>
      <c r="R161" s="356">
        <f t="shared" si="24"/>
        <v>0</v>
      </c>
      <c r="S161" s="356">
        <f t="shared" si="24"/>
        <v>0</v>
      </c>
      <c r="T161" s="356">
        <f t="shared" si="24"/>
        <v>0</v>
      </c>
      <c r="U161" s="356">
        <f t="shared" si="24"/>
        <v>0</v>
      </c>
      <c r="V161" s="356">
        <f t="shared" si="24"/>
        <v>0</v>
      </c>
      <c r="W161" s="359">
        <f t="shared" si="24"/>
        <v>0</v>
      </c>
      <c r="X161" s="359">
        <f t="shared" si="24"/>
        <v>124007.06054000001</v>
      </c>
      <c r="Y161" s="356">
        <f t="shared" si="24"/>
        <v>0</v>
      </c>
      <c r="Z161" s="356">
        <f t="shared" si="24"/>
        <v>0</v>
      </c>
      <c r="AA161" s="359">
        <f t="shared" si="24"/>
        <v>81511.582439999998</v>
      </c>
      <c r="AB161" s="356">
        <f t="shared" si="24"/>
        <v>0</v>
      </c>
      <c r="AC161" s="381">
        <f t="shared" si="24"/>
        <v>0</v>
      </c>
      <c r="AD161" s="358">
        <f>SUM(C161:AC161)</f>
        <v>205518.64298</v>
      </c>
    </row>
    <row r="162" spans="1:30" s="46" customFormat="1" ht="15" thickBot="1">
      <c r="A162" s="55"/>
      <c r="B162" s="56"/>
      <c r="C162" s="58"/>
      <c r="D162" s="58"/>
      <c r="E162" s="356"/>
      <c r="F162" s="356"/>
      <c r="G162" s="356"/>
      <c r="H162" s="356"/>
      <c r="I162" s="356"/>
      <c r="J162" s="356"/>
      <c r="K162" s="356"/>
      <c r="L162" s="356"/>
      <c r="M162" s="356"/>
      <c r="N162" s="356"/>
      <c r="O162" s="356"/>
      <c r="P162" s="356"/>
      <c r="Q162" s="356"/>
      <c r="R162" s="356"/>
      <c r="S162" s="356"/>
      <c r="T162" s="356"/>
      <c r="U162" s="356"/>
      <c r="V162" s="356"/>
      <c r="W162" s="366"/>
      <c r="X162" s="366"/>
      <c r="Y162" s="356"/>
      <c r="Z162" s="356"/>
      <c r="AA162" s="366"/>
      <c r="AB162" s="356"/>
      <c r="AC162" s="356"/>
      <c r="AD162" s="369"/>
    </row>
    <row r="163" spans="1:30" s="46" customFormat="1" ht="15.75" thickBot="1">
      <c r="A163" s="125" t="s">
        <v>189</v>
      </c>
      <c r="B163" s="160"/>
      <c r="C163" s="142">
        <f>SUM(C123,C138,C154,C161)</f>
        <v>0</v>
      </c>
      <c r="D163" s="143">
        <f t="shared" ref="D163:AC163" si="25">SUM(D123,D138,D154,D161)</f>
        <v>0</v>
      </c>
      <c r="E163" s="373">
        <f t="shared" si="25"/>
        <v>0</v>
      </c>
      <c r="F163" s="370">
        <f t="shared" si="25"/>
        <v>0</v>
      </c>
      <c r="G163" s="370">
        <f t="shared" si="25"/>
        <v>573.69074999999998</v>
      </c>
      <c r="H163" s="370">
        <f t="shared" si="25"/>
        <v>0</v>
      </c>
      <c r="I163" s="370">
        <f t="shared" si="25"/>
        <v>0</v>
      </c>
      <c r="J163" s="370">
        <f t="shared" si="25"/>
        <v>9.3011999999999997</v>
      </c>
      <c r="K163" s="370">
        <f t="shared" si="25"/>
        <v>11.325560000000001</v>
      </c>
      <c r="L163" s="370">
        <f t="shared" si="25"/>
        <v>181.56360999999998</v>
      </c>
      <c r="M163" s="370">
        <f t="shared" si="25"/>
        <v>0</v>
      </c>
      <c r="N163" s="370">
        <f t="shared" si="25"/>
        <v>330</v>
      </c>
      <c r="O163" s="370">
        <f t="shared" si="25"/>
        <v>8.7100000000000009</v>
      </c>
      <c r="P163" s="370">
        <f t="shared" si="25"/>
        <v>2671.7611200000001</v>
      </c>
      <c r="Q163" s="370">
        <f t="shared" si="25"/>
        <v>4.0519999999999996</v>
      </c>
      <c r="R163" s="370">
        <f t="shared" si="25"/>
        <v>0</v>
      </c>
      <c r="S163" s="370">
        <f t="shared" si="25"/>
        <v>130034.94419000001</v>
      </c>
      <c r="T163" s="370">
        <f t="shared" si="25"/>
        <v>-696821.28728000005</v>
      </c>
      <c r="U163" s="370">
        <f t="shared" si="25"/>
        <v>0</v>
      </c>
      <c r="V163" s="370">
        <f t="shared" si="25"/>
        <v>175566.99804000001</v>
      </c>
      <c r="W163" s="370">
        <f t="shared" si="25"/>
        <v>0</v>
      </c>
      <c r="X163" s="370">
        <f t="shared" si="25"/>
        <v>124007.06054000001</v>
      </c>
      <c r="Y163" s="370">
        <f t="shared" si="25"/>
        <v>41807.157289999996</v>
      </c>
      <c r="Z163" s="370">
        <f t="shared" si="25"/>
        <v>0</v>
      </c>
      <c r="AA163" s="370">
        <f t="shared" si="25"/>
        <v>124596.56999999999</v>
      </c>
      <c r="AB163" s="382">
        <f t="shared" si="25"/>
        <v>0</v>
      </c>
      <c r="AC163" s="375">
        <f t="shared" si="25"/>
        <v>0</v>
      </c>
      <c r="AD163" s="376">
        <f>SUM(C163:AC163)</f>
        <v>-97018.152980000086</v>
      </c>
    </row>
    <row r="164" spans="1:30" s="46" customFormat="1" ht="15" thickBot="1">
      <c r="A164" s="119"/>
      <c r="B164" s="158"/>
      <c r="C164" s="60"/>
      <c r="D164" s="60"/>
      <c r="E164" s="363"/>
      <c r="F164" s="363"/>
      <c r="G164" s="363"/>
      <c r="H164" s="363"/>
      <c r="I164" s="363"/>
      <c r="J164" s="363"/>
      <c r="K164" s="363"/>
      <c r="L164" s="363"/>
      <c r="M164" s="363"/>
      <c r="N164" s="363"/>
      <c r="O164" s="363"/>
      <c r="P164" s="363"/>
      <c r="Q164" s="363"/>
      <c r="R164" s="363"/>
      <c r="S164" s="363"/>
      <c r="T164" s="363"/>
      <c r="U164" s="363"/>
      <c r="V164" s="363"/>
      <c r="W164" s="363"/>
      <c r="X164" s="363"/>
      <c r="Y164" s="363"/>
      <c r="Z164" s="363"/>
      <c r="AA164" s="363"/>
      <c r="AB164" s="363"/>
      <c r="AC164" s="363"/>
      <c r="AD164" s="377"/>
    </row>
    <row r="165" spans="1:30" s="129" customFormat="1" ht="15.75" thickBot="1">
      <c r="A165" s="126" t="s">
        <v>200</v>
      </c>
      <c r="B165" s="161"/>
      <c r="C165" s="142">
        <f>+SUM(C94,C100,C163)</f>
        <v>0</v>
      </c>
      <c r="D165" s="145">
        <f t="shared" ref="D165:AC165" si="26">+SUM(D94,D100,D163)</f>
        <v>0</v>
      </c>
      <c r="E165" s="370">
        <f t="shared" si="26"/>
        <v>47572.57518</v>
      </c>
      <c r="F165" s="370">
        <f t="shared" si="26"/>
        <v>928.98179000000005</v>
      </c>
      <c r="G165" s="370">
        <f t="shared" si="26"/>
        <v>670.25</v>
      </c>
      <c r="H165" s="370">
        <f t="shared" si="26"/>
        <v>0</v>
      </c>
      <c r="I165" s="370">
        <f t="shared" si="26"/>
        <v>138.43610000000001</v>
      </c>
      <c r="J165" s="370">
        <f t="shared" si="26"/>
        <v>109.04601</v>
      </c>
      <c r="K165" s="370">
        <f t="shared" si="26"/>
        <v>146.61281</v>
      </c>
      <c r="L165" s="370">
        <f t="shared" si="26"/>
        <v>5235.288590000001</v>
      </c>
      <c r="M165" s="370">
        <f t="shared" si="26"/>
        <v>7818.5135799999998</v>
      </c>
      <c r="N165" s="370">
        <f t="shared" si="26"/>
        <v>242468.26056</v>
      </c>
      <c r="O165" s="370">
        <f t="shared" si="26"/>
        <v>363.17389000000003</v>
      </c>
      <c r="P165" s="370">
        <f t="shared" si="26"/>
        <v>3942.3282600000002</v>
      </c>
      <c r="Q165" s="370">
        <f t="shared" si="26"/>
        <v>2007.9445699999999</v>
      </c>
      <c r="R165" s="370">
        <f t="shared" si="26"/>
        <v>18878.426179999999</v>
      </c>
      <c r="S165" s="370">
        <f t="shared" si="26"/>
        <v>309657.77412999992</v>
      </c>
      <c r="T165" s="370">
        <f t="shared" si="26"/>
        <v>-696821.28728000005</v>
      </c>
      <c r="U165" s="370">
        <f t="shared" si="26"/>
        <v>0</v>
      </c>
      <c r="V165" s="370">
        <f t="shared" si="26"/>
        <v>175566.99804000001</v>
      </c>
      <c r="W165" s="370">
        <f t="shared" si="26"/>
        <v>0</v>
      </c>
      <c r="X165" s="370">
        <f t="shared" si="26"/>
        <v>124007.06054000001</v>
      </c>
      <c r="Y165" s="370">
        <f t="shared" si="26"/>
        <v>41807.157289999996</v>
      </c>
      <c r="Z165" s="370">
        <f t="shared" si="26"/>
        <v>0</v>
      </c>
      <c r="AA165" s="370">
        <f t="shared" si="26"/>
        <v>124596.56999999999</v>
      </c>
      <c r="AB165" s="370">
        <f t="shared" si="26"/>
        <v>0</v>
      </c>
      <c r="AC165" s="375">
        <f t="shared" si="26"/>
        <v>110717.43645000001</v>
      </c>
      <c r="AD165" s="376">
        <f>SUM(C165:AC165)-1</f>
        <v>519810.54668999987</v>
      </c>
    </row>
    <row r="166" spans="1:30">
      <c r="C166" s="203"/>
      <c r="D166" s="203"/>
      <c r="E166" s="203"/>
      <c r="F166" s="203"/>
      <c r="G166" s="203"/>
      <c r="H166" s="203"/>
      <c r="I166" s="203"/>
      <c r="J166" s="203"/>
      <c r="K166" s="203"/>
      <c r="L166" s="203"/>
      <c r="M166" s="203"/>
      <c r="N166" s="203"/>
      <c r="O166" s="203"/>
      <c r="P166" s="203"/>
      <c r="Q166" s="203"/>
      <c r="R166" s="203"/>
      <c r="S166" s="203"/>
      <c r="T166" s="203"/>
      <c r="U166" s="203"/>
      <c r="V166" s="203"/>
      <c r="W166" s="203"/>
      <c r="X166" s="203"/>
      <c r="Y166" s="203"/>
      <c r="Z166" s="203"/>
      <c r="AA166" s="203"/>
      <c r="AB166" s="203"/>
      <c r="AC166" s="204"/>
      <c r="AD166" s="204"/>
    </row>
    <row r="167" spans="1:30" hidden="1">
      <c r="A167" s="46" t="s">
        <v>229</v>
      </c>
      <c r="C167" s="203"/>
      <c r="D167" s="203"/>
      <c r="E167" s="203"/>
      <c r="F167" s="203"/>
      <c r="G167" s="205"/>
      <c r="H167" s="203"/>
      <c r="I167" s="203"/>
      <c r="J167" s="203"/>
      <c r="K167" s="203"/>
      <c r="L167" s="203"/>
      <c r="M167" s="203"/>
      <c r="N167" s="203"/>
      <c r="O167" s="203"/>
      <c r="P167" s="203"/>
      <c r="Q167" s="203"/>
      <c r="R167" s="203"/>
      <c r="S167" s="203"/>
      <c r="T167" s="203"/>
      <c r="U167" s="203"/>
      <c r="V167" s="203"/>
      <c r="W167" s="203"/>
      <c r="X167" s="203"/>
      <c r="Y167" s="203"/>
      <c r="Z167" s="203"/>
      <c r="AA167" s="203"/>
      <c r="AB167" s="203"/>
      <c r="AC167" s="204"/>
      <c r="AD167" s="204"/>
    </row>
    <row r="168" spans="1:30" hidden="1">
      <c r="A168" s="46" t="s">
        <v>230</v>
      </c>
      <c r="C168" s="203"/>
      <c r="D168" s="203"/>
      <c r="E168" s="203"/>
      <c r="F168" s="203"/>
      <c r="G168" s="203"/>
      <c r="H168" s="203"/>
      <c r="I168" s="203"/>
      <c r="J168" s="203"/>
      <c r="K168" s="203"/>
      <c r="L168" s="203"/>
      <c r="M168" s="203"/>
      <c r="N168" s="203"/>
      <c r="O168" s="203"/>
      <c r="P168" s="203"/>
      <c r="Q168" s="203"/>
      <c r="R168" s="203"/>
      <c r="S168" s="203"/>
      <c r="T168" s="203"/>
      <c r="U168" s="203"/>
      <c r="V168" s="203"/>
      <c r="W168" s="203"/>
      <c r="X168" s="203"/>
      <c r="Y168" s="203"/>
      <c r="Z168" s="203"/>
      <c r="AA168" s="203"/>
      <c r="AB168" s="203"/>
      <c r="AC168" s="204"/>
      <c r="AD168" s="204"/>
    </row>
    <row r="169" spans="1:30" hidden="1">
      <c r="A169" s="46"/>
      <c r="C169" s="203"/>
      <c r="D169" s="203"/>
      <c r="E169" s="203"/>
      <c r="F169" s="203"/>
      <c r="G169" s="203"/>
      <c r="H169" s="203"/>
      <c r="I169" s="203"/>
      <c r="J169" s="203"/>
      <c r="K169" s="203"/>
      <c r="L169" s="203"/>
      <c r="M169" s="203"/>
      <c r="N169" s="203"/>
      <c r="O169" s="203"/>
      <c r="P169" s="203"/>
      <c r="Q169" s="203"/>
      <c r="R169" s="203"/>
      <c r="S169" s="203"/>
      <c r="T169" s="203"/>
      <c r="U169" s="203"/>
      <c r="V169" s="203"/>
      <c r="W169" s="203"/>
      <c r="X169" s="203"/>
      <c r="Y169" s="203"/>
      <c r="Z169" s="203"/>
      <c r="AA169" s="203"/>
      <c r="AB169" s="203"/>
      <c r="AC169" s="204"/>
      <c r="AD169" s="204"/>
    </row>
    <row r="170" spans="1:30" hidden="1">
      <c r="A170" s="46" t="s">
        <v>373</v>
      </c>
      <c r="C170" s="203"/>
      <c r="D170" s="203"/>
      <c r="E170" s="203"/>
      <c r="F170" s="203"/>
      <c r="G170" s="203"/>
      <c r="H170" s="203"/>
      <c r="I170" s="203"/>
      <c r="J170" s="203"/>
      <c r="K170" s="203"/>
      <c r="L170" s="203"/>
      <c r="M170" s="203"/>
      <c r="N170" s="203"/>
      <c r="O170" s="203"/>
      <c r="P170" s="203"/>
      <c r="Q170" s="203"/>
      <c r="R170" s="203"/>
      <c r="S170" s="203"/>
      <c r="T170" s="203"/>
      <c r="U170" s="203"/>
      <c r="V170" s="203"/>
      <c r="W170" s="203"/>
      <c r="X170" s="203"/>
      <c r="Y170" s="203"/>
      <c r="Z170" s="203"/>
      <c r="AA170" s="203"/>
      <c r="AB170" s="203"/>
      <c r="AC170" s="204"/>
      <c r="AD170" s="204"/>
    </row>
    <row r="171" spans="1:30" hidden="1">
      <c r="C171" s="203"/>
      <c r="D171" s="203"/>
      <c r="E171" s="203"/>
      <c r="F171" s="203"/>
      <c r="G171" s="203"/>
      <c r="H171" s="203"/>
      <c r="I171" s="203"/>
      <c r="J171" s="203"/>
      <c r="K171" s="203"/>
      <c r="L171" s="203"/>
      <c r="M171" s="203"/>
      <c r="N171" s="203"/>
      <c r="O171" s="203"/>
      <c r="P171" s="203"/>
      <c r="Q171" s="203"/>
      <c r="R171" s="203"/>
      <c r="S171" s="203"/>
      <c r="T171" s="203"/>
      <c r="U171" s="203"/>
      <c r="V171" s="203"/>
      <c r="W171" s="203"/>
      <c r="X171" s="203"/>
      <c r="Y171" s="203"/>
      <c r="Z171" s="203"/>
      <c r="AA171" s="203"/>
      <c r="AB171" s="203"/>
      <c r="AC171" s="204"/>
      <c r="AD171" s="204"/>
    </row>
    <row r="172" spans="1:30" ht="20.25" hidden="1">
      <c r="A172" s="209" t="s">
        <v>1</v>
      </c>
    </row>
    <row r="173" spans="1:30" hidden="1"/>
    <row r="174" spans="1:30" hidden="1"/>
    <row r="175" spans="1:30" hidden="1"/>
    <row r="176" spans="1:30" hidden="1"/>
    <row r="177" spans="30:30" hidden="1"/>
    <row r="178" spans="30:30" hidden="1"/>
    <row r="179" spans="30:30" hidden="1"/>
    <row r="180" spans="30:30" hidden="1"/>
    <row r="181" spans="30:30" hidden="1"/>
    <row r="182" spans="30:30" hidden="1"/>
    <row r="183" spans="30:30" hidden="1"/>
    <row r="184" spans="30:30" hidden="1"/>
    <row r="185" spans="30:30" hidden="1"/>
    <row r="186" spans="30:30" hidden="1"/>
    <row r="187" spans="30:30" hidden="1"/>
    <row r="188" spans="30:30" hidden="1"/>
    <row r="189" spans="30:30" hidden="1"/>
    <row r="190" spans="30:30" hidden="1"/>
    <row r="192" spans="30:30">
      <c r="AD192" s="403"/>
    </row>
  </sheetData>
  <sheetProtection formatCells="0" formatColumns="0" formatRows="0"/>
  <mergeCells count="17">
    <mergeCell ref="A47:B47"/>
    <mergeCell ref="A156:B156"/>
    <mergeCell ref="A125:B125"/>
    <mergeCell ref="A140:B140"/>
    <mergeCell ref="A14:B14"/>
    <mergeCell ref="A96:B96"/>
    <mergeCell ref="A102:B102"/>
    <mergeCell ref="A123:B123"/>
    <mergeCell ref="A104:B104"/>
    <mergeCell ref="A92:B92"/>
    <mergeCell ref="A79:B79"/>
    <mergeCell ref="A37:B37"/>
    <mergeCell ref="A28:B28"/>
    <mergeCell ref="A20:B20"/>
    <mergeCell ref="A72:B72"/>
    <mergeCell ref="A60:B60"/>
    <mergeCell ref="A53:B53"/>
  </mergeCells>
  <phoneticPr fontId="0" type="noConversion"/>
  <printOptions horizontalCentered="1"/>
  <pageMargins left="0.17" right="0.17" top="0.67" bottom="0.39" header="0.51181102362204722" footer="0.4"/>
  <pageSetup paperSize="8" scale="42" orientation="portrait" r:id="rId1"/>
  <headerFooter alignWithMargins="0">
    <oddFooter>&amp;C&amp;F&amp;R&amp;D</oddFooter>
  </headerFooter>
  <rowBreaks count="1" manualBreakCount="1">
    <brk id="60" max="16383" man="1"/>
  </row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7"/>
  <dimension ref="A1:M77"/>
  <sheetViews>
    <sheetView showGridLines="0" showZeros="0" zoomScaleNormal="100" zoomScaleSheetLayoutView="100" workbookViewId="0">
      <pane xSplit="5" ySplit="3" topLeftCell="F23" activePane="bottomRight" state="frozen"/>
      <selection pane="topRight" activeCell="F1" sqref="F1"/>
      <selection pane="bottomLeft" activeCell="A4" sqref="A4"/>
      <selection pane="bottomRight" activeCell="H40" sqref="H40"/>
    </sheetView>
  </sheetViews>
  <sheetFormatPr defaultRowHeight="11.25"/>
  <cols>
    <col min="1" max="1" width="1.42578125" style="1" customWidth="1"/>
    <col min="2" max="2" width="69.7109375" style="1" bestFit="1" customWidth="1"/>
    <col min="3" max="3" width="1.42578125" style="1" customWidth="1"/>
    <col min="4" max="4" width="5.5703125" style="97" bestFit="1" customWidth="1"/>
    <col min="5" max="5" width="1.42578125" style="1" customWidth="1"/>
    <col min="6" max="6" width="13.7109375" style="1" customWidth="1"/>
    <col min="7" max="7" width="1.42578125" style="1" customWidth="1"/>
    <col min="8" max="8" width="13.7109375" style="1" customWidth="1"/>
    <col min="9" max="9" width="1.42578125" style="1" customWidth="1"/>
    <col min="10" max="16384" width="9.140625" style="1"/>
  </cols>
  <sheetData>
    <row r="1" spans="1:12" s="64" customFormat="1" ht="18" customHeight="1">
      <c r="A1" s="63"/>
      <c r="B1" s="447" t="str">
        <f>"Balansstandenoverzicht provincie "&amp;+'4.Informatie'!C5&amp;" ("&amp;'4.Informatie'!C6&amp;"): "&amp;"jaar "&amp;'4.Informatie'!C7 &amp;" periode "&amp;'4.Informatie'!C8</f>
        <v>Balansstandenoverzicht provincie Provincie Groningen (0001): jaar 2013 periode 4</v>
      </c>
      <c r="C1" s="447"/>
      <c r="D1" s="447"/>
      <c r="E1" s="447"/>
      <c r="F1" s="447"/>
      <c r="G1" s="447"/>
      <c r="H1" s="447"/>
      <c r="I1" s="447"/>
    </row>
    <row r="2" spans="1:12" s="67" customFormat="1" ht="18" customHeight="1">
      <c r="A2" s="65"/>
      <c r="B2" s="332" t="s">
        <v>203</v>
      </c>
      <c r="C2" s="65"/>
      <c r="D2" s="66"/>
      <c r="E2" s="66"/>
      <c r="F2" s="66"/>
    </row>
    <row r="3" spans="1:12" ht="12.75" customHeight="1">
      <c r="A3" s="68"/>
      <c r="B3" s="68"/>
      <c r="C3" s="69"/>
      <c r="D3" s="70" t="s">
        <v>201</v>
      </c>
      <c r="E3" s="71"/>
      <c r="F3" s="72">
        <v>41275</v>
      </c>
      <c r="G3" s="14"/>
      <c r="H3" s="72" t="s">
        <v>440</v>
      </c>
      <c r="I3" s="73"/>
    </row>
    <row r="4" spans="1:12" ht="12" customHeight="1">
      <c r="A4" s="31"/>
      <c r="B4" s="34" t="s">
        <v>202</v>
      </c>
      <c r="C4" s="31"/>
      <c r="D4" s="31"/>
      <c r="E4" s="74"/>
      <c r="F4" s="30"/>
      <c r="G4" s="75"/>
      <c r="H4" s="30"/>
      <c r="I4" s="75"/>
    </row>
    <row r="5" spans="1:12" ht="19.5" customHeight="1">
      <c r="A5" s="68"/>
      <c r="B5" s="76" t="s">
        <v>204</v>
      </c>
      <c r="C5" s="77"/>
      <c r="D5" s="78"/>
      <c r="E5" s="79"/>
      <c r="F5" s="80"/>
      <c r="G5" s="81"/>
      <c r="H5" s="80"/>
      <c r="I5" s="81"/>
    </row>
    <row r="6" spans="1:12" ht="19.5" hidden="1" customHeight="1">
      <c r="A6" s="68"/>
      <c r="B6" s="163" t="s">
        <v>381</v>
      </c>
      <c r="C6" s="164"/>
      <c r="D6" s="78"/>
      <c r="E6" s="165"/>
      <c r="F6" s="80"/>
      <c r="G6" s="81"/>
      <c r="H6" s="80"/>
      <c r="I6" s="81"/>
    </row>
    <row r="7" spans="1:12" ht="12.75" hidden="1">
      <c r="A7" s="68"/>
      <c r="B7" s="6" t="s">
        <v>382</v>
      </c>
      <c r="C7" s="83"/>
      <c r="D7" s="136" t="s">
        <v>88</v>
      </c>
      <c r="E7" s="137"/>
      <c r="F7" s="85"/>
      <c r="G7" s="81"/>
      <c r="H7" s="85"/>
      <c r="I7" s="81"/>
      <c r="J7" s="331" t="s">
        <v>463</v>
      </c>
      <c r="L7" s="166"/>
    </row>
    <row r="8" spans="1:12" ht="12.75" hidden="1">
      <c r="A8" s="68"/>
      <c r="B8" s="6" t="s">
        <v>383</v>
      </c>
      <c r="C8" s="83"/>
      <c r="D8" s="136" t="s">
        <v>90</v>
      </c>
      <c r="E8" s="137"/>
      <c r="F8" s="85"/>
      <c r="G8" s="81"/>
      <c r="H8" s="85"/>
      <c r="I8" s="81"/>
      <c r="J8" s="331" t="s">
        <v>463</v>
      </c>
    </row>
    <row r="9" spans="1:12" ht="19.5" hidden="1" customHeight="1">
      <c r="A9" s="68"/>
      <c r="B9" s="82" t="s">
        <v>384</v>
      </c>
      <c r="C9" s="83"/>
      <c r="D9" s="136"/>
      <c r="E9" s="137"/>
      <c r="F9" s="138"/>
      <c r="G9" s="81"/>
      <c r="H9" s="138"/>
      <c r="I9" s="81"/>
    </row>
    <row r="10" spans="1:12" ht="12.75" hidden="1">
      <c r="A10" s="68"/>
      <c r="B10" s="84" t="s">
        <v>385</v>
      </c>
      <c r="C10" s="83"/>
      <c r="D10" s="136" t="s">
        <v>92</v>
      </c>
      <c r="E10" s="137"/>
      <c r="F10" s="85"/>
      <c r="G10" s="81"/>
      <c r="H10" s="85"/>
      <c r="I10" s="81"/>
      <c r="J10" s="331" t="s">
        <v>463</v>
      </c>
    </row>
    <row r="11" spans="1:12" ht="12.75" hidden="1">
      <c r="A11" s="68"/>
      <c r="B11" s="84" t="s">
        <v>386</v>
      </c>
      <c r="C11" s="83"/>
      <c r="D11" s="136" t="s">
        <v>94</v>
      </c>
      <c r="E11" s="137"/>
      <c r="F11" s="85"/>
      <c r="G11" s="81"/>
      <c r="H11" s="85"/>
      <c r="I11" s="81"/>
      <c r="J11" s="331" t="s">
        <v>463</v>
      </c>
    </row>
    <row r="12" spans="1:12" ht="12.75" hidden="1">
      <c r="A12" s="68"/>
      <c r="B12" s="84" t="s">
        <v>387</v>
      </c>
      <c r="C12" s="83"/>
      <c r="D12" s="136" t="s">
        <v>96</v>
      </c>
      <c r="E12" s="137"/>
      <c r="F12" s="85"/>
      <c r="G12" s="81"/>
      <c r="H12" s="85"/>
      <c r="I12" s="81"/>
      <c r="J12" s="331" t="s">
        <v>463</v>
      </c>
    </row>
    <row r="13" spans="1:12" ht="12.75" hidden="1">
      <c r="A13" s="68"/>
      <c r="B13" s="84" t="s">
        <v>388</v>
      </c>
      <c r="C13" s="83"/>
      <c r="D13" s="136" t="s">
        <v>98</v>
      </c>
      <c r="E13" s="137"/>
      <c r="F13" s="86"/>
      <c r="G13" s="81"/>
      <c r="H13" s="86"/>
      <c r="I13" s="81"/>
      <c r="J13" s="331" t="s">
        <v>463</v>
      </c>
    </row>
    <row r="14" spans="1:12" ht="12.75" hidden="1">
      <c r="A14" s="68"/>
      <c r="B14" s="84" t="s">
        <v>389</v>
      </c>
      <c r="C14" s="83"/>
      <c r="D14" s="136" t="s">
        <v>100</v>
      </c>
      <c r="E14" s="137"/>
      <c r="F14" s="85"/>
      <c r="G14" s="81"/>
      <c r="H14" s="85"/>
      <c r="I14" s="81"/>
      <c r="J14" s="331" t="s">
        <v>463</v>
      </c>
    </row>
    <row r="15" spans="1:12" ht="12.75" hidden="1">
      <c r="A15" s="68"/>
      <c r="B15" s="84" t="s">
        <v>390</v>
      </c>
      <c r="C15" s="83"/>
      <c r="D15" s="136" t="s">
        <v>102</v>
      </c>
      <c r="E15" s="137"/>
      <c r="F15" s="85"/>
      <c r="G15" s="81"/>
      <c r="H15" s="85"/>
      <c r="I15" s="81"/>
      <c r="J15" s="331" t="s">
        <v>463</v>
      </c>
    </row>
    <row r="16" spans="1:12" ht="12.75" hidden="1">
      <c r="A16" s="68"/>
      <c r="B16" s="84" t="s">
        <v>391</v>
      </c>
      <c r="C16" s="83"/>
      <c r="D16" s="136" t="s">
        <v>104</v>
      </c>
      <c r="E16" s="137"/>
      <c r="F16" s="85"/>
      <c r="G16" s="81"/>
      <c r="H16" s="85"/>
      <c r="I16" s="81"/>
      <c r="J16" s="331" t="s">
        <v>463</v>
      </c>
    </row>
    <row r="17" spans="1:13" ht="19.5" customHeight="1">
      <c r="A17" s="68"/>
      <c r="B17" s="82" t="s">
        <v>205</v>
      </c>
      <c r="C17" s="83"/>
      <c r="D17" s="136"/>
      <c r="E17" s="137"/>
      <c r="F17" s="138"/>
      <c r="G17" s="81"/>
      <c r="H17" s="138"/>
      <c r="I17" s="81"/>
    </row>
    <row r="18" spans="1:13" ht="12.75">
      <c r="A18" s="68"/>
      <c r="B18" s="84" t="s">
        <v>206</v>
      </c>
      <c r="C18" s="83"/>
      <c r="D18" s="136" t="s">
        <v>106</v>
      </c>
      <c r="E18" s="137"/>
      <c r="F18" s="85">
        <f>2299392.73/1000</f>
        <v>2299.39273</v>
      </c>
      <c r="G18" s="81"/>
      <c r="H18" s="85">
        <f>2299392.73/1000</f>
        <v>2299.39273</v>
      </c>
      <c r="I18" s="81"/>
    </row>
    <row r="19" spans="1:13" ht="12.75">
      <c r="A19" s="68"/>
      <c r="B19" s="84" t="s">
        <v>207</v>
      </c>
      <c r="C19" s="83"/>
      <c r="D19" s="136" t="s">
        <v>108</v>
      </c>
      <c r="E19" s="137"/>
      <c r="F19" s="85"/>
      <c r="G19" s="81"/>
      <c r="H19" s="85"/>
      <c r="I19" s="81"/>
    </row>
    <row r="20" spans="1:13" ht="12.75">
      <c r="A20" s="68"/>
      <c r="B20" s="84" t="s">
        <v>208</v>
      </c>
      <c r="C20" s="83"/>
      <c r="D20" s="136" t="s">
        <v>110</v>
      </c>
      <c r="E20" s="137"/>
      <c r="F20" s="85"/>
      <c r="G20" s="81"/>
      <c r="H20" s="86"/>
      <c r="I20" s="81"/>
    </row>
    <row r="21" spans="1:13" ht="12.75">
      <c r="A21" s="68"/>
      <c r="B21" s="84" t="s">
        <v>209</v>
      </c>
      <c r="C21" s="83"/>
      <c r="D21" s="136" t="s">
        <v>112</v>
      </c>
      <c r="E21" s="137"/>
      <c r="F21" s="85"/>
      <c r="G21" s="81"/>
      <c r="H21" s="85"/>
      <c r="I21" s="81"/>
      <c r="M21" s="33"/>
    </row>
    <row r="22" spans="1:13" ht="12.75">
      <c r="A22" s="68"/>
      <c r="B22" s="84" t="s">
        <v>210</v>
      </c>
      <c r="C22" s="83"/>
      <c r="D22" s="136" t="s">
        <v>114</v>
      </c>
      <c r="E22" s="137"/>
      <c r="F22" s="85">
        <f>107694493.3/1000</f>
        <v>107694.4933</v>
      </c>
      <c r="G22" s="81"/>
      <c r="H22" s="85">
        <f>77668119.96/1000</f>
        <v>77668.119959999996</v>
      </c>
      <c r="I22" s="81"/>
    </row>
    <row r="23" spans="1:13" ht="12.75">
      <c r="A23" s="68"/>
      <c r="B23" s="84" t="s">
        <v>211</v>
      </c>
      <c r="C23" s="83"/>
      <c r="D23" s="136" t="s">
        <v>116</v>
      </c>
      <c r="E23" s="137"/>
      <c r="F23" s="85"/>
      <c r="G23" s="81"/>
      <c r="H23" s="85"/>
      <c r="I23" s="81"/>
    </row>
    <row r="24" spans="1:13" ht="12.75">
      <c r="A24" s="68"/>
      <c r="B24" s="84" t="s">
        <v>212</v>
      </c>
      <c r="C24" s="83"/>
      <c r="D24" s="136" t="s">
        <v>118</v>
      </c>
      <c r="E24" s="137"/>
      <c r="F24" s="85">
        <f>21003978.79/1000</f>
        <v>21003.978789999997</v>
      </c>
      <c r="G24" s="81"/>
      <c r="H24" s="85">
        <f>8879794.84/1000</f>
        <v>8879.7948400000005</v>
      </c>
      <c r="I24" s="81"/>
    </row>
    <row r="25" spans="1:13" ht="12.75">
      <c r="A25" s="68"/>
      <c r="B25" s="84" t="s">
        <v>213</v>
      </c>
      <c r="C25" s="83"/>
      <c r="D25" s="136" t="s">
        <v>120</v>
      </c>
      <c r="E25" s="137"/>
      <c r="F25" s="85">
        <f>300971286.03/1000</f>
        <v>300971.28602999996</v>
      </c>
      <c r="G25" s="81"/>
      <c r="H25" s="85">
        <f>310880297.63/1000</f>
        <v>310880.29762999999</v>
      </c>
      <c r="I25" s="81"/>
    </row>
    <row r="26" spans="1:13" ht="12.75" hidden="1">
      <c r="A26" s="68"/>
      <c r="B26" s="84" t="s">
        <v>392</v>
      </c>
      <c r="C26" s="83"/>
      <c r="D26" s="136" t="s">
        <v>122</v>
      </c>
      <c r="E26" s="137"/>
      <c r="F26" s="85"/>
      <c r="G26" s="81"/>
      <c r="H26" s="85"/>
      <c r="I26" s="81"/>
      <c r="J26" s="331" t="s">
        <v>463</v>
      </c>
    </row>
    <row r="27" spans="1:13" ht="19.5" customHeight="1">
      <c r="A27" s="68"/>
      <c r="B27" s="87" t="s">
        <v>125</v>
      </c>
      <c r="C27" s="83"/>
      <c r="D27" s="88"/>
      <c r="E27" s="137"/>
      <c r="F27" s="396"/>
      <c r="G27" s="81"/>
      <c r="H27" s="167"/>
      <c r="I27" s="81"/>
    </row>
    <row r="28" spans="1:13" ht="19.5" hidden="1" customHeight="1">
      <c r="A28" s="68"/>
      <c r="B28" s="95" t="s">
        <v>393</v>
      </c>
      <c r="C28" s="83"/>
      <c r="D28" s="88"/>
      <c r="E28" s="137"/>
      <c r="F28" s="396"/>
      <c r="G28" s="81"/>
      <c r="H28" s="167"/>
      <c r="I28" s="81"/>
    </row>
    <row r="29" spans="1:13" ht="12.75" hidden="1">
      <c r="A29" s="68"/>
      <c r="B29" s="84" t="s">
        <v>394</v>
      </c>
      <c r="C29" s="83"/>
      <c r="D29" s="136" t="s">
        <v>126</v>
      </c>
      <c r="E29" s="137"/>
      <c r="F29" s="85"/>
      <c r="G29" s="81"/>
      <c r="H29" s="86"/>
      <c r="I29" s="81"/>
      <c r="J29" s="331" t="s">
        <v>463</v>
      </c>
    </row>
    <row r="30" spans="1:13" ht="12.75" hidden="1">
      <c r="A30" s="68"/>
      <c r="B30" s="84" t="s">
        <v>395</v>
      </c>
      <c r="C30" s="83"/>
      <c r="D30" s="136" t="s">
        <v>128</v>
      </c>
      <c r="E30" s="137"/>
      <c r="F30" s="85"/>
      <c r="G30" s="81"/>
      <c r="H30" s="85"/>
      <c r="I30" s="81"/>
      <c r="J30" s="331" t="s">
        <v>463</v>
      </c>
    </row>
    <row r="31" spans="1:13" ht="12.75" hidden="1">
      <c r="A31" s="68"/>
      <c r="B31" s="84" t="s">
        <v>396</v>
      </c>
      <c r="C31" s="83"/>
      <c r="D31" s="136" t="s">
        <v>130</v>
      </c>
      <c r="E31" s="137"/>
      <c r="F31" s="85"/>
      <c r="G31" s="81"/>
      <c r="H31" s="85"/>
      <c r="I31" s="81"/>
      <c r="J31" s="331" t="s">
        <v>463</v>
      </c>
    </row>
    <row r="32" spans="1:13" ht="12.75" hidden="1">
      <c r="A32" s="68"/>
      <c r="B32" s="84" t="s">
        <v>397</v>
      </c>
      <c r="C32" s="83"/>
      <c r="D32" s="136" t="s">
        <v>132</v>
      </c>
      <c r="E32" s="137"/>
      <c r="F32" s="85"/>
      <c r="G32" s="81"/>
      <c r="H32" s="85"/>
      <c r="I32" s="81"/>
      <c r="J32" s="331" t="s">
        <v>463</v>
      </c>
    </row>
    <row r="33" spans="1:10" ht="12.75" hidden="1">
      <c r="A33" s="68"/>
      <c r="B33" s="84" t="s">
        <v>398</v>
      </c>
      <c r="C33" s="83"/>
      <c r="D33" s="136" t="s">
        <v>134</v>
      </c>
      <c r="E33" s="137"/>
      <c r="F33" s="85"/>
      <c r="G33" s="81"/>
      <c r="H33" s="86"/>
      <c r="I33" s="81"/>
      <c r="J33" s="331" t="s">
        <v>463</v>
      </c>
    </row>
    <row r="34" spans="1:10" ht="19.5" customHeight="1">
      <c r="A34" s="68"/>
      <c r="B34" s="82" t="s">
        <v>214</v>
      </c>
      <c r="C34" s="83"/>
      <c r="D34" s="88"/>
      <c r="E34" s="137"/>
      <c r="F34" s="396"/>
      <c r="G34" s="81"/>
      <c r="H34" s="167"/>
      <c r="I34" s="81"/>
    </row>
    <row r="35" spans="1:10" ht="12.75">
      <c r="A35" s="68"/>
      <c r="B35" s="84" t="s">
        <v>464</v>
      </c>
      <c r="C35" s="83"/>
      <c r="D35" s="136" t="s">
        <v>136</v>
      </c>
      <c r="E35" s="137"/>
      <c r="F35" s="85">
        <f>48576180.53/1000</f>
        <v>48576.180529999998</v>
      </c>
      <c r="G35" s="81"/>
      <c r="H35" s="85">
        <f>49078817.19/1000</f>
        <v>49078.817189999994</v>
      </c>
      <c r="I35" s="81"/>
    </row>
    <row r="36" spans="1:10" ht="12.75">
      <c r="A36" s="68"/>
      <c r="B36" s="84" t="s">
        <v>215</v>
      </c>
      <c r="C36" s="83"/>
      <c r="D36" s="136" t="s">
        <v>138</v>
      </c>
      <c r="E36" s="137"/>
      <c r="F36" s="85">
        <f>742600000/1000</f>
        <v>742600</v>
      </c>
      <c r="G36" s="81"/>
      <c r="H36" s="85">
        <f>56000000/1000</f>
        <v>56000</v>
      </c>
      <c r="I36" s="81"/>
    </row>
    <row r="37" spans="1:10" ht="12.75">
      <c r="A37" s="68"/>
      <c r="B37" s="84" t="s">
        <v>216</v>
      </c>
      <c r="C37" s="83"/>
      <c r="D37" s="136" t="s">
        <v>140</v>
      </c>
      <c r="E37" s="137"/>
      <c r="F37" s="85"/>
      <c r="G37" s="81"/>
      <c r="H37" s="85"/>
      <c r="I37" s="81"/>
    </row>
    <row r="38" spans="1:10" ht="12.75">
      <c r="A38" s="68"/>
      <c r="B38" s="84" t="s">
        <v>217</v>
      </c>
      <c r="C38" s="83"/>
      <c r="D38" s="136" t="s">
        <v>142</v>
      </c>
      <c r="E38" s="137"/>
      <c r="F38" s="85">
        <f>8348585.88/1000</f>
        <v>8348.5858800000005</v>
      </c>
      <c r="G38" s="81"/>
      <c r="H38" s="85">
        <f>6464067.65/1000</f>
        <v>6464.06765</v>
      </c>
      <c r="I38" s="81"/>
    </row>
    <row r="39" spans="1:10" ht="12.75">
      <c r="A39" s="68"/>
      <c r="B39" s="84" t="s">
        <v>218</v>
      </c>
      <c r="C39" s="83"/>
      <c r="D39" s="136" t="s">
        <v>144</v>
      </c>
      <c r="E39" s="137"/>
      <c r="F39" s="85"/>
      <c r="G39" s="81"/>
      <c r="H39" s="86">
        <f>7000000/1000</f>
        <v>7000</v>
      </c>
      <c r="I39" s="81"/>
    </row>
    <row r="40" spans="1:10" ht="12.75">
      <c r="A40" s="68"/>
      <c r="B40" s="89" t="s">
        <v>147</v>
      </c>
      <c r="C40" s="83"/>
      <c r="D40" s="136" t="s">
        <v>146</v>
      </c>
      <c r="E40" s="137"/>
      <c r="F40" s="85">
        <f>26457332.5/1000</f>
        <v>26457.3325</v>
      </c>
      <c r="G40" s="81"/>
      <c r="H40" s="85">
        <f>733354966.69/1000</f>
        <v>733354.96669000003</v>
      </c>
      <c r="I40" s="81"/>
    </row>
    <row r="41" spans="1:10" ht="12.75">
      <c r="A41" s="68"/>
      <c r="B41" s="89" t="s">
        <v>149</v>
      </c>
      <c r="C41" s="83"/>
      <c r="D41" s="136" t="s">
        <v>148</v>
      </c>
      <c r="E41" s="137"/>
      <c r="F41" s="85"/>
      <c r="G41" s="81"/>
      <c r="H41" s="86"/>
      <c r="I41" s="81"/>
    </row>
    <row r="42" spans="1:10" s="33" customFormat="1">
      <c r="A42" s="90"/>
      <c r="B42" s="91"/>
      <c r="C42" s="81"/>
      <c r="D42" s="78"/>
      <c r="E42" s="81"/>
      <c r="F42" s="397"/>
      <c r="G42" s="81"/>
      <c r="H42" s="81"/>
      <c r="I42" s="81"/>
    </row>
    <row r="43" spans="1:10" ht="12.75">
      <c r="A43" s="31"/>
      <c r="B43" s="34" t="s">
        <v>219</v>
      </c>
      <c r="C43" s="31"/>
      <c r="D43" s="31"/>
      <c r="E43" s="74"/>
      <c r="F43" s="398"/>
      <c r="G43" s="75"/>
      <c r="H43" s="168"/>
      <c r="I43" s="75"/>
    </row>
    <row r="44" spans="1:10" ht="19.5" customHeight="1">
      <c r="A44" s="92"/>
      <c r="B44" s="93" t="s">
        <v>151</v>
      </c>
      <c r="C44" s="81"/>
      <c r="D44" s="78"/>
      <c r="E44" s="94"/>
      <c r="F44" s="399"/>
      <c r="G44" s="81"/>
      <c r="H44" s="169"/>
      <c r="I44" s="81"/>
    </row>
    <row r="45" spans="1:10" ht="19.5" hidden="1" customHeight="1">
      <c r="A45" s="92"/>
      <c r="B45" s="170" t="s">
        <v>399</v>
      </c>
      <c r="C45" s="81"/>
      <c r="D45" s="78"/>
      <c r="E45" s="94"/>
      <c r="F45" s="399"/>
      <c r="G45" s="81"/>
      <c r="H45" s="169"/>
      <c r="I45" s="81"/>
    </row>
    <row r="46" spans="1:10" ht="12.75" hidden="1">
      <c r="A46" s="92"/>
      <c r="B46" s="84" t="s">
        <v>400</v>
      </c>
      <c r="C46" s="81"/>
      <c r="D46" s="136" t="s">
        <v>152</v>
      </c>
      <c r="E46" s="81"/>
      <c r="F46" s="85"/>
      <c r="G46" s="81"/>
      <c r="H46" s="86"/>
      <c r="I46" s="81"/>
      <c r="J46" s="331" t="s">
        <v>463</v>
      </c>
    </row>
    <row r="47" spans="1:10" ht="12.75" hidden="1">
      <c r="A47" s="92"/>
      <c r="B47" s="84" t="s">
        <v>401</v>
      </c>
      <c r="C47" s="81"/>
      <c r="D47" s="136" t="s">
        <v>154</v>
      </c>
      <c r="E47" s="81"/>
      <c r="F47" s="85"/>
      <c r="G47" s="81"/>
      <c r="H47" s="85"/>
      <c r="I47" s="81"/>
      <c r="J47" s="331" t="s">
        <v>463</v>
      </c>
    </row>
    <row r="48" spans="1:10" ht="12.75" hidden="1">
      <c r="A48" s="92"/>
      <c r="B48" s="84" t="s">
        <v>402</v>
      </c>
      <c r="C48" s="81"/>
      <c r="D48" s="136" t="s">
        <v>156</v>
      </c>
      <c r="E48" s="81"/>
      <c r="F48" s="85"/>
      <c r="G48" s="81"/>
      <c r="H48" s="85"/>
      <c r="I48" s="81"/>
      <c r="J48" s="331" t="s">
        <v>463</v>
      </c>
    </row>
    <row r="49" spans="1:12" ht="12.75" hidden="1">
      <c r="A49" s="92"/>
      <c r="B49" s="84" t="s">
        <v>403</v>
      </c>
      <c r="C49" s="81"/>
      <c r="D49" s="136" t="s">
        <v>158</v>
      </c>
      <c r="E49" s="81"/>
      <c r="F49" s="85"/>
      <c r="G49" s="81"/>
      <c r="H49" s="85"/>
      <c r="I49" s="81"/>
      <c r="J49" s="331" t="s">
        <v>463</v>
      </c>
    </row>
    <row r="50" spans="1:12" ht="12.75" hidden="1">
      <c r="A50" s="92"/>
      <c r="B50" s="84"/>
      <c r="C50" s="81"/>
      <c r="D50" s="136"/>
      <c r="E50" s="81"/>
      <c r="F50" s="138"/>
      <c r="G50" s="81"/>
      <c r="H50" s="138"/>
      <c r="I50" s="81"/>
    </row>
    <row r="51" spans="1:12" ht="12.75" hidden="1">
      <c r="A51" s="92"/>
      <c r="B51" s="89" t="s">
        <v>161</v>
      </c>
      <c r="C51" s="81"/>
      <c r="D51" s="136" t="s">
        <v>160</v>
      </c>
      <c r="E51" s="81"/>
      <c r="F51" s="85"/>
      <c r="G51" s="81"/>
      <c r="H51" s="85"/>
      <c r="I51" s="81"/>
      <c r="J51" s="331" t="s">
        <v>463</v>
      </c>
    </row>
    <row r="52" spans="1:12" ht="19.5" customHeight="1">
      <c r="A52" s="92"/>
      <c r="B52" s="95" t="s">
        <v>220</v>
      </c>
      <c r="C52" s="81"/>
      <c r="D52" s="136"/>
      <c r="E52" s="81"/>
      <c r="F52" s="397"/>
      <c r="G52" s="81"/>
      <c r="H52" s="81"/>
      <c r="I52" s="81"/>
    </row>
    <row r="53" spans="1:12" ht="12.75">
      <c r="A53" s="92"/>
      <c r="B53" s="84" t="s">
        <v>221</v>
      </c>
      <c r="C53" s="81"/>
      <c r="D53" s="136" t="s">
        <v>162</v>
      </c>
      <c r="E53" s="81"/>
      <c r="F53" s="85"/>
      <c r="G53" s="81"/>
      <c r="H53" s="86"/>
      <c r="I53" s="81"/>
    </row>
    <row r="54" spans="1:12" ht="12.75">
      <c r="A54" s="92"/>
      <c r="B54" s="84" t="s">
        <v>374</v>
      </c>
      <c r="C54" s="81"/>
      <c r="D54" s="136" t="s">
        <v>164</v>
      </c>
      <c r="E54" s="81"/>
      <c r="F54" s="85"/>
      <c r="G54" s="81"/>
      <c r="H54" s="85"/>
      <c r="I54" s="81"/>
    </row>
    <row r="55" spans="1:12" ht="12.75">
      <c r="A55" s="92"/>
      <c r="B55" s="84" t="s">
        <v>375</v>
      </c>
      <c r="C55" s="81"/>
      <c r="D55" s="136" t="s">
        <v>166</v>
      </c>
      <c r="E55" s="81"/>
      <c r="F55" s="85"/>
      <c r="G55" s="81"/>
      <c r="H55" s="85"/>
      <c r="I55" s="81"/>
    </row>
    <row r="56" spans="1:12" ht="12.75">
      <c r="A56" s="92"/>
      <c r="B56" s="84" t="s">
        <v>376</v>
      </c>
      <c r="C56" s="81"/>
      <c r="D56" s="136" t="s">
        <v>168</v>
      </c>
      <c r="E56" s="81"/>
      <c r="F56" s="85"/>
      <c r="G56" s="81"/>
      <c r="H56" s="85"/>
      <c r="I56" s="81"/>
    </row>
    <row r="57" spans="1:12" ht="12.75">
      <c r="A57" s="92"/>
      <c r="B57" s="84" t="s">
        <v>222</v>
      </c>
      <c r="C57" s="81"/>
      <c r="D57" s="136" t="s">
        <v>170</v>
      </c>
      <c r="E57" s="81"/>
      <c r="F57" s="85"/>
      <c r="G57" s="81"/>
      <c r="H57" s="85"/>
      <c r="I57" s="81"/>
    </row>
    <row r="58" spans="1:12" ht="12.75">
      <c r="A58" s="92"/>
      <c r="B58" s="84" t="s">
        <v>223</v>
      </c>
      <c r="C58" s="81"/>
      <c r="D58" s="136" t="s">
        <v>172</v>
      </c>
      <c r="E58" s="81"/>
      <c r="F58" s="85"/>
      <c r="G58" s="81"/>
      <c r="H58" s="85"/>
      <c r="I58" s="81"/>
    </row>
    <row r="59" spans="1:12" ht="12.75">
      <c r="A59" s="92"/>
      <c r="B59" s="84" t="s">
        <v>224</v>
      </c>
      <c r="C59" s="81"/>
      <c r="D59" s="136" t="s">
        <v>174</v>
      </c>
      <c r="E59" s="81"/>
      <c r="F59" s="85"/>
      <c r="G59" s="81"/>
      <c r="H59" s="85"/>
      <c r="I59" s="81"/>
    </row>
    <row r="60" spans="1:12" ht="12.75">
      <c r="A60" s="92"/>
      <c r="B60" s="84" t="s">
        <v>177</v>
      </c>
      <c r="C60" s="81"/>
      <c r="D60" s="136" t="s">
        <v>176</v>
      </c>
      <c r="E60" s="81"/>
      <c r="F60" s="85">
        <f>15242.03/1000</f>
        <v>15.242030000000002</v>
      </c>
      <c r="G60" s="81"/>
      <c r="H60" s="85">
        <f>20742.03/1000</f>
        <v>20.74203</v>
      </c>
      <c r="I60" s="81"/>
    </row>
    <row r="61" spans="1:12" ht="19.5" customHeight="1">
      <c r="A61" s="92"/>
      <c r="B61" s="87" t="s">
        <v>179</v>
      </c>
      <c r="C61" s="81"/>
      <c r="D61" s="96"/>
      <c r="E61" s="81"/>
      <c r="F61" s="397"/>
      <c r="G61" s="81"/>
      <c r="H61" s="81"/>
      <c r="I61" s="81"/>
      <c r="J61" s="171"/>
      <c r="K61" s="171"/>
      <c r="L61" s="171"/>
    </row>
    <row r="62" spans="1:12" ht="19.5" customHeight="1">
      <c r="A62" s="92"/>
      <c r="B62" s="95" t="s">
        <v>225</v>
      </c>
      <c r="C62" s="81"/>
      <c r="D62" s="96"/>
      <c r="E62" s="81"/>
      <c r="F62" s="397"/>
      <c r="G62" s="81"/>
      <c r="H62" s="81"/>
      <c r="I62" s="81"/>
      <c r="J62" s="171"/>
      <c r="K62" s="171"/>
      <c r="L62" s="171"/>
    </row>
    <row r="63" spans="1:12" ht="12.75">
      <c r="A63" s="92"/>
      <c r="B63" s="84" t="s">
        <v>226</v>
      </c>
      <c r="C63" s="81"/>
      <c r="D63" s="136" t="s">
        <v>180</v>
      </c>
      <c r="E63" s="81"/>
      <c r="F63" s="85"/>
      <c r="G63" s="81"/>
      <c r="H63" s="85"/>
      <c r="I63" s="81"/>
    </row>
    <row r="64" spans="1:12" ht="12.75">
      <c r="A64" s="92"/>
      <c r="B64" s="84" t="s">
        <v>227</v>
      </c>
      <c r="C64" s="81"/>
      <c r="D64" s="136" t="s">
        <v>182</v>
      </c>
      <c r="E64" s="81"/>
      <c r="F64" s="85"/>
      <c r="G64" s="81"/>
      <c r="H64" s="85"/>
      <c r="I64" s="81"/>
    </row>
    <row r="65" spans="1:12" ht="12.75">
      <c r="A65" s="92"/>
      <c r="B65" s="84" t="s">
        <v>228</v>
      </c>
      <c r="C65" s="81"/>
      <c r="D65" s="136" t="s">
        <v>184</v>
      </c>
      <c r="E65" s="81"/>
      <c r="F65" s="85">
        <f>208081029.52/1000</f>
        <v>208081.02952000001</v>
      </c>
      <c r="G65" s="81"/>
      <c r="H65" s="85">
        <f>219601307.52/1000</f>
        <v>219601.30752</v>
      </c>
      <c r="I65" s="81"/>
    </row>
    <row r="66" spans="1:12" ht="12.75">
      <c r="A66" s="92"/>
      <c r="B66" s="89" t="s">
        <v>187</v>
      </c>
      <c r="C66" s="81"/>
      <c r="D66" s="136" t="s">
        <v>186</v>
      </c>
      <c r="E66" s="81"/>
      <c r="F66" s="85">
        <f>225423374.47/1000</f>
        <v>225423.37447000001</v>
      </c>
      <c r="G66" s="81"/>
      <c r="H66" s="85">
        <f>252567365.08/1000</f>
        <v>252567.36508000002</v>
      </c>
      <c r="I66" s="81"/>
    </row>
    <row r="67" spans="1:12" s="33" customFormat="1">
      <c r="A67" s="90"/>
      <c r="B67" s="91"/>
      <c r="C67" s="81"/>
      <c r="D67" s="78"/>
      <c r="E67" s="81"/>
      <c r="F67" s="81"/>
      <c r="G67" s="81"/>
      <c r="H67" s="81"/>
      <c r="I67" s="81"/>
    </row>
    <row r="68" spans="1:12" ht="19.5" hidden="1" customHeight="1" thickBot="1">
      <c r="A68" s="172"/>
      <c r="B68" s="173" t="s">
        <v>404</v>
      </c>
      <c r="C68" s="174"/>
      <c r="D68" s="175"/>
      <c r="E68" s="176"/>
      <c r="F68" s="177"/>
      <c r="G68" s="178"/>
      <c r="H68" s="177"/>
      <c r="I68" s="178"/>
    </row>
    <row r="69" spans="1:12" ht="12.75" hidden="1">
      <c r="A69" s="68"/>
      <c r="B69" s="179" t="s">
        <v>405</v>
      </c>
      <c r="C69" s="83"/>
      <c r="D69" s="180" t="s">
        <v>407</v>
      </c>
      <c r="E69" s="181"/>
      <c r="F69" s="182">
        <f>SUM(F7:F8,F10:F16,F18:F26,F29:F33,F35:F41)</f>
        <v>1257951.2497599998</v>
      </c>
      <c r="G69" s="81"/>
      <c r="H69" s="182">
        <f>SUM(H7:H8,H10:H16,H18:H26,H29:H33,H35:H41)</f>
        <v>1251625.4566899999</v>
      </c>
      <c r="I69" s="81"/>
      <c r="J69" s="331" t="s">
        <v>463</v>
      </c>
      <c r="L69" s="183"/>
    </row>
    <row r="70" spans="1:12" ht="13.5" hidden="1" thickBot="1">
      <c r="A70" s="172"/>
      <c r="B70" s="184" t="s">
        <v>406</v>
      </c>
      <c r="C70" s="178"/>
      <c r="D70" s="185" t="s">
        <v>408</v>
      </c>
      <c r="E70" s="186"/>
      <c r="F70" s="187">
        <f>SUM(F46:F49,F51,F53:F60,F63:F66)</f>
        <v>433519.64601999999</v>
      </c>
      <c r="G70" s="178"/>
      <c r="H70" s="187">
        <f>SUM(H46:H49,H51,H53:H60,H63:H66)</f>
        <v>472189.41463000001</v>
      </c>
      <c r="I70" s="178"/>
      <c r="J70" s="331" t="s">
        <v>463</v>
      </c>
    </row>
    <row r="71" spans="1:12" ht="12.75" hidden="1">
      <c r="C71" s="83"/>
      <c r="D71" s="136"/>
      <c r="E71" s="137"/>
      <c r="F71" s="188"/>
      <c r="G71" s="81"/>
      <c r="H71" s="188"/>
      <c r="I71" s="81"/>
    </row>
    <row r="72" spans="1:12" ht="20.25">
      <c r="B72" s="209"/>
      <c r="D72" s="1"/>
    </row>
    <row r="73" spans="1:12">
      <c r="D73" s="1"/>
    </row>
    <row r="74" spans="1:12">
      <c r="D74" s="1"/>
    </row>
    <row r="75" spans="1:12">
      <c r="D75" s="1"/>
    </row>
    <row r="76" spans="1:12">
      <c r="D76" s="1"/>
    </row>
    <row r="77" spans="1:12">
      <c r="D77" s="1"/>
    </row>
  </sheetData>
  <sheetProtection formatCells="0" formatColumns="0" formatRows="0"/>
  <mergeCells count="1">
    <mergeCell ref="B1:I1"/>
  </mergeCells>
  <phoneticPr fontId="0" type="noConversion"/>
  <printOptions horizontalCentered="1"/>
  <pageMargins left="0.17" right="0.17" top="0.67" bottom="0.39" header="0.51181102362204722" footer="0.4"/>
  <pageSetup paperSize="9" scale="79" orientation="portrait" horizontalDpi="300" verticalDpi="300" r:id="rId1"/>
  <headerFooter alignWithMargins="0">
    <oddFooter>&amp;C&amp;F&amp;R&amp;D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8">
    <pageSetUpPr fitToPage="1"/>
  </sheetPr>
  <dimension ref="A1:B32"/>
  <sheetViews>
    <sheetView showGridLines="0" zoomScaleNormal="100" workbookViewId="0">
      <selection sqref="A1:B1"/>
    </sheetView>
  </sheetViews>
  <sheetFormatPr defaultRowHeight="12.75"/>
  <cols>
    <col min="1" max="1" width="3.28515625" style="212" customWidth="1"/>
    <col min="2" max="2" width="80.5703125" customWidth="1"/>
  </cols>
  <sheetData>
    <row r="1" spans="1:2" ht="15.75">
      <c r="A1" s="449" t="str">
        <f>"Verklaring Iv3 bij kwartaalrapportage 2013, provincie " &amp; '4.Informatie'!C5</f>
        <v>Verklaring Iv3 bij kwartaalrapportage 2013, provincie Provincie Groningen</v>
      </c>
      <c r="B1" s="450"/>
    </row>
    <row r="2" spans="1:2" s="206" customFormat="1">
      <c r="A2" s="7"/>
    </row>
    <row r="3" spans="1:2">
      <c r="A3" s="7"/>
    </row>
    <row r="4" spans="1:2">
      <c r="A4" s="210" t="s">
        <v>5</v>
      </c>
      <c r="B4" s="139"/>
    </row>
    <row r="5" spans="1:2">
      <c r="A5" s="210"/>
    </row>
    <row r="6" spans="1:2">
      <c r="A6" s="210"/>
      <c r="B6" s="211"/>
    </row>
    <row r="7" spans="1:2" ht="12.75" customHeight="1">
      <c r="A7" s="404" t="s">
        <v>472</v>
      </c>
      <c r="B7" s="404"/>
    </row>
    <row r="8" spans="1:2">
      <c r="A8" s="404"/>
      <c r="B8" s="404"/>
    </row>
    <row r="9" spans="1:2">
      <c r="A9" s="404"/>
      <c r="B9" s="404"/>
    </row>
    <row r="10" spans="1:2">
      <c r="A10" s="404"/>
      <c r="B10" s="404"/>
    </row>
    <row r="11" spans="1:2">
      <c r="A11" s="448" t="s">
        <v>2</v>
      </c>
      <c r="B11" s="448"/>
    </row>
    <row r="12" spans="1:2">
      <c r="A12" s="448"/>
      <c r="B12" s="448"/>
    </row>
    <row r="13" spans="1:2">
      <c r="A13" s="448"/>
      <c r="B13" s="448"/>
    </row>
    <row r="14" spans="1:2">
      <c r="B14" s="451" t="s">
        <v>410</v>
      </c>
    </row>
    <row r="15" spans="1:2" ht="12.75" customHeight="1">
      <c r="A15" s="213" t="s">
        <v>6</v>
      </c>
      <c r="B15" s="451"/>
    </row>
    <row r="16" spans="1:2">
      <c r="A16" s="213"/>
      <c r="B16" s="451"/>
    </row>
    <row r="17" spans="1:2">
      <c r="A17"/>
      <c r="B17" s="448" t="s">
        <v>3</v>
      </c>
    </row>
    <row r="18" spans="1:2" ht="12.75" customHeight="1">
      <c r="A18" s="213" t="s">
        <v>6</v>
      </c>
      <c r="B18" s="448"/>
    </row>
    <row r="19" spans="1:2">
      <c r="A19" s="213"/>
      <c r="B19" s="448"/>
    </row>
    <row r="20" spans="1:2">
      <c r="A20"/>
      <c r="B20" s="448" t="s">
        <v>4</v>
      </c>
    </row>
    <row r="21" spans="1:2" ht="12.75" customHeight="1">
      <c r="A21" s="213" t="s">
        <v>6</v>
      </c>
      <c r="B21" s="448"/>
    </row>
    <row r="22" spans="1:2">
      <c r="A22"/>
      <c r="B22" s="448"/>
    </row>
    <row r="23" spans="1:2">
      <c r="A23"/>
    </row>
    <row r="24" spans="1:2">
      <c r="A24"/>
    </row>
    <row r="25" spans="1:2" s="141" customFormat="1">
      <c r="A25" s="141" t="s">
        <v>378</v>
      </c>
    </row>
    <row r="26" spans="1:2" s="141" customFormat="1" ht="22.5" customHeight="1">
      <c r="A26" s="141" t="s">
        <v>233</v>
      </c>
    </row>
    <row r="27" spans="1:2">
      <c r="A27"/>
    </row>
    <row r="28" spans="1:2">
      <c r="A28"/>
    </row>
    <row r="29" spans="1:2">
      <c r="A29"/>
    </row>
    <row r="30" spans="1:2">
      <c r="A30"/>
    </row>
    <row r="31" spans="1:2">
      <c r="A31"/>
    </row>
    <row r="32" spans="1:2">
      <c r="A32" s="206"/>
    </row>
  </sheetData>
  <mergeCells count="6">
    <mergeCell ref="B17:B19"/>
    <mergeCell ref="B20:B22"/>
    <mergeCell ref="A1:B1"/>
    <mergeCell ref="A7:B10"/>
    <mergeCell ref="A11:B13"/>
    <mergeCell ref="B14:B16"/>
  </mergeCells>
  <phoneticPr fontId="0" type="noConversion"/>
  <hyperlinks>
    <hyperlink ref="B46" r:id="rId1" display="www.cbs.nl/kredo "/>
    <hyperlink ref="B47" r:id="rId2" display="kredo@cbs.nl "/>
  </hyperlinks>
  <pageMargins left="0.75" right="0.75" top="1" bottom="1" header="0.5" footer="0.5"/>
  <pageSetup paperSize="9" scale="93" orientation="portrait" r:id="rId3"/>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9"/>
  <dimension ref="A1:AA128"/>
  <sheetViews>
    <sheetView defaultGridColor="0" topLeftCell="A13" colorId="22" workbookViewId="0">
      <selection activeCell="M41" sqref="M41"/>
    </sheetView>
  </sheetViews>
  <sheetFormatPr defaultColWidth="8.7109375" defaultRowHeight="12.75"/>
  <cols>
    <col min="1" max="1" width="51.42578125" style="2" customWidth="1"/>
    <col min="2" max="2" width="12.85546875" style="2" bestFit="1" customWidth="1"/>
    <col min="3" max="5" width="11.140625" style="2" customWidth="1"/>
    <col min="6" max="6" width="13.28515625" style="3" customWidth="1"/>
    <col min="7" max="7" width="12.85546875" style="2" customWidth="1"/>
    <col min="8" max="9" width="11.140625" style="2" customWidth="1"/>
    <col min="10" max="13" width="8.85546875" style="2" customWidth="1"/>
    <col min="14" max="14" width="34.42578125" style="2" customWidth="1"/>
    <col min="15" max="15" width="8.85546875" style="2" customWidth="1"/>
    <col min="16" max="16" width="21.5703125" style="2" customWidth="1"/>
    <col min="17" max="18" width="8.85546875" style="2" customWidth="1"/>
    <col min="19" max="20" width="8.7109375" style="2"/>
    <col min="21" max="21" width="10.5703125" style="2" bestFit="1" customWidth="1"/>
    <col min="22" max="22" width="8.7109375" style="2"/>
    <col min="23" max="24" width="9.5703125" style="2" bestFit="1" customWidth="1"/>
    <col min="25" max="16384" width="8.7109375" style="2"/>
  </cols>
  <sheetData>
    <row r="1" spans="1:14" ht="18.75" customHeight="1">
      <c r="A1" s="214" t="s">
        <v>465</v>
      </c>
      <c r="B1" s="215"/>
      <c r="C1" s="216"/>
    </row>
    <row r="2" spans="1:14" ht="7.5" customHeight="1">
      <c r="A2" s="214"/>
      <c r="B2" s="215"/>
      <c r="C2" s="217"/>
      <c r="D2" s="218"/>
    </row>
    <row r="3" spans="1:14" ht="54" customHeight="1">
      <c r="A3" s="453" t="s">
        <v>466</v>
      </c>
      <c r="B3" s="453"/>
      <c r="C3" s="453"/>
      <c r="D3" s="453"/>
    </row>
    <row r="4" spans="1:14" ht="6" customHeight="1">
      <c r="A4" s="329"/>
      <c r="B4" s="329"/>
      <c r="C4" s="329"/>
      <c r="D4" s="329"/>
    </row>
    <row r="5" spans="1:14" ht="25.5" customHeight="1">
      <c r="A5" s="453" t="s">
        <v>467</v>
      </c>
      <c r="B5" s="453"/>
      <c r="C5" s="453"/>
      <c r="D5" s="453"/>
      <c r="G5" s="219"/>
    </row>
    <row r="6" spans="1:14" ht="6" customHeight="1">
      <c r="A6" s="329"/>
      <c r="B6" s="329"/>
      <c r="C6" s="329"/>
      <c r="D6" s="329"/>
      <c r="G6" s="219"/>
    </row>
    <row r="7" spans="1:14" ht="42" customHeight="1">
      <c r="A7" s="454" t="s">
        <v>468</v>
      </c>
      <c r="B7" s="454"/>
      <c r="C7" s="454"/>
      <c r="D7" s="454"/>
    </row>
    <row r="8" spans="1:14" ht="12.75" customHeight="1">
      <c r="A8" s="329"/>
      <c r="B8" s="218"/>
      <c r="C8" s="218"/>
      <c r="D8" s="218"/>
      <c r="G8" s="3"/>
      <c r="H8" s="3"/>
      <c r="I8" s="3"/>
      <c r="J8" s="3"/>
      <c r="K8" s="3"/>
      <c r="L8" s="3"/>
    </row>
    <row r="9" spans="1:14" ht="15.75">
      <c r="A9" s="333" t="s">
        <v>411</v>
      </c>
      <c r="B9" s="218"/>
      <c r="C9" s="218"/>
      <c r="D9" s="218"/>
      <c r="G9" s="3"/>
      <c r="H9" s="3"/>
      <c r="I9" s="3"/>
      <c r="J9" s="3"/>
      <c r="K9" s="3"/>
      <c r="L9" s="3"/>
    </row>
    <row r="10" spans="1:14" ht="13.5" thickBot="1">
      <c r="A10" s="329"/>
      <c r="B10" s="218"/>
      <c r="C10" s="218"/>
      <c r="D10" s="218"/>
      <c r="F10" s="455" t="s">
        <v>412</v>
      </c>
      <c r="G10" s="455"/>
      <c r="H10" s="455"/>
      <c r="I10" s="452" t="s">
        <v>455</v>
      </c>
      <c r="J10" s="452"/>
    </row>
    <row r="11" spans="1:14" s="221" customFormat="1" ht="12" customHeight="1" thickTop="1">
      <c r="A11" s="334" t="s">
        <v>413</v>
      </c>
      <c r="B11" s="335" t="s">
        <v>414</v>
      </c>
      <c r="C11" s="336" t="s">
        <v>415</v>
      </c>
      <c r="D11" s="337"/>
      <c r="E11" s="2"/>
      <c r="F11" s="220"/>
      <c r="G11" s="220"/>
      <c r="H11" s="220"/>
      <c r="I11" s="452"/>
      <c r="J11" s="452"/>
      <c r="K11" s="2"/>
      <c r="L11" s="2"/>
      <c r="M11" s="2"/>
      <c r="N11" s="2"/>
    </row>
    <row r="12" spans="1:14" s="221" customFormat="1" ht="12.75" customHeight="1">
      <c r="A12" s="338" t="s">
        <v>416</v>
      </c>
      <c r="B12" s="339">
        <f>IF(ISERROR(+$B$32),"",+$B$32)</f>
        <v>1.4781160518972746E-7</v>
      </c>
      <c r="C12" s="340" t="str">
        <f>IF(ISERROR(+$B$33),"",+$B$33)</f>
        <v>voldoende</v>
      </c>
      <c r="D12" s="2"/>
      <c r="F12" s="222"/>
      <c r="G12" s="220">
        <f>IF(C12="onvoldoende",1,0)</f>
        <v>0</v>
      </c>
      <c r="H12" s="223"/>
      <c r="I12" s="452"/>
      <c r="J12" s="452"/>
    </row>
    <row r="13" spans="1:14" s="221" customFormat="1">
      <c r="A13" s="338" t="s">
        <v>417</v>
      </c>
      <c r="B13" s="339">
        <f>IF(ISERROR($B$68),"",$B$68)</f>
        <v>0</v>
      </c>
      <c r="C13" s="340" t="str">
        <f>IF(ISERROR($B$69),"",$B$69)</f>
        <v>voldoende</v>
      </c>
      <c r="D13" s="2"/>
      <c r="F13" s="223"/>
      <c r="G13" s="220">
        <f>IF(C13="onvoldoende",1,0)</f>
        <v>0</v>
      </c>
      <c r="H13" s="223"/>
      <c r="I13" s="452"/>
      <c r="J13" s="452"/>
    </row>
    <row r="14" spans="1:14">
      <c r="A14" s="338" t="s">
        <v>418</v>
      </c>
      <c r="B14" s="341">
        <f>IF(ISERROR($B$104),"",$B$104)</f>
        <v>1.1664096630733193E-16</v>
      </c>
      <c r="C14" s="340" t="str">
        <f>IF(ISERROR($B$105),"",$B$105)</f>
        <v>voldoende</v>
      </c>
      <c r="F14" s="224"/>
      <c r="G14" s="220">
        <f>IF(C14="onvoldoende",1,0)</f>
        <v>0</v>
      </c>
      <c r="H14" s="224"/>
      <c r="I14" s="452"/>
      <c r="J14" s="452"/>
      <c r="K14" s="221"/>
      <c r="L14" s="221"/>
      <c r="M14" s="221"/>
      <c r="N14" s="221"/>
    </row>
    <row r="15" spans="1:14">
      <c r="A15" s="338" t="s">
        <v>419</v>
      </c>
      <c r="B15" s="339">
        <f>IF(ISERROR(B111),"",B111)</f>
        <v>0</v>
      </c>
      <c r="C15" s="340" t="str">
        <f>IF(ISERROR($B$112),"",$B$112)</f>
        <v>voldoende</v>
      </c>
      <c r="F15" s="224"/>
      <c r="G15" s="220">
        <f>IF(C15="onvoldoende",1,0)</f>
        <v>0</v>
      </c>
      <c r="H15" s="224"/>
      <c r="I15" s="452"/>
      <c r="J15" s="452"/>
      <c r="K15" s="221"/>
      <c r="L15" s="221"/>
      <c r="M15" s="221"/>
      <c r="N15" s="221"/>
    </row>
    <row r="16" spans="1:14">
      <c r="A16" s="338" t="s">
        <v>420</v>
      </c>
      <c r="B16" s="341">
        <f>IF(ISERROR(+$B$125),"",+$B$125)</f>
        <v>7.9941376305416244E-7</v>
      </c>
      <c r="C16" s="340" t="str">
        <f>IF(ISERROR($B$126),"",$B$126)</f>
        <v>voldoende</v>
      </c>
      <c r="F16" s="224"/>
      <c r="G16" s="220">
        <f>IF(C16="onvoldoende",1,0)</f>
        <v>0</v>
      </c>
      <c r="H16" s="224"/>
      <c r="I16" s="452"/>
      <c r="J16" s="452"/>
    </row>
    <row r="17" spans="1:10" ht="13.5" thickBot="1">
      <c r="A17" s="338"/>
      <c r="B17" s="339"/>
      <c r="C17" s="340"/>
      <c r="F17" s="224"/>
      <c r="G17" s="225"/>
      <c r="H17" s="224"/>
      <c r="I17" s="452"/>
      <c r="J17" s="452"/>
    </row>
    <row r="18" spans="1:10" ht="15" customHeight="1" thickTop="1" thickBot="1">
      <c r="A18" s="342" t="s">
        <v>421</v>
      </c>
      <c r="B18" s="343"/>
      <c r="C18" s="344" t="str">
        <f>+G18</f>
        <v>voldoende</v>
      </c>
      <c r="F18" s="226"/>
      <c r="G18" s="227" t="str">
        <f>IF(SUM(G12:G16)=0,"voldoende","onvoldoende")</f>
        <v>voldoende</v>
      </c>
      <c r="H18" s="223"/>
      <c r="I18" s="452"/>
      <c r="J18" s="452"/>
    </row>
    <row r="19" spans="1:10" ht="13.5" thickTop="1">
      <c r="A19" s="329"/>
      <c r="B19" s="218"/>
      <c r="C19" s="218"/>
      <c r="D19" s="218"/>
    </row>
    <row r="20" spans="1:10" ht="15.75">
      <c r="A20" s="333" t="s">
        <v>422</v>
      </c>
      <c r="B20" s="329"/>
      <c r="C20" s="329"/>
      <c r="D20" s="218"/>
    </row>
    <row r="21" spans="1:10">
      <c r="A21" s="329"/>
      <c r="B21" s="329"/>
      <c r="C21" s="329"/>
      <c r="D21" s="329"/>
    </row>
    <row r="22" spans="1:10">
      <c r="A22" s="228" t="s">
        <v>423</v>
      </c>
      <c r="B22" s="229"/>
      <c r="C22" s="229"/>
      <c r="D22" s="218"/>
    </row>
    <row r="23" spans="1:10">
      <c r="A23" s="230" t="s">
        <v>457</v>
      </c>
      <c r="B23" s="230" t="s">
        <v>424</v>
      </c>
      <c r="C23" s="230" t="s">
        <v>425</v>
      </c>
      <c r="D23" s="218"/>
    </row>
    <row r="24" spans="1:10">
      <c r="A24" s="231">
        <f>SUM('5.Verdelingsmatrix lasten'!$D$165:$R$165)-SUM('5.Verdelingsmatrix lasten'!$D$114:$R$121)-SUM('5.Verdelingsmatrix lasten'!$D$131:$R$137)-SUM('5.Verdelingsmatrix lasten'!$D$146:$R$153)-SUM('5.Verdelingsmatrix lasten'!$D$157:$R$160)</f>
        <v>375275.45466999995</v>
      </c>
      <c r="B24" s="232">
        <f>+'4.Informatie'!$C$8</f>
        <v>4</v>
      </c>
      <c r="C24" s="233">
        <f>IF(B24=0,"nvt",+ROUND((ABS(A24))/B24*4,0))</f>
        <v>375275</v>
      </c>
      <c r="D24" s="218"/>
    </row>
    <row r="25" spans="1:10">
      <c r="D25" s="218"/>
    </row>
    <row r="26" spans="1:10" ht="15.75">
      <c r="A26" s="333" t="s">
        <v>426</v>
      </c>
      <c r="B26" s="345"/>
      <c r="D26" s="329"/>
    </row>
    <row r="27" spans="1:10" ht="12.75" customHeight="1">
      <c r="E27" s="218"/>
      <c r="F27" s="234"/>
    </row>
    <row r="28" spans="1:10" ht="12.75" customHeight="1">
      <c r="A28" s="235" t="s">
        <v>427</v>
      </c>
      <c r="C28" s="346"/>
      <c r="D28" s="347"/>
      <c r="E28" s="236"/>
      <c r="F28" s="237"/>
    </row>
    <row r="29" spans="1:10" ht="27.75" customHeight="1">
      <c r="A29" s="238" t="s">
        <v>456</v>
      </c>
      <c r="B29" s="239">
        <f>SUM('6.Verdelingsmatrix baten'!$D$165:$R$165)+'6.Verdelingsmatrix baten'!$AB$165-(SUM('5.Verdelingsmatrix lasten'!$D$165:$R$165)+'5.Verdelingsmatrix lasten'!$AB$165)</f>
        <v>-44995.617150000005</v>
      </c>
      <c r="C29" s="329"/>
      <c r="D29" s="217"/>
      <c r="E29" s="217"/>
      <c r="F29" s="216"/>
      <c r="G29" s="240"/>
      <c r="H29" s="240"/>
      <c r="I29" s="240"/>
    </row>
    <row r="30" spans="1:10" ht="12.75" customHeight="1">
      <c r="A30" s="238" t="s">
        <v>473</v>
      </c>
      <c r="B30" s="241">
        <f>SUM('5.Verdelingsmatrix lasten'!$T$165:$AA$165)-SUM('6.Verdelingsmatrix baten'!$T$165:$AA$165)</f>
        <v>-44995.561679999868</v>
      </c>
      <c r="C30" s="329"/>
      <c r="D30" s="207"/>
      <c r="E30" s="217"/>
      <c r="F30" s="216"/>
      <c r="G30" s="240"/>
      <c r="H30" s="240"/>
      <c r="I30" s="240"/>
    </row>
    <row r="31" spans="1:10" ht="28.5" customHeight="1">
      <c r="A31" s="242" t="s">
        <v>428</v>
      </c>
      <c r="B31" s="243">
        <f>+ABS(B29-B30)</f>
        <v>5.5470000137574971E-2</v>
      </c>
      <c r="C31" s="329"/>
      <c r="D31" s="236"/>
      <c r="E31" s="236"/>
      <c r="F31" s="237"/>
    </row>
    <row r="32" spans="1:10" ht="27.75" customHeight="1">
      <c r="A32" s="244" t="s">
        <v>429</v>
      </c>
      <c r="B32" s="245">
        <f>+B31/C24</f>
        <v>1.4781160518972746E-7</v>
      </c>
      <c r="C32" s="329"/>
      <c r="D32" s="218"/>
      <c r="E32" s="218"/>
      <c r="F32" s="234"/>
    </row>
    <row r="33" spans="1:27" ht="12.75" customHeight="1">
      <c r="A33" s="246" t="s">
        <v>430</v>
      </c>
      <c r="B33" s="247" t="str">
        <f>IF(B32&lt;=0.01,"voldoende","onvoldoende")</f>
        <v>voldoende</v>
      </c>
      <c r="C33" s="329"/>
      <c r="D33" s="348"/>
      <c r="E33" s="218"/>
      <c r="F33" s="234"/>
      <c r="J33" s="349"/>
      <c r="K33" s="349"/>
      <c r="L33" s="349"/>
      <c r="M33" s="218"/>
      <c r="N33" s="218"/>
      <c r="O33" s="219"/>
      <c r="U33" s="3"/>
      <c r="AA33" s="3"/>
    </row>
    <row r="34" spans="1:27" ht="12.75" customHeight="1">
      <c r="A34" s="346"/>
      <c r="B34" s="346"/>
      <c r="C34" s="346"/>
      <c r="D34" s="346"/>
      <c r="E34" s="218"/>
      <c r="F34" s="234"/>
      <c r="J34" s="349"/>
      <c r="K34" s="349"/>
      <c r="L34" s="349"/>
      <c r="M34" s="218"/>
      <c r="N34" s="218"/>
      <c r="O34" s="219"/>
      <c r="U34" s="3"/>
      <c r="AA34" s="3"/>
    </row>
    <row r="35" spans="1:27" ht="12.75" customHeight="1">
      <c r="A35" s="329"/>
      <c r="B35" s="329"/>
      <c r="C35" s="329"/>
      <c r="D35" s="218"/>
      <c r="E35" s="218"/>
      <c r="F35" s="234"/>
      <c r="I35" s="4"/>
      <c r="U35" s="248"/>
      <c r="AA35" s="3"/>
    </row>
    <row r="36" spans="1:27" ht="12.75" customHeight="1">
      <c r="A36" s="249" t="s">
        <v>431</v>
      </c>
      <c r="F36" s="240"/>
      <c r="G36" s="250"/>
      <c r="H36" s="251"/>
      <c r="I36" s="251"/>
      <c r="J36" s="252"/>
      <c r="K36" s="252"/>
      <c r="L36" s="253"/>
      <c r="M36" s="252"/>
      <c r="N36" s="252"/>
      <c r="O36" s="229"/>
      <c r="P36" s="229"/>
      <c r="U36" s="3"/>
      <c r="AA36" s="3"/>
    </row>
    <row r="37" spans="1:27" ht="12.75" customHeight="1">
      <c r="A37" s="254" t="s">
        <v>432</v>
      </c>
      <c r="B37" s="255" t="s">
        <v>458</v>
      </c>
      <c r="C37" s="255" t="s">
        <v>459</v>
      </c>
      <c r="D37" s="255" t="s">
        <v>469</v>
      </c>
      <c r="E37" s="255" t="s">
        <v>460</v>
      </c>
      <c r="F37" s="256" t="s">
        <v>433</v>
      </c>
      <c r="G37" s="257"/>
      <c r="H37" s="257"/>
      <c r="I37" s="257"/>
      <c r="J37" s="257"/>
      <c r="K37" s="257"/>
      <c r="L37" s="257"/>
      <c r="M37" s="257"/>
      <c r="N37" s="257"/>
      <c r="O37" s="229"/>
      <c r="P37" s="229"/>
      <c r="U37" s="3"/>
      <c r="AA37" s="3"/>
    </row>
    <row r="38" spans="1:27" ht="18.75" customHeight="1">
      <c r="A38" s="258" t="s">
        <v>106</v>
      </c>
      <c r="B38" s="239">
        <f>SUM('5.Verdelingsmatrix lasten'!$C114:$R114)</f>
        <v>0</v>
      </c>
      <c r="C38" s="239">
        <f>SUM('5.Verdelingsmatrix lasten'!$S114,'5.Verdelingsmatrix lasten'!$AB114)</f>
        <v>0</v>
      </c>
      <c r="D38" s="239">
        <f>SUM('6.Verdelingsmatrix baten'!$C114:$R114)</f>
        <v>0</v>
      </c>
      <c r="E38" s="239">
        <f>SUM('6.Verdelingsmatrix baten'!$S114,'6.Verdelingsmatrix baten'!$AB114)</f>
        <v>0</v>
      </c>
      <c r="F38" s="259">
        <f t="shared" ref="F38:F64" si="0">ABS(B38+C38)+ABS(D38+E38)</f>
        <v>0</v>
      </c>
      <c r="G38" s="260"/>
      <c r="H38" s="260"/>
      <c r="I38" s="261"/>
      <c r="J38" s="262"/>
      <c r="K38" s="262"/>
      <c r="L38" s="261"/>
      <c r="M38" s="263"/>
      <c r="N38" s="260"/>
      <c r="O38" s="252"/>
      <c r="P38" s="252"/>
      <c r="Q38" s="252"/>
      <c r="R38" s="252"/>
      <c r="U38" s="3"/>
      <c r="AA38" s="3"/>
    </row>
    <row r="39" spans="1:27" ht="12.75" customHeight="1">
      <c r="A39" s="258" t="s">
        <v>108</v>
      </c>
      <c r="B39" s="241">
        <f>SUM('5.Verdelingsmatrix lasten'!$C115:$R115)</f>
        <v>0</v>
      </c>
      <c r="C39" s="241">
        <f>SUM('5.Verdelingsmatrix lasten'!$S115,'5.Verdelingsmatrix lasten'!$AB115)</f>
        <v>0</v>
      </c>
      <c r="D39" s="241">
        <f>SUM('6.Verdelingsmatrix baten'!$C115:$R115)</f>
        <v>0</v>
      </c>
      <c r="E39" s="241">
        <f>SUM('6.Verdelingsmatrix baten'!$S115,'6.Verdelingsmatrix baten'!$AB115)</f>
        <v>0</v>
      </c>
      <c r="F39" s="264">
        <f t="shared" si="0"/>
        <v>0</v>
      </c>
      <c r="G39" s="260"/>
      <c r="H39" s="260"/>
      <c r="I39" s="261"/>
      <c r="J39" s="262"/>
      <c r="K39" s="262"/>
      <c r="L39" s="261"/>
      <c r="M39" s="263"/>
      <c r="N39" s="260"/>
      <c r="O39" s="350"/>
      <c r="P39" s="350"/>
      <c r="Q39" s="351"/>
      <c r="R39" s="351"/>
    </row>
    <row r="40" spans="1:27" ht="12.75" customHeight="1">
      <c r="A40" s="258" t="s">
        <v>110</v>
      </c>
      <c r="B40" s="241">
        <f>SUM('5.Verdelingsmatrix lasten'!$C116:$R116)</f>
        <v>0</v>
      </c>
      <c r="C40" s="241">
        <f>SUM('5.Verdelingsmatrix lasten'!$S116,'5.Verdelingsmatrix lasten'!$AB116)</f>
        <v>0</v>
      </c>
      <c r="D40" s="241">
        <f>SUM('6.Verdelingsmatrix baten'!$C116:$R116)</f>
        <v>0</v>
      </c>
      <c r="E40" s="241">
        <f>SUM('6.Verdelingsmatrix baten'!$S116,'6.Verdelingsmatrix baten'!$AB116)</f>
        <v>0</v>
      </c>
      <c r="F40" s="264">
        <f t="shared" si="0"/>
        <v>0</v>
      </c>
      <c r="G40" s="260"/>
      <c r="H40" s="260"/>
      <c r="I40" s="261"/>
      <c r="J40" s="262"/>
      <c r="K40" s="262"/>
      <c r="L40" s="261"/>
      <c r="M40" s="263"/>
      <c r="N40" s="260"/>
      <c r="O40" s="352"/>
      <c r="P40" s="352"/>
      <c r="Q40" s="353"/>
      <c r="R40" s="353"/>
    </row>
    <row r="41" spans="1:27" ht="12.75" customHeight="1">
      <c r="A41" s="258" t="s">
        <v>112</v>
      </c>
      <c r="B41" s="241">
        <f>SUM('5.Verdelingsmatrix lasten'!$C117:$R117)</f>
        <v>0</v>
      </c>
      <c r="C41" s="241">
        <f>SUM('5.Verdelingsmatrix lasten'!$S117,'5.Verdelingsmatrix lasten'!$AB117)</f>
        <v>0</v>
      </c>
      <c r="D41" s="241">
        <f>SUM('6.Verdelingsmatrix baten'!$C117:$R117)</f>
        <v>0</v>
      </c>
      <c r="E41" s="241">
        <f>SUM('6.Verdelingsmatrix baten'!$S117,'6.Verdelingsmatrix baten'!$AB117)</f>
        <v>0</v>
      </c>
      <c r="F41" s="264">
        <f t="shared" si="0"/>
        <v>0</v>
      </c>
      <c r="G41" s="260"/>
      <c r="H41" s="260"/>
      <c r="I41" s="261"/>
      <c r="J41" s="262"/>
      <c r="K41" s="262"/>
      <c r="L41" s="261"/>
      <c r="M41" s="263"/>
      <c r="N41" s="260"/>
      <c r="O41" s="262"/>
      <c r="P41" s="262"/>
      <c r="Q41" s="262"/>
      <c r="R41" s="262"/>
    </row>
    <row r="42" spans="1:27" ht="12.75" customHeight="1">
      <c r="A42" s="258" t="s">
        <v>114</v>
      </c>
      <c r="B42" s="241">
        <f>SUM('5.Verdelingsmatrix lasten'!$C118:$R118)</f>
        <v>0</v>
      </c>
      <c r="C42" s="241">
        <f>SUM('5.Verdelingsmatrix lasten'!$S118,'5.Verdelingsmatrix lasten'!$AB118)</f>
        <v>0</v>
      </c>
      <c r="D42" s="241">
        <f>SUM('6.Verdelingsmatrix baten'!$C118:$R118)</f>
        <v>0</v>
      </c>
      <c r="E42" s="241">
        <f>SUM('6.Verdelingsmatrix baten'!$S118,'6.Verdelingsmatrix baten'!$AB118)</f>
        <v>0</v>
      </c>
      <c r="F42" s="264">
        <f t="shared" si="0"/>
        <v>0</v>
      </c>
      <c r="G42" s="260"/>
      <c r="H42" s="260"/>
      <c r="I42" s="261"/>
      <c r="J42" s="262"/>
      <c r="K42" s="262"/>
      <c r="L42" s="261"/>
      <c r="M42" s="263"/>
      <c r="N42" s="260"/>
      <c r="O42" s="262"/>
      <c r="P42" s="262"/>
      <c r="Q42" s="262"/>
      <c r="R42" s="262"/>
    </row>
    <row r="43" spans="1:27" ht="12.75" customHeight="1">
      <c r="A43" s="258" t="s">
        <v>116</v>
      </c>
      <c r="B43" s="241">
        <f>SUM('5.Verdelingsmatrix lasten'!$C119:$R119)</f>
        <v>0</v>
      </c>
      <c r="C43" s="241">
        <f>SUM('5.Verdelingsmatrix lasten'!$S119,'5.Verdelingsmatrix lasten'!$AB119)</f>
        <v>0</v>
      </c>
      <c r="D43" s="241">
        <f>SUM('6.Verdelingsmatrix baten'!$C119:$R119)</f>
        <v>0</v>
      </c>
      <c r="E43" s="241">
        <f>SUM('6.Verdelingsmatrix baten'!$S119,'6.Verdelingsmatrix baten'!$AB119)</f>
        <v>0</v>
      </c>
      <c r="F43" s="264">
        <f t="shared" si="0"/>
        <v>0</v>
      </c>
      <c r="G43" s="260"/>
      <c r="H43" s="260"/>
      <c r="I43" s="261"/>
      <c r="J43" s="262"/>
      <c r="K43" s="262"/>
      <c r="L43" s="261"/>
      <c r="M43" s="263"/>
      <c r="N43" s="260"/>
      <c r="O43" s="265"/>
      <c r="P43" s="265"/>
      <c r="Q43" s="265"/>
      <c r="R43" s="265"/>
    </row>
    <row r="44" spans="1:27" ht="18.75" customHeight="1">
      <c r="A44" s="258" t="s">
        <v>118</v>
      </c>
      <c r="B44" s="241">
        <f>SUM('5.Verdelingsmatrix lasten'!$C120:$R120)</f>
        <v>0</v>
      </c>
      <c r="C44" s="241">
        <f>SUM('5.Verdelingsmatrix lasten'!$S120,'5.Verdelingsmatrix lasten'!$AB120)</f>
        <v>0</v>
      </c>
      <c r="D44" s="241">
        <f>SUM('6.Verdelingsmatrix baten'!$C120:$R120)</f>
        <v>0</v>
      </c>
      <c r="E44" s="241">
        <f>SUM('6.Verdelingsmatrix baten'!$S120,'6.Verdelingsmatrix baten'!$AB120)</f>
        <v>0</v>
      </c>
      <c r="F44" s="264">
        <f t="shared" si="0"/>
        <v>0</v>
      </c>
      <c r="G44" s="260"/>
      <c r="H44" s="260"/>
      <c r="I44" s="261"/>
      <c r="J44" s="262"/>
      <c r="K44" s="262"/>
      <c r="L44" s="261"/>
      <c r="M44" s="263"/>
      <c r="N44" s="260"/>
      <c r="O44" s="266"/>
      <c r="P44" s="266"/>
      <c r="Q44" s="266"/>
      <c r="R44" s="266"/>
    </row>
    <row r="45" spans="1:27" ht="12.75" customHeight="1">
      <c r="A45" s="258" t="s">
        <v>120</v>
      </c>
      <c r="B45" s="241">
        <f>SUM('5.Verdelingsmatrix lasten'!$C121:$R121)</f>
        <v>0</v>
      </c>
      <c r="C45" s="241">
        <f>SUM('5.Verdelingsmatrix lasten'!$S121,'5.Verdelingsmatrix lasten'!$AB121)</f>
        <v>0</v>
      </c>
      <c r="D45" s="241">
        <f>SUM('6.Verdelingsmatrix baten'!$C121:$R121)</f>
        <v>0</v>
      </c>
      <c r="E45" s="241">
        <f>SUM('6.Verdelingsmatrix baten'!$S121,'6.Verdelingsmatrix baten'!$AB121)</f>
        <v>0</v>
      </c>
      <c r="F45" s="264">
        <f t="shared" si="0"/>
        <v>0</v>
      </c>
      <c r="G45" s="260"/>
      <c r="H45" s="260"/>
      <c r="I45" s="261"/>
      <c r="J45" s="262"/>
      <c r="K45" s="262"/>
      <c r="L45" s="261"/>
      <c r="M45" s="263"/>
      <c r="N45" s="260"/>
      <c r="O45" s="229"/>
      <c r="P45" s="229"/>
    </row>
    <row r="46" spans="1:27" ht="12.75" customHeight="1">
      <c r="A46" s="258" t="s">
        <v>136</v>
      </c>
      <c r="B46" s="241">
        <f>SUM('5.Verdelingsmatrix lasten'!$C131:$R131)</f>
        <v>0</v>
      </c>
      <c r="C46" s="241">
        <f>SUM('5.Verdelingsmatrix lasten'!$S131,'5.Verdelingsmatrix lasten'!$AB131)</f>
        <v>0</v>
      </c>
      <c r="D46" s="241">
        <f>SUM('6.Verdelingsmatrix baten'!$C131:$R131)</f>
        <v>0</v>
      </c>
      <c r="E46" s="241">
        <f>SUM('6.Verdelingsmatrix baten'!$S131,'6.Verdelingsmatrix baten'!$AB131)</f>
        <v>0</v>
      </c>
      <c r="F46" s="264">
        <f t="shared" si="0"/>
        <v>0</v>
      </c>
      <c r="G46" s="260"/>
      <c r="H46" s="260"/>
      <c r="I46" s="261"/>
      <c r="J46" s="262"/>
      <c r="K46" s="262"/>
      <c r="L46" s="261"/>
      <c r="M46" s="263"/>
      <c r="N46" s="260"/>
      <c r="O46" s="229"/>
      <c r="P46" s="229"/>
    </row>
    <row r="47" spans="1:27" ht="10.5" customHeight="1">
      <c r="A47" s="258" t="s">
        <v>138</v>
      </c>
      <c r="B47" s="241">
        <f>SUM('5.Verdelingsmatrix lasten'!$C132:$R132)</f>
        <v>0</v>
      </c>
      <c r="C47" s="241">
        <f>SUM('5.Verdelingsmatrix lasten'!$S132,'5.Verdelingsmatrix lasten'!$AB132)</f>
        <v>0</v>
      </c>
      <c r="D47" s="241">
        <f>SUM('6.Verdelingsmatrix baten'!$C132:$R132)</f>
        <v>0</v>
      </c>
      <c r="E47" s="241">
        <f>SUM('6.Verdelingsmatrix baten'!$S132,'6.Verdelingsmatrix baten'!$AB132)</f>
        <v>0</v>
      </c>
      <c r="F47" s="264">
        <f t="shared" si="0"/>
        <v>0</v>
      </c>
      <c r="G47" s="260"/>
      <c r="H47" s="260"/>
      <c r="I47" s="261"/>
      <c r="J47" s="262"/>
      <c r="K47" s="262"/>
      <c r="L47" s="261"/>
      <c r="M47" s="263"/>
      <c r="N47" s="260"/>
      <c r="O47" s="229"/>
      <c r="P47" s="229"/>
    </row>
    <row r="48" spans="1:27" ht="18.75" customHeight="1">
      <c r="A48" s="258" t="s">
        <v>140</v>
      </c>
      <c r="B48" s="241">
        <f>SUM('5.Verdelingsmatrix lasten'!$C133:$R133)</f>
        <v>0</v>
      </c>
      <c r="C48" s="241">
        <f>SUM('5.Verdelingsmatrix lasten'!$S133,'5.Verdelingsmatrix lasten'!$AB133)</f>
        <v>0</v>
      </c>
      <c r="D48" s="241">
        <f>SUM('6.Verdelingsmatrix baten'!$C133:$R133)</f>
        <v>0</v>
      </c>
      <c r="E48" s="241">
        <f>SUM('6.Verdelingsmatrix baten'!$S133,'6.Verdelingsmatrix baten'!$AB133)</f>
        <v>0</v>
      </c>
      <c r="F48" s="264">
        <f t="shared" si="0"/>
        <v>0</v>
      </c>
      <c r="G48" s="260"/>
      <c r="H48" s="260"/>
      <c r="I48" s="261"/>
      <c r="J48" s="262"/>
      <c r="K48" s="262"/>
      <c r="L48" s="261"/>
      <c r="M48" s="263"/>
      <c r="N48" s="260"/>
      <c r="O48" s="229"/>
      <c r="P48" s="229"/>
    </row>
    <row r="49" spans="1:18" ht="12.75" customHeight="1">
      <c r="A49" s="258" t="s">
        <v>142</v>
      </c>
      <c r="B49" s="241">
        <f>SUM('5.Verdelingsmatrix lasten'!$C134:$R134)</f>
        <v>0</v>
      </c>
      <c r="C49" s="241">
        <f>SUM('5.Verdelingsmatrix lasten'!$S134,'5.Verdelingsmatrix lasten'!$AB134)</f>
        <v>0</v>
      </c>
      <c r="D49" s="241">
        <f>SUM('6.Verdelingsmatrix baten'!$C134:$R134)</f>
        <v>0</v>
      </c>
      <c r="E49" s="241">
        <f>SUM('6.Verdelingsmatrix baten'!$S134,'6.Verdelingsmatrix baten'!$AB134)</f>
        <v>0</v>
      </c>
      <c r="F49" s="264">
        <f t="shared" si="0"/>
        <v>0</v>
      </c>
      <c r="G49" s="260"/>
      <c r="H49" s="260"/>
      <c r="I49" s="261"/>
      <c r="J49" s="262"/>
      <c r="K49" s="262"/>
      <c r="L49" s="261"/>
      <c r="M49" s="263"/>
      <c r="N49" s="260"/>
      <c r="O49" s="229"/>
      <c r="P49" s="229"/>
    </row>
    <row r="50" spans="1:18" ht="12.75" customHeight="1">
      <c r="A50" s="258" t="s">
        <v>144</v>
      </c>
      <c r="B50" s="241">
        <f>SUM('5.Verdelingsmatrix lasten'!$C135:$R135)</f>
        <v>0</v>
      </c>
      <c r="C50" s="241">
        <f>SUM('5.Verdelingsmatrix lasten'!$S135,'5.Verdelingsmatrix lasten'!$AB135)</f>
        <v>0</v>
      </c>
      <c r="D50" s="241">
        <f>SUM('6.Verdelingsmatrix baten'!$C135:$R135)</f>
        <v>0</v>
      </c>
      <c r="E50" s="241">
        <f>SUM('6.Verdelingsmatrix baten'!$S135,'6.Verdelingsmatrix baten'!$AB135)</f>
        <v>0</v>
      </c>
      <c r="F50" s="264">
        <f t="shared" si="0"/>
        <v>0</v>
      </c>
      <c r="G50" s="260"/>
      <c r="H50" s="260"/>
      <c r="I50" s="261"/>
      <c r="J50" s="262"/>
      <c r="K50" s="262"/>
      <c r="L50" s="261"/>
      <c r="M50" s="263"/>
      <c r="N50" s="260"/>
      <c r="O50" s="267"/>
      <c r="P50" s="267"/>
      <c r="Q50" s="3"/>
      <c r="R50" s="3"/>
    </row>
    <row r="51" spans="1:18" ht="12.75" customHeight="1">
      <c r="A51" s="258" t="s">
        <v>146</v>
      </c>
      <c r="B51" s="241">
        <f>SUM('5.Verdelingsmatrix lasten'!$C136:$R136)</f>
        <v>0</v>
      </c>
      <c r="C51" s="241">
        <f>SUM('5.Verdelingsmatrix lasten'!$S136,'5.Verdelingsmatrix lasten'!$AB136)</f>
        <v>0</v>
      </c>
      <c r="D51" s="241">
        <f>SUM('6.Verdelingsmatrix baten'!$C136:$R136)</f>
        <v>0</v>
      </c>
      <c r="E51" s="241">
        <f>SUM('6.Verdelingsmatrix baten'!$S136,'6.Verdelingsmatrix baten'!$AB136)</f>
        <v>0</v>
      </c>
      <c r="F51" s="264">
        <f t="shared" si="0"/>
        <v>0</v>
      </c>
      <c r="G51" s="260"/>
      <c r="H51" s="260"/>
      <c r="I51" s="261"/>
      <c r="J51" s="262"/>
      <c r="K51" s="262"/>
      <c r="L51" s="261"/>
      <c r="M51" s="263"/>
      <c r="N51" s="260"/>
      <c r="O51" s="229"/>
      <c r="P51" s="229"/>
    </row>
    <row r="52" spans="1:18" ht="18.75" customHeight="1">
      <c r="A52" s="258" t="s">
        <v>148</v>
      </c>
      <c r="B52" s="241">
        <f>SUM('5.Verdelingsmatrix lasten'!$C137:$R137)</f>
        <v>0</v>
      </c>
      <c r="C52" s="241">
        <f>SUM('5.Verdelingsmatrix lasten'!$S137,'5.Verdelingsmatrix lasten'!$AB137)</f>
        <v>0</v>
      </c>
      <c r="D52" s="241">
        <f>SUM('6.Verdelingsmatrix baten'!$C137:$R137)</f>
        <v>0</v>
      </c>
      <c r="E52" s="241">
        <f>SUM('6.Verdelingsmatrix baten'!$S137,'6.Verdelingsmatrix baten'!$AB137)</f>
        <v>0</v>
      </c>
      <c r="F52" s="264">
        <f t="shared" si="0"/>
        <v>0</v>
      </c>
      <c r="G52" s="260"/>
      <c r="H52" s="260"/>
      <c r="I52" s="261"/>
      <c r="J52" s="262"/>
      <c r="K52" s="262"/>
      <c r="L52" s="261"/>
      <c r="M52" s="263"/>
      <c r="N52" s="260"/>
      <c r="O52" s="229"/>
      <c r="P52" s="229"/>
    </row>
    <row r="53" spans="1:18" ht="12.75" customHeight="1">
      <c r="A53" s="258" t="s">
        <v>162</v>
      </c>
      <c r="B53" s="241">
        <f>SUM('5.Verdelingsmatrix lasten'!$C146:$R146)</f>
        <v>0</v>
      </c>
      <c r="C53" s="241">
        <f>SUM('5.Verdelingsmatrix lasten'!$S146,'5.Verdelingsmatrix lasten'!$AB146)</f>
        <v>0</v>
      </c>
      <c r="D53" s="241">
        <f>SUM('6.Verdelingsmatrix baten'!$C146:$R146)</f>
        <v>0</v>
      </c>
      <c r="E53" s="241">
        <f>SUM('6.Verdelingsmatrix baten'!$S146,'6.Verdelingsmatrix baten'!$AB146)</f>
        <v>0</v>
      </c>
      <c r="F53" s="264">
        <f t="shared" si="0"/>
        <v>0</v>
      </c>
      <c r="G53" s="260"/>
      <c r="H53" s="260"/>
      <c r="I53" s="261"/>
      <c r="J53" s="262"/>
      <c r="K53" s="262"/>
      <c r="L53" s="261"/>
      <c r="M53" s="263"/>
      <c r="N53" s="260"/>
      <c r="O53" s="229"/>
      <c r="P53" s="229"/>
    </row>
    <row r="54" spans="1:18" ht="12.75" customHeight="1">
      <c r="A54" s="258" t="s">
        <v>164</v>
      </c>
      <c r="B54" s="241">
        <f>SUM('5.Verdelingsmatrix lasten'!$C147:$R147)</f>
        <v>0</v>
      </c>
      <c r="C54" s="241">
        <f>SUM('5.Verdelingsmatrix lasten'!$S147,'5.Verdelingsmatrix lasten'!$AB147)</f>
        <v>0</v>
      </c>
      <c r="D54" s="241">
        <f>SUM('6.Verdelingsmatrix baten'!$C147:$R147)</f>
        <v>0</v>
      </c>
      <c r="E54" s="241">
        <f>SUM('6.Verdelingsmatrix baten'!$S147,'6.Verdelingsmatrix baten'!$AB147)</f>
        <v>0</v>
      </c>
      <c r="F54" s="264">
        <f t="shared" si="0"/>
        <v>0</v>
      </c>
      <c r="G54" s="260"/>
      <c r="H54" s="260"/>
      <c r="I54" s="261"/>
      <c r="J54" s="262"/>
      <c r="K54" s="262"/>
      <c r="L54" s="261"/>
      <c r="M54" s="263"/>
      <c r="N54" s="260"/>
      <c r="O54" s="229"/>
      <c r="P54" s="229"/>
    </row>
    <row r="55" spans="1:18" ht="12.75" customHeight="1">
      <c r="A55" s="258" t="s">
        <v>166</v>
      </c>
      <c r="B55" s="241">
        <f>SUM('5.Verdelingsmatrix lasten'!$C148:$R148)</f>
        <v>0</v>
      </c>
      <c r="C55" s="241">
        <f>SUM('5.Verdelingsmatrix lasten'!$S148,'5.Verdelingsmatrix lasten'!$AB148)</f>
        <v>0</v>
      </c>
      <c r="D55" s="241">
        <f>SUM('6.Verdelingsmatrix baten'!$C148:$R148)</f>
        <v>0</v>
      </c>
      <c r="E55" s="241">
        <f>SUM('6.Verdelingsmatrix baten'!$S148,'6.Verdelingsmatrix baten'!$AB148)</f>
        <v>0</v>
      </c>
      <c r="F55" s="264">
        <f t="shared" si="0"/>
        <v>0</v>
      </c>
      <c r="G55" s="260"/>
      <c r="H55" s="260"/>
      <c r="I55" s="261"/>
      <c r="J55" s="262"/>
      <c r="K55" s="262"/>
      <c r="L55" s="261"/>
      <c r="M55" s="263"/>
      <c r="N55" s="260"/>
      <c r="O55" s="229"/>
      <c r="P55" s="229"/>
    </row>
    <row r="56" spans="1:18" ht="12.75" customHeight="1">
      <c r="A56" s="258" t="s">
        <v>168</v>
      </c>
      <c r="B56" s="241">
        <f>SUM('5.Verdelingsmatrix lasten'!$C149:$R149)</f>
        <v>0</v>
      </c>
      <c r="C56" s="241">
        <f>SUM('5.Verdelingsmatrix lasten'!$S149,'5.Verdelingsmatrix lasten'!$AB149)</f>
        <v>0</v>
      </c>
      <c r="D56" s="241">
        <f>SUM('6.Verdelingsmatrix baten'!$C149:$R149)</f>
        <v>0</v>
      </c>
      <c r="E56" s="241">
        <f>SUM('6.Verdelingsmatrix baten'!$S149,'6.Verdelingsmatrix baten'!$AB149)</f>
        <v>0</v>
      </c>
      <c r="F56" s="264">
        <f t="shared" si="0"/>
        <v>0</v>
      </c>
      <c r="G56" s="260"/>
      <c r="H56" s="260"/>
      <c r="I56" s="261"/>
      <c r="J56" s="262"/>
      <c r="K56" s="262"/>
      <c r="L56" s="261"/>
      <c r="M56" s="263"/>
      <c r="N56" s="260"/>
      <c r="O56" s="229"/>
      <c r="P56" s="229"/>
    </row>
    <row r="57" spans="1:18" ht="12.75" customHeight="1">
      <c r="A57" s="258" t="s">
        <v>170</v>
      </c>
      <c r="B57" s="241">
        <f>SUM('5.Verdelingsmatrix lasten'!$C150:$R150)</f>
        <v>0</v>
      </c>
      <c r="C57" s="241">
        <f>SUM('5.Verdelingsmatrix lasten'!$S150,'5.Verdelingsmatrix lasten'!$AB150)</f>
        <v>0</v>
      </c>
      <c r="D57" s="241">
        <f>SUM('6.Verdelingsmatrix baten'!$C150:$R150)</f>
        <v>0</v>
      </c>
      <c r="E57" s="241">
        <f>SUM('6.Verdelingsmatrix baten'!$S150,'6.Verdelingsmatrix baten'!$AB150)</f>
        <v>0</v>
      </c>
      <c r="F57" s="264">
        <f t="shared" si="0"/>
        <v>0</v>
      </c>
      <c r="G57" s="260"/>
      <c r="H57" s="260"/>
      <c r="I57" s="261"/>
      <c r="J57" s="262"/>
      <c r="K57" s="262"/>
      <c r="L57" s="261"/>
      <c r="M57" s="263"/>
      <c r="N57" s="260"/>
      <c r="O57" s="229"/>
      <c r="P57" s="229"/>
    </row>
    <row r="58" spans="1:18" ht="12.75" customHeight="1">
      <c r="A58" s="258" t="s">
        <v>172</v>
      </c>
      <c r="B58" s="241">
        <f>SUM('5.Verdelingsmatrix lasten'!$C151:$R151)</f>
        <v>0</v>
      </c>
      <c r="C58" s="241">
        <f>SUM('5.Verdelingsmatrix lasten'!$S151,'5.Verdelingsmatrix lasten'!$AB151)</f>
        <v>0</v>
      </c>
      <c r="D58" s="241">
        <f>SUM('6.Verdelingsmatrix baten'!$C151:$R151)</f>
        <v>0</v>
      </c>
      <c r="E58" s="241">
        <f>SUM('6.Verdelingsmatrix baten'!$S151,'6.Verdelingsmatrix baten'!$AB151)</f>
        <v>0</v>
      </c>
      <c r="F58" s="264">
        <f t="shared" si="0"/>
        <v>0</v>
      </c>
      <c r="G58" s="260"/>
      <c r="H58" s="260"/>
      <c r="I58" s="261"/>
      <c r="J58" s="262"/>
      <c r="K58" s="262"/>
      <c r="L58" s="261"/>
      <c r="M58" s="263"/>
      <c r="N58" s="260"/>
      <c r="O58" s="229"/>
      <c r="P58" s="229"/>
    </row>
    <row r="59" spans="1:18" ht="12.75" customHeight="1">
      <c r="A59" s="258" t="s">
        <v>174</v>
      </c>
      <c r="B59" s="241">
        <f>SUM('5.Verdelingsmatrix lasten'!$C152:$R152)</f>
        <v>0</v>
      </c>
      <c r="C59" s="241">
        <f>SUM('5.Verdelingsmatrix lasten'!$S152,'5.Verdelingsmatrix lasten'!$AB152)</f>
        <v>0</v>
      </c>
      <c r="D59" s="241">
        <f>SUM('6.Verdelingsmatrix baten'!$C152:$R152)</f>
        <v>0</v>
      </c>
      <c r="E59" s="241">
        <f>SUM('6.Verdelingsmatrix baten'!$S152,'6.Verdelingsmatrix baten'!$AB152)</f>
        <v>0</v>
      </c>
      <c r="F59" s="264">
        <f t="shared" si="0"/>
        <v>0</v>
      </c>
      <c r="G59" s="260"/>
      <c r="H59" s="260"/>
      <c r="I59" s="261"/>
      <c r="J59" s="262"/>
      <c r="K59" s="262"/>
      <c r="L59" s="261"/>
      <c r="M59" s="263"/>
      <c r="N59" s="260"/>
      <c r="O59" s="229"/>
      <c r="P59" s="229"/>
    </row>
    <row r="60" spans="1:18" ht="12.75" customHeight="1">
      <c r="A60" s="258" t="s">
        <v>176</v>
      </c>
      <c r="B60" s="241">
        <f>SUM('5.Verdelingsmatrix lasten'!$C153:$R153)</f>
        <v>0</v>
      </c>
      <c r="C60" s="241">
        <f>SUM('5.Verdelingsmatrix lasten'!$S153,'5.Verdelingsmatrix lasten'!$AB153)</f>
        <v>0</v>
      </c>
      <c r="D60" s="241">
        <f>SUM('6.Verdelingsmatrix baten'!$C153:$R153)</f>
        <v>0</v>
      </c>
      <c r="E60" s="241">
        <f>SUM('6.Verdelingsmatrix baten'!$S153,'6.Verdelingsmatrix baten'!$AB153)</f>
        <v>0</v>
      </c>
      <c r="F60" s="264">
        <f t="shared" si="0"/>
        <v>0</v>
      </c>
      <c r="G60" s="260"/>
      <c r="H60" s="260"/>
      <c r="I60" s="261"/>
      <c r="J60" s="262"/>
      <c r="K60" s="262"/>
      <c r="L60" s="261"/>
      <c r="M60" s="263"/>
      <c r="N60" s="260"/>
      <c r="O60" s="229"/>
      <c r="P60" s="229"/>
    </row>
    <row r="61" spans="1:18" ht="12.75" customHeight="1">
      <c r="A61" s="258" t="s">
        <v>180</v>
      </c>
      <c r="B61" s="241">
        <f>SUM('5.Verdelingsmatrix lasten'!$C157:$R157)</f>
        <v>0</v>
      </c>
      <c r="C61" s="241">
        <f>SUM('5.Verdelingsmatrix lasten'!$S157,'5.Verdelingsmatrix lasten'!$AB157)</f>
        <v>0</v>
      </c>
      <c r="D61" s="241">
        <f>SUM('6.Verdelingsmatrix baten'!$C157:$R157)</f>
        <v>0</v>
      </c>
      <c r="E61" s="241">
        <f>SUM('6.Verdelingsmatrix baten'!$S157,'6.Verdelingsmatrix baten'!$AB157)</f>
        <v>0</v>
      </c>
      <c r="F61" s="264">
        <f t="shared" si="0"/>
        <v>0</v>
      </c>
      <c r="G61" s="260"/>
      <c r="H61" s="260"/>
      <c r="I61" s="261"/>
      <c r="J61" s="262"/>
      <c r="K61" s="262"/>
      <c r="L61" s="261"/>
      <c r="M61" s="263"/>
      <c r="N61" s="260"/>
      <c r="O61" s="229"/>
      <c r="P61" s="229"/>
    </row>
    <row r="62" spans="1:18" ht="12.75" customHeight="1">
      <c r="A62" s="258" t="s">
        <v>182</v>
      </c>
      <c r="B62" s="241">
        <f>SUM('5.Verdelingsmatrix lasten'!$C158:$R158)</f>
        <v>0</v>
      </c>
      <c r="C62" s="241">
        <f>SUM('5.Verdelingsmatrix lasten'!$S158,'5.Verdelingsmatrix lasten'!$AB158)</f>
        <v>0</v>
      </c>
      <c r="D62" s="241">
        <f>SUM('6.Verdelingsmatrix baten'!$C158:$R158)</f>
        <v>0</v>
      </c>
      <c r="E62" s="241">
        <f>SUM('6.Verdelingsmatrix baten'!$S158,'6.Verdelingsmatrix baten'!$AB158)</f>
        <v>0</v>
      </c>
      <c r="F62" s="264">
        <f t="shared" si="0"/>
        <v>0</v>
      </c>
      <c r="G62" s="260"/>
      <c r="H62" s="260"/>
      <c r="I62" s="261"/>
      <c r="J62" s="262"/>
      <c r="K62" s="262"/>
      <c r="L62" s="261"/>
      <c r="M62" s="263"/>
      <c r="N62" s="260"/>
      <c r="O62" s="229"/>
      <c r="P62" s="229"/>
    </row>
    <row r="63" spans="1:18" ht="12.75" customHeight="1">
      <c r="A63" s="258" t="s">
        <v>184</v>
      </c>
      <c r="B63" s="241">
        <f>SUM('5.Verdelingsmatrix lasten'!$C159:$R159)</f>
        <v>0</v>
      </c>
      <c r="C63" s="241">
        <f>SUM('5.Verdelingsmatrix lasten'!$S159,'5.Verdelingsmatrix lasten'!$AB159)</f>
        <v>0</v>
      </c>
      <c r="D63" s="241">
        <f>SUM('6.Verdelingsmatrix baten'!$C159:$R159)</f>
        <v>0</v>
      </c>
      <c r="E63" s="241">
        <f>SUM('6.Verdelingsmatrix baten'!$S159,'6.Verdelingsmatrix baten'!$AB159)</f>
        <v>0</v>
      </c>
      <c r="F63" s="264">
        <f t="shared" si="0"/>
        <v>0</v>
      </c>
      <c r="G63" s="260"/>
      <c r="H63" s="260"/>
      <c r="I63" s="261"/>
      <c r="J63" s="262"/>
      <c r="K63" s="262"/>
      <c r="L63" s="261"/>
      <c r="M63" s="263"/>
      <c r="N63" s="260"/>
      <c r="O63" s="229"/>
      <c r="P63" s="229"/>
    </row>
    <row r="64" spans="1:18" ht="12.75" customHeight="1" thickBot="1">
      <c r="A64" s="268" t="s">
        <v>186</v>
      </c>
      <c r="B64" s="269">
        <f>SUM('5.Verdelingsmatrix lasten'!$C160:$R160)</f>
        <v>0</v>
      </c>
      <c r="C64" s="269">
        <f>SUM('5.Verdelingsmatrix lasten'!$S160,'5.Verdelingsmatrix lasten'!$AB160)</f>
        <v>0</v>
      </c>
      <c r="D64" s="269">
        <f>SUM('6.Verdelingsmatrix baten'!$C160:$R160)</f>
        <v>0</v>
      </c>
      <c r="E64" s="269">
        <f>SUM('6.Verdelingsmatrix baten'!$S160,'6.Verdelingsmatrix baten'!$AB160)</f>
        <v>0</v>
      </c>
      <c r="F64" s="270">
        <f t="shared" si="0"/>
        <v>0</v>
      </c>
      <c r="G64" s="260"/>
      <c r="H64" s="260"/>
      <c r="I64" s="261"/>
      <c r="J64" s="262"/>
      <c r="K64" s="262"/>
      <c r="L64" s="261"/>
      <c r="M64" s="263"/>
      <c r="N64" s="260"/>
      <c r="O64" s="229"/>
      <c r="P64" s="229"/>
    </row>
    <row r="65" spans="1:18" ht="12.75" customHeight="1">
      <c r="A65" s="271" t="s">
        <v>434</v>
      </c>
      <c r="B65" s="272"/>
      <c r="C65" s="272"/>
      <c r="D65" s="272"/>
      <c r="E65" s="272"/>
      <c r="F65" s="273">
        <f>SUM(F38:F64)</f>
        <v>0</v>
      </c>
      <c r="G65" s="274"/>
      <c r="H65" s="275"/>
      <c r="I65" s="276"/>
      <c r="J65" s="275"/>
      <c r="K65" s="275"/>
      <c r="L65" s="250"/>
      <c r="M65" s="263"/>
      <c r="N65" s="274"/>
      <c r="O65" s="267"/>
      <c r="P65" s="267"/>
      <c r="Q65" s="3"/>
      <c r="R65" s="3"/>
    </row>
    <row r="66" spans="1:18" ht="12.75" customHeight="1">
      <c r="A66" s="277" t="s">
        <v>428</v>
      </c>
      <c r="B66" s="278">
        <f>+F65</f>
        <v>0</v>
      </c>
      <c r="C66" s="279"/>
      <c r="D66" s="279"/>
      <c r="E66" s="279"/>
      <c r="F66" s="279"/>
      <c r="G66" s="262"/>
      <c r="H66" s="252"/>
      <c r="I66" s="261"/>
      <c r="J66" s="252"/>
      <c r="K66" s="252"/>
      <c r="L66" s="280"/>
      <c r="M66" s="252"/>
      <c r="N66" s="252"/>
      <c r="O66" s="267"/>
      <c r="P66" s="267"/>
      <c r="Q66" s="3"/>
      <c r="R66" s="3"/>
    </row>
    <row r="67" spans="1:18" ht="12.75" customHeight="1">
      <c r="A67" s="258" t="s">
        <v>435</v>
      </c>
      <c r="B67" s="281"/>
      <c r="C67" s="281"/>
      <c r="D67" s="281"/>
      <c r="E67" s="281"/>
      <c r="F67" s="281"/>
      <c r="G67" s="262"/>
      <c r="H67" s="260"/>
      <c r="I67" s="282"/>
      <c r="J67" s="252"/>
      <c r="K67" s="252"/>
      <c r="L67" s="280"/>
      <c r="M67" s="260"/>
      <c r="N67" s="260"/>
      <c r="O67" s="267"/>
      <c r="P67" s="267"/>
      <c r="Q67" s="3"/>
      <c r="R67" s="3"/>
    </row>
    <row r="68" spans="1:18" ht="21" customHeight="1">
      <c r="A68" s="258" t="s">
        <v>436</v>
      </c>
      <c r="B68" s="283">
        <f>+B66/C24</f>
        <v>0</v>
      </c>
      <c r="C68" s="281"/>
      <c r="D68" s="281"/>
      <c r="E68" s="281"/>
      <c r="F68" s="281"/>
      <c r="G68" s="284"/>
      <c r="H68" s="260"/>
      <c r="I68" s="282"/>
      <c r="J68" s="252"/>
      <c r="K68" s="252"/>
      <c r="L68" s="280"/>
      <c r="M68" s="260"/>
      <c r="N68" s="260"/>
      <c r="O68" s="229"/>
      <c r="P68" s="229"/>
    </row>
    <row r="69" spans="1:18" s="5" customFormat="1" ht="13.5" customHeight="1">
      <c r="A69" s="285" t="s">
        <v>430</v>
      </c>
      <c r="B69" s="286" t="str">
        <f>IF(B68="nvt","onvoldoende",IF(B68&lt;=0.01,"voldoende","onvoldoende"))</f>
        <v>voldoende</v>
      </c>
      <c r="C69" s="287"/>
      <c r="D69" s="287"/>
      <c r="E69" s="287"/>
      <c r="F69" s="287"/>
      <c r="G69" s="288"/>
      <c r="H69" s="252"/>
      <c r="I69" s="261"/>
      <c r="J69" s="252"/>
      <c r="K69" s="252"/>
      <c r="L69" s="252"/>
      <c r="M69" s="252"/>
      <c r="N69" s="260"/>
      <c r="O69" s="229"/>
      <c r="P69" s="229"/>
      <c r="Q69" s="2"/>
      <c r="R69" s="2"/>
    </row>
    <row r="70" spans="1:18" ht="12.75" customHeight="1">
      <c r="F70" s="2"/>
      <c r="G70" s="229"/>
      <c r="H70" s="229"/>
      <c r="I70" s="229"/>
      <c r="J70" s="229"/>
      <c r="K70" s="229"/>
      <c r="L70" s="229"/>
      <c r="M70" s="229"/>
      <c r="N70" s="229"/>
      <c r="O70" s="229"/>
      <c r="P70" s="229"/>
    </row>
    <row r="71" spans="1:18" ht="12.75" customHeight="1">
      <c r="F71" s="2"/>
      <c r="G71" s="229"/>
      <c r="H71" s="229"/>
      <c r="I71" s="229"/>
      <c r="J71" s="229"/>
      <c r="K71" s="229"/>
      <c r="L71" s="229"/>
      <c r="M71" s="229"/>
      <c r="N71" s="229"/>
      <c r="O71" s="229"/>
      <c r="P71" s="229"/>
    </row>
    <row r="72" spans="1:18" ht="12.75" customHeight="1">
      <c r="A72" s="289" t="s">
        <v>437</v>
      </c>
      <c r="B72" s="290"/>
      <c r="C72" s="291"/>
      <c r="D72" s="292"/>
      <c r="E72" s="240"/>
      <c r="F72" s="240"/>
      <c r="G72" s="293"/>
      <c r="H72" s="240"/>
      <c r="I72" s="240"/>
      <c r="J72" s="229"/>
      <c r="K72" s="229"/>
      <c r="L72" s="229"/>
      <c r="M72" s="229"/>
      <c r="N72" s="229"/>
      <c r="O72" s="229"/>
      <c r="P72" s="229"/>
    </row>
    <row r="73" spans="1:18" ht="12.75" customHeight="1">
      <c r="A73" s="254" t="s">
        <v>438</v>
      </c>
      <c r="B73" s="255" t="s">
        <v>439</v>
      </c>
      <c r="C73" s="255" t="s">
        <v>440</v>
      </c>
      <c r="D73" s="255" t="s">
        <v>441</v>
      </c>
      <c r="E73" s="255" t="s">
        <v>442</v>
      </c>
      <c r="F73" s="255" t="s">
        <v>443</v>
      </c>
      <c r="G73" s="255" t="s">
        <v>444</v>
      </c>
      <c r="H73" s="255" t="s">
        <v>445</v>
      </c>
      <c r="I73" s="256" t="s">
        <v>435</v>
      </c>
      <c r="J73" s="229"/>
      <c r="K73" s="229"/>
      <c r="L73" s="229"/>
      <c r="M73" s="229"/>
      <c r="N73" s="229"/>
      <c r="O73" s="229"/>
      <c r="P73" s="229"/>
    </row>
    <row r="74" spans="1:18" ht="12.75" customHeight="1">
      <c r="A74" s="258" t="s">
        <v>106</v>
      </c>
      <c r="B74" s="239">
        <f>+'7.Balansstanden'!$F$18</f>
        <v>2299.39273</v>
      </c>
      <c r="C74" s="239">
        <f>+'7.Balansstanden'!$H$18</f>
        <v>2299.39273</v>
      </c>
      <c r="D74" s="294">
        <f t="shared" ref="D74:D100" si="1">+C74-B74</f>
        <v>0</v>
      </c>
      <c r="E74" s="239">
        <f>+'5.Verdelingsmatrix lasten'!$AD114</f>
        <v>0</v>
      </c>
      <c r="F74" s="294">
        <f>+'6.Verdelingsmatrix baten'!$AD114</f>
        <v>0</v>
      </c>
      <c r="G74" s="294">
        <f t="shared" ref="G74:G88" si="2">+E74-F74</f>
        <v>0</v>
      </c>
      <c r="H74" s="295">
        <f t="shared" ref="H74:H100" si="3">ABS(+D74-G74)</f>
        <v>0</v>
      </c>
      <c r="I74" s="239">
        <f t="shared" ref="I74:I100" si="4">ABS(B74)+ABS(C74)</f>
        <v>4598.7854600000001</v>
      </c>
      <c r="J74" s="229"/>
      <c r="K74" s="229"/>
      <c r="L74" s="229"/>
      <c r="M74" s="229"/>
      <c r="N74" s="229"/>
      <c r="O74" s="229"/>
      <c r="P74" s="229"/>
    </row>
    <row r="75" spans="1:18" ht="12.75" customHeight="1">
      <c r="A75" s="258" t="s">
        <v>108</v>
      </c>
      <c r="B75" s="241">
        <f>+'7.Balansstanden'!$F$19</f>
        <v>0</v>
      </c>
      <c r="C75" s="241">
        <f>+'7.Balansstanden'!$H$19</f>
        <v>0</v>
      </c>
      <c r="D75" s="296">
        <f t="shared" si="1"/>
        <v>0</v>
      </c>
      <c r="E75" s="241">
        <f>+'5.Verdelingsmatrix lasten'!$AD115</f>
        <v>0</v>
      </c>
      <c r="F75" s="296">
        <f>+'6.Verdelingsmatrix baten'!$AD115</f>
        <v>0</v>
      </c>
      <c r="G75" s="296">
        <f t="shared" si="2"/>
        <v>0</v>
      </c>
      <c r="H75" s="297">
        <f t="shared" si="3"/>
        <v>0</v>
      </c>
      <c r="I75" s="241">
        <f t="shared" si="4"/>
        <v>0</v>
      </c>
      <c r="J75" s="229"/>
      <c r="K75" s="229"/>
      <c r="L75" s="229"/>
      <c r="M75" s="229"/>
      <c r="N75" s="229"/>
      <c r="O75" s="229"/>
      <c r="P75" s="229"/>
    </row>
    <row r="76" spans="1:18" ht="12.75" customHeight="1">
      <c r="A76" s="258" t="s">
        <v>110</v>
      </c>
      <c r="B76" s="241">
        <f>+'7.Balansstanden'!$F$20</f>
        <v>0</v>
      </c>
      <c r="C76" s="241">
        <f>+'7.Balansstanden'!$H$20</f>
        <v>0</v>
      </c>
      <c r="D76" s="296">
        <f t="shared" si="1"/>
        <v>0</v>
      </c>
      <c r="E76" s="241">
        <f>+'5.Verdelingsmatrix lasten'!$AD116</f>
        <v>0</v>
      </c>
      <c r="F76" s="296">
        <f>+'6.Verdelingsmatrix baten'!$AD116</f>
        <v>0</v>
      </c>
      <c r="G76" s="296">
        <f t="shared" si="2"/>
        <v>0</v>
      </c>
      <c r="H76" s="297">
        <f t="shared" si="3"/>
        <v>0</v>
      </c>
      <c r="I76" s="241">
        <f t="shared" si="4"/>
        <v>0</v>
      </c>
      <c r="J76" s="229"/>
      <c r="K76" s="229"/>
      <c r="L76" s="229"/>
      <c r="M76" s="229"/>
      <c r="N76" s="229"/>
      <c r="O76" s="229"/>
      <c r="P76" s="229"/>
    </row>
    <row r="77" spans="1:18" ht="12.75" customHeight="1">
      <c r="A77" s="258" t="s">
        <v>112</v>
      </c>
      <c r="B77" s="241">
        <f>+'7.Balansstanden'!$F$21</f>
        <v>0</v>
      </c>
      <c r="C77" s="241">
        <f>+'7.Balansstanden'!$H$21</f>
        <v>0</v>
      </c>
      <c r="D77" s="296">
        <f t="shared" si="1"/>
        <v>0</v>
      </c>
      <c r="E77" s="241">
        <f>+'5.Verdelingsmatrix lasten'!$AD117</f>
        <v>0</v>
      </c>
      <c r="F77" s="296">
        <f>+'6.Verdelingsmatrix baten'!$AD117</f>
        <v>0</v>
      </c>
      <c r="G77" s="296">
        <f t="shared" si="2"/>
        <v>0</v>
      </c>
      <c r="H77" s="297">
        <f t="shared" si="3"/>
        <v>0</v>
      </c>
      <c r="I77" s="241">
        <f t="shared" si="4"/>
        <v>0</v>
      </c>
      <c r="J77" s="229"/>
      <c r="K77" s="229"/>
      <c r="L77" s="229"/>
      <c r="M77" s="229"/>
      <c r="N77" s="229"/>
      <c r="O77" s="229"/>
      <c r="P77" s="229"/>
    </row>
    <row r="78" spans="1:18" ht="12.75" customHeight="1">
      <c r="A78" s="258" t="s">
        <v>114</v>
      </c>
      <c r="B78" s="241">
        <f>+'7.Balansstanden'!$F$22</f>
        <v>107694.4933</v>
      </c>
      <c r="C78" s="241">
        <f>+'7.Balansstanden'!$H$22</f>
        <v>77668.119959999996</v>
      </c>
      <c r="D78" s="296">
        <f t="shared" si="1"/>
        <v>-30026.373340000006</v>
      </c>
      <c r="E78" s="241">
        <f>+'5.Verdelingsmatrix lasten'!$AD118</f>
        <v>0</v>
      </c>
      <c r="F78" s="296">
        <f>+'6.Verdelingsmatrix baten'!$AD118</f>
        <v>30026.373339999998</v>
      </c>
      <c r="G78" s="296">
        <f t="shared" si="2"/>
        <v>-30026.373339999998</v>
      </c>
      <c r="H78" s="297">
        <f t="shared" si="3"/>
        <v>7.2759576141834259E-12</v>
      </c>
      <c r="I78" s="241">
        <f t="shared" si="4"/>
        <v>185362.61326000001</v>
      </c>
      <c r="J78" s="229"/>
      <c r="K78" s="229"/>
      <c r="L78" s="229"/>
      <c r="M78" s="229"/>
      <c r="N78" s="229"/>
      <c r="O78" s="229"/>
      <c r="P78" s="229"/>
    </row>
    <row r="79" spans="1:18" ht="12.75" customHeight="1">
      <c r="A79" s="258" t="s">
        <v>116</v>
      </c>
      <c r="B79" s="241">
        <f>+'7.Balansstanden'!$F$23</f>
        <v>0</v>
      </c>
      <c r="C79" s="241">
        <f>+'7.Balansstanden'!$H$23</f>
        <v>0</v>
      </c>
      <c r="D79" s="296">
        <f t="shared" si="1"/>
        <v>0</v>
      </c>
      <c r="E79" s="241">
        <f>+'5.Verdelingsmatrix lasten'!$AD119</f>
        <v>0</v>
      </c>
      <c r="F79" s="296">
        <f>+'6.Verdelingsmatrix baten'!$AD119</f>
        <v>0</v>
      </c>
      <c r="G79" s="296">
        <f t="shared" si="2"/>
        <v>0</v>
      </c>
      <c r="H79" s="297">
        <f t="shared" si="3"/>
        <v>0</v>
      </c>
      <c r="I79" s="241">
        <f t="shared" si="4"/>
        <v>0</v>
      </c>
      <c r="J79" s="229"/>
      <c r="K79" s="229"/>
      <c r="L79" s="229"/>
      <c r="M79" s="229"/>
      <c r="N79" s="229"/>
      <c r="O79" s="229"/>
      <c r="P79" s="229"/>
    </row>
    <row r="80" spans="1:18" ht="12.75" customHeight="1">
      <c r="A80" s="258" t="s">
        <v>118</v>
      </c>
      <c r="B80" s="241">
        <f>+'7.Balansstanden'!$F$24</f>
        <v>21003.978789999997</v>
      </c>
      <c r="C80" s="241">
        <f>+'7.Balansstanden'!$H$24</f>
        <v>8879.7948400000005</v>
      </c>
      <c r="D80" s="296">
        <f t="shared" si="1"/>
        <v>-12124.183949999997</v>
      </c>
      <c r="E80" s="241">
        <f>+'5.Verdelingsmatrix lasten'!$AD120</f>
        <v>-350</v>
      </c>
      <c r="F80" s="296">
        <f>+'6.Verdelingsmatrix baten'!$AD120</f>
        <v>11774.183949999999</v>
      </c>
      <c r="G80" s="296">
        <f t="shared" si="2"/>
        <v>-12124.183949999999</v>
      </c>
      <c r="H80" s="297">
        <f t="shared" si="3"/>
        <v>1.8189894035458565E-12</v>
      </c>
      <c r="I80" s="241">
        <f t="shared" si="4"/>
        <v>29883.773629999996</v>
      </c>
      <c r="J80" s="229"/>
      <c r="K80" s="229"/>
      <c r="L80" s="229"/>
      <c r="M80" s="229"/>
      <c r="N80" s="229"/>
      <c r="O80" s="229"/>
      <c r="P80" s="229"/>
    </row>
    <row r="81" spans="1:16" ht="12.75" customHeight="1">
      <c r="A81" s="258" t="s">
        <v>120</v>
      </c>
      <c r="B81" s="241">
        <f>+'7.Balansstanden'!$F$25</f>
        <v>300971.28602999996</v>
      </c>
      <c r="C81" s="241">
        <f>+'7.Balansstanden'!$H$25</f>
        <v>310880.29762999999</v>
      </c>
      <c r="D81" s="296">
        <f t="shared" si="1"/>
        <v>9909.0116000000271</v>
      </c>
      <c r="E81" s="241">
        <f>+'5.Verdelingsmatrix lasten'!$AD121</f>
        <v>185476.00963999997</v>
      </c>
      <c r="F81" s="296">
        <f>+'6.Verdelingsmatrix baten'!$AD121</f>
        <v>175566.99804000001</v>
      </c>
      <c r="G81" s="296">
        <f t="shared" si="2"/>
        <v>9909.0115999999689</v>
      </c>
      <c r="H81" s="297">
        <f t="shared" si="3"/>
        <v>5.8207660913467407E-11</v>
      </c>
      <c r="I81" s="241">
        <f t="shared" si="4"/>
        <v>611851.58366</v>
      </c>
      <c r="J81" s="229"/>
      <c r="K81" s="229"/>
      <c r="L81" s="229"/>
      <c r="M81" s="229"/>
      <c r="N81" s="229"/>
      <c r="O81" s="229"/>
      <c r="P81" s="229"/>
    </row>
    <row r="82" spans="1:16" ht="12.75" customHeight="1">
      <c r="A82" s="258" t="s">
        <v>136</v>
      </c>
      <c r="B82" s="241">
        <f>+'7.Balansstanden'!$F$35</f>
        <v>48576.180529999998</v>
      </c>
      <c r="C82" s="241">
        <f>+'7.Balansstanden'!$H$35</f>
        <v>49078.817189999994</v>
      </c>
      <c r="D82" s="296">
        <f t="shared" si="1"/>
        <v>502.63665999999648</v>
      </c>
      <c r="E82" s="241">
        <f>+'5.Verdelingsmatrix lasten'!$AD131</f>
        <v>36415.79421</v>
      </c>
      <c r="F82" s="296">
        <f>+'6.Verdelingsmatrix baten'!$AD131</f>
        <v>35913.157549999996</v>
      </c>
      <c r="G82" s="296">
        <f t="shared" si="2"/>
        <v>502.63666000000376</v>
      </c>
      <c r="H82" s="297">
        <f t="shared" si="3"/>
        <v>7.2759576141834259E-12</v>
      </c>
      <c r="I82" s="241">
        <f t="shared" si="4"/>
        <v>97654.997719999985</v>
      </c>
      <c r="J82" s="229"/>
      <c r="K82" s="229"/>
      <c r="L82" s="229"/>
      <c r="M82" s="229"/>
      <c r="N82" s="229"/>
      <c r="O82" s="229"/>
      <c r="P82" s="229"/>
    </row>
    <row r="83" spans="1:16" ht="12.75" customHeight="1">
      <c r="A83" s="258" t="s">
        <v>138</v>
      </c>
      <c r="B83" s="241">
        <f>+'7.Balansstanden'!$F$36</f>
        <v>742600</v>
      </c>
      <c r="C83" s="241">
        <f>+'7.Balansstanden'!$H$36</f>
        <v>56000</v>
      </c>
      <c r="D83" s="296">
        <f t="shared" si="1"/>
        <v>-686600</v>
      </c>
      <c r="E83" s="241">
        <f>+'5.Verdelingsmatrix lasten'!$AD132</f>
        <v>-676524.70890999993</v>
      </c>
      <c r="F83" s="296">
        <f>+'6.Verdelingsmatrix baten'!$AD132</f>
        <v>10075.291090000001</v>
      </c>
      <c r="G83" s="296">
        <f t="shared" si="2"/>
        <v>-686599.99999999988</v>
      </c>
      <c r="H83" s="297">
        <f t="shared" si="3"/>
        <v>1.1641532182693481E-10</v>
      </c>
      <c r="I83" s="241">
        <f t="shared" si="4"/>
        <v>798600</v>
      </c>
      <c r="J83" s="229"/>
      <c r="K83" s="229"/>
      <c r="L83" s="229"/>
      <c r="M83" s="229"/>
      <c r="N83" s="229"/>
      <c r="O83" s="229"/>
      <c r="P83" s="229"/>
    </row>
    <row r="84" spans="1:16" ht="12.75" customHeight="1">
      <c r="A84" s="258" t="s">
        <v>140</v>
      </c>
      <c r="B84" s="241">
        <f>+'7.Balansstanden'!$F$37</f>
        <v>0</v>
      </c>
      <c r="C84" s="241">
        <f>+'7.Balansstanden'!$H$37</f>
        <v>0</v>
      </c>
      <c r="D84" s="296">
        <f t="shared" si="1"/>
        <v>0</v>
      </c>
      <c r="E84" s="241">
        <f>+'5.Verdelingsmatrix lasten'!$AD133</f>
        <v>0</v>
      </c>
      <c r="F84" s="296">
        <f>+'6.Verdelingsmatrix baten'!$AD133</f>
        <v>0</v>
      </c>
      <c r="G84" s="296">
        <f t="shared" si="2"/>
        <v>0</v>
      </c>
      <c r="H84" s="297">
        <f t="shared" si="3"/>
        <v>0</v>
      </c>
      <c r="I84" s="241">
        <f t="shared" si="4"/>
        <v>0</v>
      </c>
      <c r="J84" s="229"/>
      <c r="K84" s="229"/>
      <c r="L84" s="229"/>
      <c r="M84" s="229"/>
      <c r="N84" s="229"/>
      <c r="O84" s="229"/>
      <c r="P84" s="229"/>
    </row>
    <row r="85" spans="1:16" ht="12.75" customHeight="1">
      <c r="A85" s="258" t="s">
        <v>142</v>
      </c>
      <c r="B85" s="241">
        <f>+'7.Balansstanden'!$F$38</f>
        <v>8348.5858800000005</v>
      </c>
      <c r="C85" s="241">
        <f>+'7.Balansstanden'!$H$38</f>
        <v>6464.06765</v>
      </c>
      <c r="D85" s="296">
        <f t="shared" si="1"/>
        <v>-1884.5182300000006</v>
      </c>
      <c r="E85" s="241">
        <f>+'5.Verdelingsmatrix lasten'!$AD134</f>
        <v>5287.31178</v>
      </c>
      <c r="F85" s="296">
        <f>+'6.Verdelingsmatrix baten'!$AD134</f>
        <v>7171.8300099999997</v>
      </c>
      <c r="G85" s="296">
        <f t="shared" si="2"/>
        <v>-1884.5182299999997</v>
      </c>
      <c r="H85" s="297">
        <f t="shared" si="3"/>
        <v>9.0949470177292824E-13</v>
      </c>
      <c r="I85" s="241">
        <f t="shared" si="4"/>
        <v>14812.65353</v>
      </c>
      <c r="J85" s="229"/>
      <c r="K85" s="229"/>
      <c r="L85" s="229"/>
      <c r="M85" s="229"/>
      <c r="N85" s="229"/>
      <c r="O85" s="229"/>
      <c r="P85" s="229"/>
    </row>
    <row r="86" spans="1:16" ht="12.75" customHeight="1">
      <c r="A86" s="258" t="s">
        <v>144</v>
      </c>
      <c r="B86" s="241">
        <f>+'7.Balansstanden'!$F$39</f>
        <v>0</v>
      </c>
      <c r="C86" s="241">
        <f>+'7.Balansstanden'!$H$39</f>
        <v>7000</v>
      </c>
      <c r="D86" s="296">
        <f t="shared" si="1"/>
        <v>7000</v>
      </c>
      <c r="E86" s="241">
        <f>+'5.Verdelingsmatrix lasten'!$AD135</f>
        <v>7000</v>
      </c>
      <c r="F86" s="296">
        <f>+'6.Verdelingsmatrix baten'!$AD135</f>
        <v>0</v>
      </c>
      <c r="G86" s="296">
        <f t="shared" si="2"/>
        <v>7000</v>
      </c>
      <c r="H86" s="297">
        <f t="shared" si="3"/>
        <v>0</v>
      </c>
      <c r="I86" s="241">
        <f t="shared" si="4"/>
        <v>7000</v>
      </c>
      <c r="J86" s="229"/>
      <c r="K86" s="229"/>
      <c r="L86" s="229"/>
      <c r="M86" s="229"/>
      <c r="N86" s="229"/>
      <c r="O86" s="229"/>
      <c r="P86" s="229"/>
    </row>
    <row r="87" spans="1:16" ht="12.75" customHeight="1">
      <c r="A87" s="258" t="s">
        <v>146</v>
      </c>
      <c r="B87" s="241">
        <f>+'7.Balansstanden'!$F$40</f>
        <v>26457.3325</v>
      </c>
      <c r="C87" s="241">
        <f>+'7.Balansstanden'!$H$40</f>
        <v>733354.96669000003</v>
      </c>
      <c r="D87" s="296">
        <f t="shared" si="1"/>
        <v>706897.63419000001</v>
      </c>
      <c r="E87" s="241">
        <f>+'5.Verdelingsmatrix lasten'!$AD136</f>
        <v>1.05582</v>
      </c>
      <c r="F87" s="296">
        <f>+'6.Verdelingsmatrix baten'!$AD136</f>
        <v>-706896.57837</v>
      </c>
      <c r="G87" s="296">
        <f t="shared" si="2"/>
        <v>706897.63419000001</v>
      </c>
      <c r="H87" s="297">
        <f t="shared" si="3"/>
        <v>0</v>
      </c>
      <c r="I87" s="241">
        <f t="shared" si="4"/>
        <v>759812.29919000005</v>
      </c>
      <c r="J87" s="229"/>
      <c r="K87" s="229"/>
      <c r="L87" s="229"/>
      <c r="M87" s="229"/>
      <c r="N87" s="229"/>
      <c r="O87" s="229"/>
      <c r="P87" s="229"/>
    </row>
    <row r="88" spans="1:16" ht="12.75" customHeight="1">
      <c r="A88" s="258" t="s">
        <v>148</v>
      </c>
      <c r="B88" s="241">
        <f>+'7.Balansstanden'!$F$41</f>
        <v>0</v>
      </c>
      <c r="C88" s="241">
        <f>+'7.Balansstanden'!$H$41</f>
        <v>0</v>
      </c>
      <c r="D88" s="296">
        <f t="shared" si="1"/>
        <v>0</v>
      </c>
      <c r="E88" s="241">
        <f>+'5.Verdelingsmatrix lasten'!$AD137</f>
        <v>0</v>
      </c>
      <c r="F88" s="296">
        <f>+'6.Verdelingsmatrix baten'!$AD137</f>
        <v>0</v>
      </c>
      <c r="G88" s="296">
        <f t="shared" si="2"/>
        <v>0</v>
      </c>
      <c r="H88" s="297">
        <f t="shared" si="3"/>
        <v>0</v>
      </c>
      <c r="I88" s="241">
        <f t="shared" si="4"/>
        <v>0</v>
      </c>
      <c r="J88" s="229"/>
      <c r="K88" s="229"/>
      <c r="L88" s="229"/>
      <c r="M88" s="229"/>
      <c r="N88" s="229"/>
      <c r="O88" s="229"/>
      <c r="P88" s="229"/>
    </row>
    <row r="89" spans="1:16" ht="12.75" customHeight="1">
      <c r="A89" s="258" t="s">
        <v>162</v>
      </c>
      <c r="B89" s="241">
        <f>+'7.Balansstanden'!$F$53</f>
        <v>0</v>
      </c>
      <c r="C89" s="241">
        <f>+'7.Balansstanden'!$H$53</f>
        <v>0</v>
      </c>
      <c r="D89" s="296">
        <f t="shared" si="1"/>
        <v>0</v>
      </c>
      <c r="E89" s="241">
        <f>+'5.Verdelingsmatrix lasten'!$AD146</f>
        <v>0</v>
      </c>
      <c r="F89" s="296">
        <f>+'6.Verdelingsmatrix baten'!$AD146</f>
        <v>0</v>
      </c>
      <c r="G89" s="296">
        <f t="shared" ref="G89:G100" si="5">-E89+F89</f>
        <v>0</v>
      </c>
      <c r="H89" s="297">
        <f t="shared" si="3"/>
        <v>0</v>
      </c>
      <c r="I89" s="241">
        <f t="shared" si="4"/>
        <v>0</v>
      </c>
      <c r="J89" s="229"/>
      <c r="K89" s="229"/>
      <c r="L89" s="229"/>
      <c r="M89" s="229"/>
      <c r="N89" s="229"/>
      <c r="O89" s="229"/>
      <c r="P89" s="229"/>
    </row>
    <row r="90" spans="1:16" ht="12.75" customHeight="1">
      <c r="A90" s="258" t="s">
        <v>164</v>
      </c>
      <c r="B90" s="241">
        <f>+'7.Balansstanden'!$F$54</f>
        <v>0</v>
      </c>
      <c r="C90" s="241">
        <f>+'7.Balansstanden'!$H$54</f>
        <v>0</v>
      </c>
      <c r="D90" s="296">
        <f t="shared" si="1"/>
        <v>0</v>
      </c>
      <c r="E90" s="241">
        <f>+'5.Verdelingsmatrix lasten'!$AD147</f>
        <v>0</v>
      </c>
      <c r="F90" s="296">
        <f>+'6.Verdelingsmatrix baten'!$AD147</f>
        <v>0</v>
      </c>
      <c r="G90" s="296">
        <f t="shared" si="5"/>
        <v>0</v>
      </c>
      <c r="H90" s="297">
        <f t="shared" si="3"/>
        <v>0</v>
      </c>
      <c r="I90" s="241">
        <f t="shared" si="4"/>
        <v>0</v>
      </c>
      <c r="J90" s="229"/>
      <c r="K90" s="229"/>
      <c r="L90" s="229"/>
      <c r="M90" s="229"/>
      <c r="N90" s="229"/>
      <c r="O90" s="229"/>
      <c r="P90" s="229"/>
    </row>
    <row r="91" spans="1:16" ht="12.75" customHeight="1">
      <c r="A91" s="258" t="s">
        <v>166</v>
      </c>
      <c r="B91" s="241">
        <f>+'7.Balansstanden'!$F$55</f>
        <v>0</v>
      </c>
      <c r="C91" s="241">
        <f>+'7.Balansstanden'!$H$55</f>
        <v>0</v>
      </c>
      <c r="D91" s="296">
        <f t="shared" si="1"/>
        <v>0</v>
      </c>
      <c r="E91" s="241">
        <f>+'5.Verdelingsmatrix lasten'!$AD148</f>
        <v>0</v>
      </c>
      <c r="F91" s="296">
        <f>+'6.Verdelingsmatrix baten'!$AD148</f>
        <v>0</v>
      </c>
      <c r="G91" s="296">
        <f t="shared" si="5"/>
        <v>0</v>
      </c>
      <c r="H91" s="297">
        <f t="shared" si="3"/>
        <v>0</v>
      </c>
      <c r="I91" s="241">
        <f t="shared" si="4"/>
        <v>0</v>
      </c>
      <c r="J91" s="229"/>
      <c r="K91" s="229"/>
      <c r="L91" s="229"/>
      <c r="M91" s="229"/>
      <c r="N91" s="229"/>
      <c r="O91" s="229"/>
      <c r="P91" s="229"/>
    </row>
    <row r="92" spans="1:16" ht="12.75" customHeight="1">
      <c r="A92" s="258" t="s">
        <v>168</v>
      </c>
      <c r="B92" s="241">
        <f>+'7.Balansstanden'!$F$56</f>
        <v>0</v>
      </c>
      <c r="C92" s="241">
        <f>+'7.Balansstanden'!$H$56</f>
        <v>0</v>
      </c>
      <c r="D92" s="296">
        <f t="shared" si="1"/>
        <v>0</v>
      </c>
      <c r="E92" s="241">
        <f>+'5.Verdelingsmatrix lasten'!$AD149</f>
        <v>0</v>
      </c>
      <c r="F92" s="296">
        <f>+'6.Verdelingsmatrix baten'!$AD149</f>
        <v>0</v>
      </c>
      <c r="G92" s="296">
        <f t="shared" si="5"/>
        <v>0</v>
      </c>
      <c r="H92" s="297">
        <f t="shared" si="3"/>
        <v>0</v>
      </c>
      <c r="I92" s="241">
        <f t="shared" si="4"/>
        <v>0</v>
      </c>
      <c r="J92" s="229"/>
      <c r="K92" s="229"/>
      <c r="L92" s="229"/>
      <c r="M92" s="229"/>
      <c r="N92" s="229"/>
      <c r="O92" s="229"/>
      <c r="P92" s="229"/>
    </row>
    <row r="93" spans="1:16" ht="12.75" customHeight="1">
      <c r="A93" s="258" t="s">
        <v>170</v>
      </c>
      <c r="B93" s="241">
        <f>+'7.Balansstanden'!$F$57</f>
        <v>0</v>
      </c>
      <c r="C93" s="241">
        <f>+'7.Balansstanden'!$H$57</f>
        <v>0</v>
      </c>
      <c r="D93" s="296">
        <f t="shared" si="1"/>
        <v>0</v>
      </c>
      <c r="E93" s="241">
        <f>+'5.Verdelingsmatrix lasten'!$AD150</f>
        <v>0</v>
      </c>
      <c r="F93" s="296">
        <f>+'6.Verdelingsmatrix baten'!$AD150</f>
        <v>0</v>
      </c>
      <c r="G93" s="296">
        <f t="shared" si="5"/>
        <v>0</v>
      </c>
      <c r="H93" s="297">
        <f t="shared" si="3"/>
        <v>0</v>
      </c>
      <c r="I93" s="241">
        <f t="shared" si="4"/>
        <v>0</v>
      </c>
      <c r="J93" s="229"/>
      <c r="K93" s="229"/>
      <c r="L93" s="229"/>
      <c r="M93" s="229"/>
      <c r="N93" s="229"/>
      <c r="O93" s="229"/>
      <c r="P93" s="229"/>
    </row>
    <row r="94" spans="1:16" ht="12.75" customHeight="1">
      <c r="A94" s="258" t="s">
        <v>172</v>
      </c>
      <c r="B94" s="241">
        <f>+'7.Balansstanden'!$F$58</f>
        <v>0</v>
      </c>
      <c r="C94" s="241">
        <f>+'7.Balansstanden'!$H$58</f>
        <v>0</v>
      </c>
      <c r="D94" s="296">
        <f t="shared" si="1"/>
        <v>0</v>
      </c>
      <c r="E94" s="241">
        <f>+'5.Verdelingsmatrix lasten'!$AD151</f>
        <v>0</v>
      </c>
      <c r="F94" s="296">
        <f>+'6.Verdelingsmatrix baten'!$AD151</f>
        <v>0</v>
      </c>
      <c r="G94" s="296">
        <f t="shared" si="5"/>
        <v>0</v>
      </c>
      <c r="H94" s="297">
        <f t="shared" si="3"/>
        <v>0</v>
      </c>
      <c r="I94" s="241">
        <f t="shared" si="4"/>
        <v>0</v>
      </c>
      <c r="J94" s="229"/>
      <c r="K94" s="229"/>
      <c r="L94" s="229"/>
      <c r="M94" s="229"/>
      <c r="N94" s="229"/>
      <c r="O94" s="229"/>
      <c r="P94" s="229"/>
    </row>
    <row r="95" spans="1:16" ht="12.75" customHeight="1">
      <c r="A95" s="258" t="s">
        <v>174</v>
      </c>
      <c r="B95" s="241">
        <f>+'7.Balansstanden'!$F$59</f>
        <v>0</v>
      </c>
      <c r="C95" s="241">
        <f>+'7.Balansstanden'!$H$59</f>
        <v>0</v>
      </c>
      <c r="D95" s="296">
        <f t="shared" si="1"/>
        <v>0</v>
      </c>
      <c r="E95" s="241">
        <f>+'5.Verdelingsmatrix lasten'!$AD152</f>
        <v>0</v>
      </c>
      <c r="F95" s="296">
        <f>+'6.Verdelingsmatrix baten'!$AD152</f>
        <v>0</v>
      </c>
      <c r="G95" s="296">
        <f t="shared" si="5"/>
        <v>0</v>
      </c>
      <c r="H95" s="297">
        <f t="shared" si="3"/>
        <v>0</v>
      </c>
      <c r="I95" s="241">
        <f t="shared" si="4"/>
        <v>0</v>
      </c>
      <c r="J95" s="229"/>
      <c r="K95" s="229"/>
      <c r="L95" s="229"/>
      <c r="M95" s="229"/>
      <c r="N95" s="229"/>
      <c r="O95" s="229"/>
      <c r="P95" s="229"/>
    </row>
    <row r="96" spans="1:16" ht="12.75" customHeight="1">
      <c r="A96" s="258" t="s">
        <v>176</v>
      </c>
      <c r="B96" s="241">
        <f>+'7.Balansstanden'!$F$60</f>
        <v>15.242030000000002</v>
      </c>
      <c r="C96" s="241">
        <f>+'7.Balansstanden'!$H$60</f>
        <v>20.74203</v>
      </c>
      <c r="D96" s="296">
        <f t="shared" si="1"/>
        <v>5.4999999999999982</v>
      </c>
      <c r="E96" s="241">
        <f>+'5.Verdelingsmatrix lasten'!$AD153</f>
        <v>1.1000000000000001</v>
      </c>
      <c r="F96" s="296">
        <f>+'6.Verdelingsmatrix baten'!$AD153</f>
        <v>6.6</v>
      </c>
      <c r="G96" s="296">
        <f t="shared" si="5"/>
        <v>5.5</v>
      </c>
      <c r="H96" s="297">
        <f t="shared" si="3"/>
        <v>1.7763568394002505E-15</v>
      </c>
      <c r="I96" s="241">
        <f t="shared" si="4"/>
        <v>35.984059999999999</v>
      </c>
      <c r="J96" s="229"/>
      <c r="K96" s="229"/>
      <c r="L96" s="229"/>
      <c r="M96" s="229"/>
      <c r="N96" s="229"/>
      <c r="O96" s="229"/>
      <c r="P96" s="229"/>
    </row>
    <row r="97" spans="1:16" ht="12.75" customHeight="1">
      <c r="A97" s="258" t="s">
        <v>180</v>
      </c>
      <c r="B97" s="241">
        <f>+'7.Balansstanden'!$F$63</f>
        <v>0</v>
      </c>
      <c r="C97" s="241">
        <f>+'7.Balansstanden'!$H$63</f>
        <v>0</v>
      </c>
      <c r="D97" s="296">
        <f t="shared" si="1"/>
        <v>0</v>
      </c>
      <c r="E97" s="241">
        <f>+'5.Verdelingsmatrix lasten'!$AD157</f>
        <v>0</v>
      </c>
      <c r="F97" s="296">
        <f>+'6.Verdelingsmatrix baten'!$AD157</f>
        <v>0</v>
      </c>
      <c r="G97" s="296">
        <f t="shared" si="5"/>
        <v>0</v>
      </c>
      <c r="H97" s="297">
        <f t="shared" si="3"/>
        <v>0</v>
      </c>
      <c r="I97" s="241">
        <f t="shared" si="4"/>
        <v>0</v>
      </c>
      <c r="J97" s="229"/>
      <c r="K97" s="229"/>
      <c r="L97" s="229"/>
      <c r="M97" s="229"/>
      <c r="N97" s="229"/>
      <c r="O97" s="229"/>
      <c r="P97" s="229"/>
    </row>
    <row r="98" spans="1:16" ht="12.75" customHeight="1">
      <c r="A98" s="258" t="s">
        <v>182</v>
      </c>
      <c r="B98" s="241">
        <f>+'7.Balansstanden'!$F$64</f>
        <v>0</v>
      </c>
      <c r="C98" s="241">
        <f>+'7.Balansstanden'!$H$64</f>
        <v>0</v>
      </c>
      <c r="D98" s="296">
        <f t="shared" si="1"/>
        <v>0</v>
      </c>
      <c r="E98" s="241">
        <f>+'5.Verdelingsmatrix lasten'!$AD158</f>
        <v>0</v>
      </c>
      <c r="F98" s="296">
        <f>+'6.Verdelingsmatrix baten'!$AD158</f>
        <v>0</v>
      </c>
      <c r="G98" s="296">
        <f t="shared" si="5"/>
        <v>0</v>
      </c>
      <c r="H98" s="297">
        <f t="shared" si="3"/>
        <v>0</v>
      </c>
      <c r="I98" s="241">
        <f t="shared" si="4"/>
        <v>0</v>
      </c>
      <c r="J98" s="229"/>
      <c r="K98" s="229"/>
      <c r="L98" s="229"/>
      <c r="M98" s="229"/>
      <c r="N98" s="229"/>
      <c r="O98" s="229"/>
      <c r="P98" s="229"/>
    </row>
    <row r="99" spans="1:16" ht="12.75" customHeight="1">
      <c r="A99" s="258" t="s">
        <v>184</v>
      </c>
      <c r="B99" s="241">
        <f>+'7.Balansstanden'!$F$65</f>
        <v>208081.02952000001</v>
      </c>
      <c r="C99" s="241">
        <f>+'7.Balansstanden'!$H$65</f>
        <v>219601.30752</v>
      </c>
      <c r="D99" s="296">
        <f t="shared" si="1"/>
        <v>11520.277999999991</v>
      </c>
      <c r="E99" s="241">
        <f>+'5.Verdelingsmatrix lasten'!$AD159</f>
        <v>165371.87841</v>
      </c>
      <c r="F99" s="296">
        <f>+'6.Verdelingsmatrix baten'!$AD159</f>
        <v>176892.15641</v>
      </c>
      <c r="G99" s="296">
        <f t="shared" si="5"/>
        <v>11520.277999999991</v>
      </c>
      <c r="H99" s="297">
        <f t="shared" si="3"/>
        <v>0</v>
      </c>
      <c r="I99" s="241">
        <f t="shared" si="4"/>
        <v>427682.33704000001</v>
      </c>
      <c r="J99" s="229"/>
      <c r="K99" s="229"/>
      <c r="L99" s="229"/>
      <c r="M99" s="229"/>
      <c r="N99" s="229"/>
      <c r="O99" s="229"/>
      <c r="P99" s="229"/>
    </row>
    <row r="100" spans="1:16" ht="12.75" customHeight="1" thickBot="1">
      <c r="A100" s="268" t="s">
        <v>186</v>
      </c>
      <c r="B100" s="269">
        <f>+'7.Balansstanden'!$F$66</f>
        <v>225423.37447000001</v>
      </c>
      <c r="C100" s="269">
        <f>+'7.Balansstanden'!$H$66</f>
        <v>252567.36508000002</v>
      </c>
      <c r="D100" s="298">
        <f t="shared" si="1"/>
        <v>27143.990610000008</v>
      </c>
      <c r="E100" s="269">
        <f>+'5.Verdelingsmatrix lasten'!$AD160</f>
        <v>1482.49596</v>
      </c>
      <c r="F100" s="298">
        <f>+'6.Verdelingsmatrix baten'!$AD160</f>
        <v>28626.486570000001</v>
      </c>
      <c r="G100" s="298">
        <f t="shared" si="5"/>
        <v>27143.990610000001</v>
      </c>
      <c r="H100" s="299">
        <f t="shared" si="3"/>
        <v>7.2759576141834259E-12</v>
      </c>
      <c r="I100" s="269">
        <f t="shared" si="4"/>
        <v>477990.73955000006</v>
      </c>
      <c r="J100" s="229"/>
      <c r="K100" s="229"/>
      <c r="L100" s="229"/>
      <c r="M100" s="229"/>
      <c r="N100" s="229"/>
      <c r="O100" s="229"/>
      <c r="P100" s="229"/>
    </row>
    <row r="101" spans="1:16" ht="12.75" customHeight="1">
      <c r="A101" s="271" t="s">
        <v>434</v>
      </c>
      <c r="B101" s="300"/>
      <c r="C101" s="301"/>
      <c r="D101" s="302"/>
      <c r="E101" s="301"/>
      <c r="F101" s="301"/>
      <c r="G101" s="303"/>
      <c r="H101" s="300">
        <f>SUM(H74:H100)</f>
        <v>1.9918111604511068E-10</v>
      </c>
      <c r="I101" s="300">
        <f>SUM(I74:I100)</f>
        <v>3415285.7671000003</v>
      </c>
      <c r="J101" s="229"/>
      <c r="K101" s="229"/>
      <c r="L101" s="229"/>
      <c r="M101" s="229"/>
      <c r="N101" s="229"/>
      <c r="O101" s="229"/>
      <c r="P101" s="229"/>
    </row>
    <row r="102" spans="1:16" ht="12.75" customHeight="1">
      <c r="A102" s="277" t="s">
        <v>428</v>
      </c>
      <c r="B102" s="241">
        <f>+H101</f>
        <v>1.9918111604511068E-10</v>
      </c>
      <c r="C102" s="304"/>
      <c r="D102" s="305"/>
      <c r="E102" s="304"/>
      <c r="F102" s="304"/>
      <c r="G102" s="306"/>
      <c r="H102" s="304"/>
      <c r="I102" s="304"/>
      <c r="J102" s="229"/>
      <c r="K102" s="229"/>
      <c r="L102" s="229"/>
      <c r="M102" s="229"/>
      <c r="N102" s="229"/>
      <c r="O102" s="229"/>
      <c r="P102" s="229"/>
    </row>
    <row r="103" spans="1:16" ht="12.75" customHeight="1">
      <c r="A103" s="258" t="s">
        <v>435</v>
      </c>
      <c r="B103" s="241">
        <f>+I101/2</f>
        <v>1707642.8835500001</v>
      </c>
      <c r="C103" s="307"/>
      <c r="D103" s="308"/>
      <c r="E103" s="304"/>
      <c r="F103" s="304"/>
      <c r="G103" s="306"/>
      <c r="H103" s="307"/>
      <c r="I103" s="307"/>
      <c r="J103" s="229"/>
      <c r="K103" s="229"/>
      <c r="L103" s="229"/>
      <c r="M103" s="229"/>
      <c r="N103" s="229"/>
      <c r="O103" s="229"/>
      <c r="P103" s="229"/>
    </row>
    <row r="104" spans="1:16" ht="12.75" customHeight="1">
      <c r="A104" s="258" t="s">
        <v>446</v>
      </c>
      <c r="B104" s="309">
        <f>IF(OR(SUM(B74:B88)=0,SUM(B89:B100)=0),"nvt",+B102/B103)</f>
        <v>1.1664096630733193E-16</v>
      </c>
      <c r="C104" s="307"/>
      <c r="D104" s="308"/>
      <c r="E104" s="304"/>
      <c r="F104" s="304"/>
      <c r="G104" s="306"/>
      <c r="H104" s="307"/>
      <c r="I104" s="307"/>
      <c r="J104" s="229"/>
      <c r="K104" s="229"/>
      <c r="L104" s="229"/>
      <c r="M104" s="229"/>
      <c r="N104" s="229"/>
      <c r="O104" s="229"/>
      <c r="P104" s="229"/>
    </row>
    <row r="105" spans="1:16" ht="12.75" customHeight="1">
      <c r="A105" s="285" t="s">
        <v>430</v>
      </c>
      <c r="B105" s="247" t="str">
        <f>IF(B104="nvt","onvoldoende",IF(B104&lt;=0.01,"voldoende","onvoldoende"))</f>
        <v>voldoende</v>
      </c>
      <c r="C105" s="310"/>
      <c r="D105" s="311"/>
      <c r="E105" s="310"/>
      <c r="F105" s="310"/>
      <c r="G105" s="310"/>
      <c r="H105" s="310"/>
      <c r="I105" s="312"/>
      <c r="J105" s="229"/>
      <c r="K105" s="229"/>
      <c r="L105" s="229"/>
      <c r="M105" s="229"/>
      <c r="N105" s="229"/>
      <c r="O105" s="229"/>
      <c r="P105" s="229"/>
    </row>
    <row r="106" spans="1:16" ht="12.75" customHeight="1">
      <c r="F106" s="2"/>
      <c r="G106" s="229"/>
      <c r="H106" s="229"/>
      <c r="I106" s="229"/>
      <c r="J106" s="229"/>
      <c r="K106" s="229"/>
      <c r="L106" s="229"/>
      <c r="M106" s="229"/>
      <c r="N106" s="229"/>
      <c r="O106" s="229"/>
      <c r="P106" s="229"/>
    </row>
    <row r="107" spans="1:16" ht="12.75" customHeight="1">
      <c r="A107" s="235" t="s">
        <v>447</v>
      </c>
      <c r="F107" s="2"/>
      <c r="G107" s="229"/>
      <c r="H107" s="401"/>
      <c r="I107" s="229"/>
      <c r="J107" s="229"/>
      <c r="K107" s="229"/>
      <c r="L107" s="229"/>
      <c r="M107" s="229"/>
      <c r="N107" s="229"/>
      <c r="O107" s="229"/>
      <c r="P107" s="229"/>
    </row>
    <row r="108" spans="1:16" ht="12.75" customHeight="1">
      <c r="A108" s="313" t="s">
        <v>448</v>
      </c>
      <c r="B108" s="314">
        <f>ABS(+'5.Verdelingsmatrix lasten'!$C$165)</f>
        <v>0</v>
      </c>
      <c r="F108" s="2"/>
      <c r="G108" s="229"/>
      <c r="H108" s="229"/>
      <c r="I108" s="229"/>
      <c r="J108" s="229"/>
      <c r="K108" s="229"/>
      <c r="L108" s="229"/>
      <c r="M108" s="229"/>
      <c r="N108" s="229"/>
      <c r="O108" s="229"/>
      <c r="P108" s="229"/>
    </row>
    <row r="109" spans="1:16" ht="12.75" customHeight="1">
      <c r="A109" s="277" t="s">
        <v>443</v>
      </c>
      <c r="B109" s="315">
        <f>ABS(+'6.Verdelingsmatrix baten'!$C$165)</f>
        <v>0</v>
      </c>
      <c r="F109" s="2"/>
      <c r="G109" s="229"/>
      <c r="H109" s="229"/>
      <c r="I109" s="229"/>
      <c r="J109" s="229"/>
      <c r="K109" s="229"/>
      <c r="L109" s="229"/>
      <c r="M109" s="229"/>
      <c r="N109" s="229"/>
      <c r="O109" s="229"/>
      <c r="P109" s="229"/>
    </row>
    <row r="110" spans="1:16" ht="12.75" customHeight="1">
      <c r="A110" s="277" t="s">
        <v>433</v>
      </c>
      <c r="B110" s="316">
        <f>ABS(B108)+ABS(B109)</f>
        <v>0</v>
      </c>
      <c r="F110" s="2"/>
      <c r="G110" s="229"/>
      <c r="H110" s="229"/>
      <c r="I110" s="229"/>
      <c r="J110" s="229"/>
      <c r="K110" s="229"/>
      <c r="L110" s="229"/>
      <c r="M110" s="229"/>
      <c r="N110" s="229"/>
      <c r="O110" s="229"/>
      <c r="P110" s="229"/>
    </row>
    <row r="111" spans="1:16" ht="12.75" customHeight="1">
      <c r="A111" s="317" t="s">
        <v>449</v>
      </c>
      <c r="B111" s="283">
        <f>+$B$110/$C$24</f>
        <v>0</v>
      </c>
      <c r="F111" s="2"/>
      <c r="G111" s="229"/>
      <c r="H111" s="229"/>
      <c r="I111" s="229"/>
      <c r="J111" s="229"/>
      <c r="K111" s="229"/>
      <c r="L111" s="229"/>
      <c r="M111" s="229"/>
      <c r="N111" s="229"/>
      <c r="O111" s="229"/>
      <c r="P111" s="229"/>
    </row>
    <row r="112" spans="1:16" ht="12.75" customHeight="1">
      <c r="A112" s="318" t="s">
        <v>430</v>
      </c>
      <c r="B112" s="247" t="str">
        <f>IF(B111&lt;=0.01,"voldoende","onvoldoende")</f>
        <v>voldoende</v>
      </c>
      <c r="F112" s="2"/>
      <c r="G112" s="229"/>
      <c r="H112" s="229"/>
      <c r="I112" s="229"/>
      <c r="J112" s="229"/>
      <c r="K112" s="229"/>
      <c r="L112" s="229"/>
      <c r="M112" s="229"/>
      <c r="N112" s="229"/>
      <c r="O112" s="229"/>
      <c r="P112" s="229"/>
    </row>
    <row r="113" spans="1:18" ht="12.75" customHeight="1">
      <c r="F113" s="2"/>
      <c r="G113" s="229"/>
      <c r="H113" s="229"/>
      <c r="I113" s="229"/>
      <c r="J113" s="229"/>
      <c r="K113" s="229"/>
      <c r="L113" s="229"/>
      <c r="M113" s="229"/>
      <c r="N113" s="229"/>
      <c r="O113" s="229"/>
      <c r="P113" s="229"/>
    </row>
    <row r="114" spans="1:18" s="5" customFormat="1" ht="13.5" customHeight="1">
      <c r="A114" s="235" t="s">
        <v>450</v>
      </c>
      <c r="B114" s="2"/>
      <c r="C114" s="2"/>
      <c r="D114" s="2"/>
      <c r="E114" s="2"/>
      <c r="F114" s="234"/>
      <c r="G114" s="319"/>
      <c r="H114" s="319"/>
      <c r="I114" s="319"/>
      <c r="J114" s="319"/>
      <c r="K114" s="319"/>
      <c r="L114" s="319"/>
      <c r="M114" s="319"/>
      <c r="N114" s="319"/>
      <c r="O114" s="319"/>
      <c r="P114" s="319"/>
    </row>
    <row r="115" spans="1:18" s="5" customFormat="1" ht="13.5" customHeight="1">
      <c r="A115" s="320"/>
      <c r="B115" s="321" t="s">
        <v>442</v>
      </c>
      <c r="C115" s="321" t="s">
        <v>443</v>
      </c>
      <c r="D115" s="321" t="s">
        <v>451</v>
      </c>
      <c r="E115" s="322" t="s">
        <v>452</v>
      </c>
      <c r="F115" s="234"/>
      <c r="G115" s="319"/>
      <c r="H115" s="319"/>
      <c r="I115" s="319"/>
      <c r="J115" s="319"/>
      <c r="K115" s="319"/>
      <c r="L115" s="319"/>
      <c r="M115" s="319"/>
      <c r="N115" s="319"/>
      <c r="O115" s="319"/>
      <c r="P115" s="319"/>
    </row>
    <row r="116" spans="1:18" s="5" customFormat="1" ht="13.5" customHeight="1">
      <c r="A116" s="323" t="s">
        <v>35</v>
      </c>
      <c r="B116" s="296">
        <f>+'5.Verdelingsmatrix lasten'!$S165</f>
        <v>309657.47412999999</v>
      </c>
      <c r="C116" s="296">
        <f>+'6.Verdelingsmatrix baten'!$S165</f>
        <v>309657.77412999992</v>
      </c>
      <c r="D116" s="296">
        <f>ABS(B116-C116)</f>
        <v>0.29999999993015081</v>
      </c>
      <c r="E116" s="296">
        <f>ABS(B116)+ABS(C116)</f>
        <v>619315.24825999991</v>
      </c>
      <c r="F116" s="234"/>
      <c r="G116" s="319"/>
      <c r="J116" s="319"/>
      <c r="K116" s="319"/>
      <c r="L116" s="319"/>
      <c r="M116" s="319"/>
      <c r="N116" s="319"/>
      <c r="O116" s="319"/>
      <c r="P116" s="319"/>
    </row>
    <row r="117" spans="1:18" s="5" customFormat="1" ht="13.5" customHeight="1">
      <c r="A117" s="323" t="s">
        <v>247</v>
      </c>
      <c r="B117" s="296">
        <f>+'5.Verdelingsmatrix lasten'!$AB165</f>
        <v>0</v>
      </c>
      <c r="C117" s="296">
        <f>+'6.Verdelingsmatrix baten'!$AB165</f>
        <v>0</v>
      </c>
      <c r="D117" s="296">
        <f>ABS(B117-C117)</f>
        <v>0</v>
      </c>
      <c r="E117" s="296">
        <f>ABS(B117)+ABS(C117)</f>
        <v>0</v>
      </c>
      <c r="F117" s="234"/>
      <c r="G117" s="319"/>
      <c r="J117" s="319"/>
      <c r="K117" s="319"/>
      <c r="L117" s="319"/>
      <c r="M117" s="319"/>
      <c r="N117" s="319"/>
      <c r="O117" s="319"/>
      <c r="P117" s="319"/>
    </row>
    <row r="118" spans="1:18" s="5" customFormat="1" ht="13.5" customHeight="1">
      <c r="A118" s="323" t="s">
        <v>248</v>
      </c>
      <c r="B118" s="296">
        <f>+'5.Verdelingsmatrix lasten'!$AC165</f>
        <v>110717.43645000001</v>
      </c>
      <c r="C118" s="296">
        <f>+'6.Verdelingsmatrix baten'!$AC165</f>
        <v>110717.43645000001</v>
      </c>
      <c r="D118" s="296">
        <f>ABS(B118-C118)</f>
        <v>0</v>
      </c>
      <c r="E118" s="296">
        <f>ABS(B118)+ABS(C118)</f>
        <v>221434.87290000002</v>
      </c>
      <c r="F118" s="234"/>
      <c r="G118" s="319"/>
      <c r="J118" s="319"/>
      <c r="K118" s="319"/>
      <c r="L118" s="319"/>
      <c r="M118" s="319"/>
      <c r="N118" s="319"/>
      <c r="O118" s="319"/>
      <c r="P118" s="319"/>
    </row>
    <row r="119" spans="1:18" s="5" customFormat="1" ht="13.5" customHeight="1">
      <c r="A119" s="323"/>
      <c r="B119" s="296"/>
      <c r="C119" s="296"/>
      <c r="D119" s="296"/>
      <c r="E119" s="296"/>
      <c r="F119" s="234"/>
      <c r="G119" s="319"/>
      <c r="J119" s="319"/>
      <c r="K119" s="319"/>
      <c r="L119" s="319"/>
      <c r="M119" s="319"/>
      <c r="N119" s="319"/>
      <c r="O119" s="319"/>
      <c r="P119" s="319"/>
    </row>
    <row r="120" spans="1:18" s="5" customFormat="1" ht="13.5" customHeight="1">
      <c r="A120" s="323"/>
      <c r="B120" s="296"/>
      <c r="C120" s="296"/>
      <c r="D120" s="296"/>
      <c r="E120" s="296"/>
      <c r="F120" s="234"/>
    </row>
    <row r="121" spans="1:18" s="5" customFormat="1" ht="13.5" customHeight="1" thickBot="1">
      <c r="A121" s="323"/>
      <c r="B121" s="296"/>
      <c r="C121" s="296"/>
      <c r="D121" s="296"/>
      <c r="E121" s="296"/>
      <c r="F121" s="234"/>
    </row>
    <row r="122" spans="1:18" s="5" customFormat="1" ht="12.75" customHeight="1">
      <c r="A122" s="324" t="s">
        <v>453</v>
      </c>
      <c r="B122" s="300"/>
      <c r="C122" s="300"/>
      <c r="D122" s="300">
        <f>SUM(D116:D121)</f>
        <v>0.29999999993015081</v>
      </c>
      <c r="E122" s="300">
        <f>SUM(E116:E121)</f>
        <v>840750.12115999986</v>
      </c>
      <c r="F122" s="234"/>
      <c r="G122" s="2"/>
      <c r="H122" s="2"/>
      <c r="I122" s="2"/>
      <c r="J122" s="2"/>
      <c r="K122" s="2"/>
      <c r="L122" s="2"/>
      <c r="M122" s="2"/>
      <c r="N122" s="2"/>
      <c r="O122" s="2"/>
      <c r="P122" s="2"/>
      <c r="Q122" s="2"/>
      <c r="R122" s="2"/>
    </row>
    <row r="123" spans="1:18" s="5" customFormat="1" ht="12.75" customHeight="1">
      <c r="A123" s="323" t="s">
        <v>428</v>
      </c>
      <c r="B123" s="296">
        <f>+D122</f>
        <v>0.29999999993015081</v>
      </c>
      <c r="C123" s="325"/>
      <c r="D123" s="325"/>
      <c r="E123" s="325"/>
      <c r="F123" s="234"/>
      <c r="G123" s="2"/>
      <c r="H123" s="2"/>
      <c r="I123" s="2"/>
      <c r="J123" s="2"/>
      <c r="K123" s="2"/>
      <c r="L123" s="2"/>
      <c r="M123" s="2"/>
      <c r="N123" s="2"/>
      <c r="O123" s="2"/>
      <c r="P123" s="2"/>
      <c r="Q123" s="2"/>
      <c r="R123" s="2"/>
    </row>
    <row r="124" spans="1:18" s="5" customFormat="1" ht="12.75" customHeight="1">
      <c r="A124" s="323" t="s">
        <v>435</v>
      </c>
      <c r="B124" s="296">
        <f>+C24</f>
        <v>375275</v>
      </c>
      <c r="C124" s="325"/>
      <c r="D124" s="325"/>
      <c r="E124" s="325"/>
      <c r="F124" s="234"/>
      <c r="G124" s="2"/>
      <c r="H124" s="2"/>
      <c r="I124" s="2"/>
      <c r="J124" s="2"/>
      <c r="K124" s="2"/>
      <c r="L124" s="2"/>
      <c r="M124" s="2"/>
      <c r="N124" s="2"/>
      <c r="O124" s="2"/>
      <c r="P124" s="2"/>
      <c r="Q124" s="2"/>
      <c r="R124" s="2"/>
    </row>
    <row r="125" spans="1:18" s="5" customFormat="1" ht="12.75" customHeight="1">
      <c r="A125" s="323" t="s">
        <v>454</v>
      </c>
      <c r="B125" s="325">
        <f>IF(B124=0,0,+B123/B124)</f>
        <v>7.9941376305416244E-7</v>
      </c>
      <c r="C125" s="325"/>
      <c r="D125" s="325"/>
      <c r="E125" s="325"/>
      <c r="F125" s="234"/>
      <c r="G125" s="2"/>
      <c r="H125" s="2"/>
      <c r="I125" s="2"/>
      <c r="J125" s="2"/>
      <c r="K125" s="2"/>
      <c r="L125" s="2"/>
      <c r="M125" s="2"/>
      <c r="N125" s="2"/>
      <c r="O125" s="2"/>
      <c r="P125" s="2"/>
      <c r="Q125" s="2"/>
      <c r="R125" s="2"/>
    </row>
    <row r="126" spans="1:18" s="5" customFormat="1" ht="12.75" customHeight="1">
      <c r="A126" s="326" t="s">
        <v>430</v>
      </c>
      <c r="B126" s="247" t="str">
        <f>IF(B125&lt;=0.01,"voldoende","onvoldoende")</f>
        <v>voldoende</v>
      </c>
      <c r="C126" s="327"/>
      <c r="D126" s="327"/>
      <c r="E126" s="327"/>
      <c r="F126" s="234"/>
      <c r="G126" s="2"/>
      <c r="H126" s="2"/>
      <c r="I126" s="2"/>
      <c r="J126" s="2"/>
      <c r="K126" s="2"/>
      <c r="L126" s="2"/>
      <c r="M126" s="2"/>
      <c r="N126" s="2"/>
      <c r="O126" s="2"/>
      <c r="P126" s="2"/>
      <c r="Q126" s="2"/>
      <c r="R126" s="2"/>
    </row>
    <row r="127" spans="1:18" s="5" customFormat="1" ht="12.75" customHeight="1">
      <c r="A127" s="346"/>
      <c r="B127" s="346"/>
      <c r="C127" s="346"/>
      <c r="D127" s="346"/>
      <c r="E127" s="328"/>
      <c r="F127" s="234"/>
      <c r="G127" s="2"/>
      <c r="H127" s="2"/>
      <c r="I127" s="2"/>
      <c r="J127" s="2"/>
      <c r="K127" s="2"/>
      <c r="L127" s="2"/>
      <c r="M127" s="2"/>
      <c r="N127" s="2"/>
      <c r="O127" s="2"/>
      <c r="P127" s="2"/>
      <c r="Q127" s="2"/>
      <c r="R127" s="2"/>
    </row>
    <row r="128" spans="1:18" s="5" customFormat="1" ht="12.75" customHeight="1">
      <c r="A128" s="346"/>
      <c r="B128" s="346"/>
      <c r="C128" s="346"/>
      <c r="D128" s="346"/>
      <c r="E128" s="328"/>
      <c r="F128" s="234"/>
      <c r="G128" s="2"/>
      <c r="H128" s="2"/>
      <c r="I128" s="2"/>
      <c r="J128" s="2"/>
      <c r="K128" s="2"/>
      <c r="L128" s="2"/>
      <c r="M128" s="2"/>
      <c r="N128" s="2"/>
      <c r="O128" s="2"/>
      <c r="P128" s="2"/>
      <c r="Q128" s="2"/>
      <c r="R128" s="2"/>
    </row>
  </sheetData>
  <mergeCells count="5">
    <mergeCell ref="I10:J18"/>
    <mergeCell ref="A3:D3"/>
    <mergeCell ref="A5:D5"/>
    <mergeCell ref="A7:D7"/>
    <mergeCell ref="F10:H10"/>
  </mergeCells>
  <phoneticPr fontId="0" type="noConversion"/>
  <conditionalFormatting sqref="A121">
    <cfRule type="expression" dxfId="1" priority="1" stopIfTrue="1">
      <formula>$F$11=1</formula>
    </cfRule>
  </conditionalFormatting>
  <conditionalFormatting sqref="B121:E121">
    <cfRule type="expression" dxfId="0" priority="2" stopIfTrue="1">
      <formula>$F$11=1</formula>
    </cfRule>
  </conditionalFormatting>
  <pageMargins left="0.36" right="0.23" top="0.98425196850393704" bottom="0.98425196850393704" header="0.51181102362204722" footer="0.51181102362204722"/>
  <pageSetup paperSize="9" scale="60"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6</vt:i4>
      </vt:variant>
      <vt:variant>
        <vt:lpstr>Benoemde bereiken</vt:lpstr>
      </vt:variant>
      <vt:variant>
        <vt:i4>5</vt:i4>
      </vt:variant>
    </vt:vector>
  </HeadingPairs>
  <TitlesOfParts>
    <vt:vector size="11" baseType="lpstr">
      <vt:lpstr>4.Informatie</vt:lpstr>
      <vt:lpstr>5.Verdelingsmatrix lasten</vt:lpstr>
      <vt:lpstr>6.Verdelingsmatrix baten</vt:lpstr>
      <vt:lpstr>7.Balansstanden</vt:lpstr>
      <vt:lpstr>8.Akkoordverklaring</vt:lpstr>
      <vt:lpstr>9.Eindoordeel</vt:lpstr>
      <vt:lpstr>'4.Informatie'!Afdrukbereik</vt:lpstr>
      <vt:lpstr>'5.Verdelingsmatrix lasten'!Afdrukbereik</vt:lpstr>
      <vt:lpstr>'6.Verdelingsmatrix baten'!Afdrukbereik</vt:lpstr>
      <vt:lpstr>'8.Akkoordverklaring'!Afdrukbereik</vt:lpstr>
      <vt:lpstr>'9.Eindoordeel'!Afdrukbereik</vt:lpstr>
    </vt:vector>
  </TitlesOfParts>
  <Company>Bureau Kredo - CBS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iv3 provincie</dc:title>
  <dc:creator>Bureau Kredo</dc:creator>
  <cp:lastModifiedBy>cma207</cp:lastModifiedBy>
  <cp:lastPrinted>2014-02-10T11:15:35Z</cp:lastPrinted>
  <dcterms:created xsi:type="dcterms:W3CDTF">2003-06-19T13:24:40Z</dcterms:created>
  <dcterms:modified xsi:type="dcterms:W3CDTF">2014-03-10T11:06:07Z</dcterms:modified>
</cp:coreProperties>
</file>