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05" yWindow="-15" windowWidth="12510" windowHeight="11175" tabRatio="830" firstSheet="1" activeTab="6"/>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 name="9.Eindoordeel" sheetId="37" r:id="rId9"/>
  </sheets>
  <definedNames>
    <definedName name="_xlnm.Print_Area" localSheetId="1">'2.Adressering'!$A$1:$A$43</definedName>
    <definedName name="_xlnm.Print_Area" localSheetId="2">'3.Toelichting'!$A$1:$A$34</definedName>
    <definedName name="_xlnm.Print_Area" localSheetId="3">'4.Informatie'!$A$1:$J$38</definedName>
    <definedName name="_xlnm.Print_Area" localSheetId="4">'5.Verdelingsmatrix lasten'!$A$1:$AD$170</definedName>
    <definedName name="_xlnm.Print_Area" localSheetId="5">'6.Verdelingsmatrix baten'!$A$1:$AD$170</definedName>
    <definedName name="_xlnm.Print_Area" localSheetId="6">'7.Balansstanden'!$A$1:$I$71</definedName>
    <definedName name="_xlnm.Print_Area" localSheetId="7">'8.Akkoordverklaring'!$A$1:$C$41</definedName>
    <definedName name="_xlnm.Print_Area" localSheetId="8">'9.Eindoordeel'!$A$1:$J$143</definedName>
    <definedName name="_xlnm.Print_Titles" localSheetId="8">'9.Eindoordeel'!$1:$2</definedName>
    <definedName name="AS2DocOpenMode" hidden="1">"AS2DocumentEdit"</definedName>
  </definedNames>
  <calcPr calcId="145621"/>
</workbook>
</file>

<file path=xl/calcChain.xml><?xml version="1.0" encoding="utf-8"?>
<calcChain xmlns="http://schemas.openxmlformats.org/spreadsheetml/2006/main">
  <c r="H65" i="28" l="1"/>
  <c r="H47" i="28"/>
  <c r="S142" i="24"/>
  <c r="N52" i="24"/>
  <c r="AA159" i="25"/>
  <c r="Y153" i="25"/>
  <c r="S91" i="25"/>
  <c r="S13" i="25"/>
  <c r="S90" i="25"/>
  <c r="R110" i="25"/>
  <c r="S144" i="24" l="1"/>
  <c r="H49" i="28"/>
  <c r="F31" i="28" l="1"/>
  <c r="F26" i="28"/>
  <c r="F60" i="28"/>
  <c r="F51" i="28"/>
  <c r="F49" i="28"/>
  <c r="F47" i="28"/>
  <c r="F46" i="28"/>
  <c r="F16" i="28"/>
  <c r="F15" i="28"/>
  <c r="F13" i="28"/>
  <c r="F12" i="28"/>
  <c r="F66" i="28"/>
  <c r="F65" i="28"/>
  <c r="F40" i="28"/>
  <c r="F38" i="28"/>
  <c r="F37" i="28"/>
  <c r="F36" i="28"/>
  <c r="F35" i="28"/>
  <c r="F25" i="28"/>
  <c r="F24" i="28"/>
  <c r="F22" i="28"/>
  <c r="F18" i="28"/>
  <c r="H86" i="28" l="1"/>
  <c r="H85" i="28"/>
  <c r="H80" i="28"/>
  <c r="H79" i="28"/>
  <c r="F86" i="28"/>
  <c r="F85" i="28"/>
  <c r="F80" i="28"/>
  <c r="F79" i="28"/>
  <c r="H66" i="28" l="1"/>
  <c r="H25" i="28"/>
  <c r="H60" i="28"/>
  <c r="H51" i="28"/>
  <c r="H46" i="28"/>
  <c r="H36" i="28"/>
  <c r="H24" i="28"/>
  <c r="H40" i="28"/>
  <c r="H38" i="28"/>
  <c r="H37" i="28"/>
  <c r="H35" i="28"/>
  <c r="H31" i="28"/>
  <c r="H22" i="28"/>
  <c r="H18" i="28"/>
  <c r="H16" i="28"/>
  <c r="H15" i="28"/>
  <c r="H13" i="28"/>
  <c r="H12" i="28"/>
  <c r="AA134" i="24" l="1"/>
  <c r="S90" i="24"/>
  <c r="M27" i="24"/>
  <c r="AA160" i="25"/>
  <c r="S142" i="25"/>
  <c r="P23" i="25"/>
  <c r="N27" i="25"/>
  <c r="N23" i="25"/>
  <c r="I99" i="24"/>
  <c r="AC77" i="24"/>
  <c r="AC76" i="24"/>
  <c r="AC71" i="24"/>
  <c r="AC69" i="24"/>
  <c r="AC67" i="24"/>
  <c r="AC66" i="24"/>
  <c r="AC65" i="24"/>
  <c r="AC64" i="24"/>
  <c r="AC63" i="24"/>
  <c r="AC59" i="24"/>
  <c r="AC58" i="24"/>
  <c r="AC57" i="24"/>
  <c r="AC56" i="24"/>
  <c r="AC52" i="24"/>
  <c r="AC51" i="24"/>
  <c r="AC46" i="24"/>
  <c r="AC45" i="24"/>
  <c r="AC42" i="24"/>
  <c r="AC40" i="24"/>
  <c r="AC32" i="24"/>
  <c r="AC31" i="24"/>
  <c r="AC27" i="24"/>
  <c r="AC26" i="24"/>
  <c r="AC24" i="24"/>
  <c r="AC23" i="24"/>
  <c r="AC17" i="24"/>
  <c r="AC13" i="24"/>
  <c r="AC12" i="24"/>
  <c r="AC11" i="24"/>
  <c r="AC10" i="24"/>
  <c r="AC9" i="24"/>
  <c r="AC8" i="24"/>
  <c r="AC7" i="24"/>
  <c r="AC6" i="24"/>
  <c r="AC99" i="24"/>
  <c r="AB110" i="24"/>
  <c r="AA160" i="24"/>
  <c r="AA159" i="24"/>
  <c r="AA131" i="24"/>
  <c r="Z114" i="24"/>
  <c r="Y120" i="24"/>
  <c r="X159" i="24"/>
  <c r="V121" i="24"/>
  <c r="T136" i="24"/>
  <c r="T132" i="24"/>
  <c r="S76" i="24"/>
  <c r="S66" i="24"/>
  <c r="S57" i="24"/>
  <c r="S52" i="24"/>
  <c r="S51" i="24"/>
  <c r="S45" i="24"/>
  <c r="S42" i="24"/>
  <c r="S40" i="24"/>
  <c r="S31" i="24"/>
  <c r="S27" i="24"/>
  <c r="S26" i="24"/>
  <c r="S24" i="24"/>
  <c r="S23" i="24"/>
  <c r="S13" i="24"/>
  <c r="S12" i="24"/>
  <c r="S9" i="24"/>
  <c r="S6" i="24"/>
  <c r="S82" i="24"/>
  <c r="S145" i="24"/>
  <c r="S99" i="24"/>
  <c r="S128" i="24"/>
  <c r="S110" i="24"/>
  <c r="S109" i="24"/>
  <c r="S7" i="24"/>
  <c r="S141" i="24"/>
  <c r="S69" i="24"/>
  <c r="S65" i="24"/>
  <c r="S58" i="24"/>
  <c r="S86" i="24"/>
  <c r="S83" i="24"/>
  <c r="R83" i="24"/>
  <c r="R82" i="24"/>
  <c r="Q77" i="24"/>
  <c r="Q76" i="24"/>
  <c r="Q69" i="24"/>
  <c r="Q66" i="24"/>
  <c r="Q57" i="24"/>
  <c r="Q52" i="24"/>
  <c r="Q51" i="24"/>
  <c r="Q31" i="24"/>
  <c r="P77" i="24"/>
  <c r="P76" i="24"/>
  <c r="P66" i="24"/>
  <c r="P59" i="24"/>
  <c r="P57" i="24"/>
  <c r="P60" i="24" s="1"/>
  <c r="P52" i="24"/>
  <c r="P51" i="24"/>
  <c r="P31" i="24"/>
  <c r="P27" i="24"/>
  <c r="P24" i="24"/>
  <c r="P23" i="24"/>
  <c r="O77" i="24"/>
  <c r="O76" i="24"/>
  <c r="O71" i="24"/>
  <c r="O69" i="24"/>
  <c r="O67" i="24"/>
  <c r="O66" i="24"/>
  <c r="O65" i="24"/>
  <c r="O64" i="24"/>
  <c r="O63" i="24"/>
  <c r="O59" i="24"/>
  <c r="O57" i="24"/>
  <c r="O56" i="24"/>
  <c r="O52" i="24"/>
  <c r="O51" i="24"/>
  <c r="O42" i="24"/>
  <c r="O40" i="24"/>
  <c r="O31" i="24"/>
  <c r="O27" i="24"/>
  <c r="O23" i="24"/>
  <c r="O17" i="24"/>
  <c r="O12" i="24"/>
  <c r="O8" i="24"/>
  <c r="O6" i="24"/>
  <c r="O83" i="24"/>
  <c r="O145" i="24"/>
  <c r="O99" i="24"/>
  <c r="N77" i="24"/>
  <c r="N76" i="24"/>
  <c r="N71" i="24"/>
  <c r="AD71" i="24" s="1"/>
  <c r="N69" i="24"/>
  <c r="N67" i="24"/>
  <c r="N66" i="24"/>
  <c r="N63" i="24"/>
  <c r="N59" i="24"/>
  <c r="N57" i="24"/>
  <c r="AD57" i="24" s="1"/>
  <c r="N51" i="24"/>
  <c r="N42" i="24"/>
  <c r="N40" i="24"/>
  <c r="N31" i="24"/>
  <c r="N27" i="24"/>
  <c r="N26" i="24"/>
  <c r="N24" i="24"/>
  <c r="N23" i="24"/>
  <c r="N17" i="24"/>
  <c r="N13" i="24"/>
  <c r="N12" i="24"/>
  <c r="N9" i="24"/>
  <c r="N7" i="24"/>
  <c r="N99" i="24"/>
  <c r="M66" i="24"/>
  <c r="M28" i="24"/>
  <c r="L76" i="24"/>
  <c r="L52" i="24"/>
  <c r="L31" i="24"/>
  <c r="L26" i="24"/>
  <c r="AD26" i="24" s="1"/>
  <c r="L24" i="24"/>
  <c r="L13" i="24"/>
  <c r="L99" i="24"/>
  <c r="L110" i="24"/>
  <c r="K76" i="24"/>
  <c r="K26" i="24"/>
  <c r="K24" i="24"/>
  <c r="K110" i="24"/>
  <c r="J77" i="24"/>
  <c r="J76" i="24"/>
  <c r="J71" i="24"/>
  <c r="J66" i="24"/>
  <c r="J65" i="24"/>
  <c r="J64" i="24"/>
  <c r="AD64" i="24"/>
  <c r="J63" i="24"/>
  <c r="AD63" i="24" s="1"/>
  <c r="J59" i="24"/>
  <c r="J57" i="24"/>
  <c r="J56" i="24"/>
  <c r="J52" i="24"/>
  <c r="J51" i="24"/>
  <c r="J45" i="24"/>
  <c r="J42" i="24"/>
  <c r="J40" i="24"/>
  <c r="AD40" i="24"/>
  <c r="J32" i="24"/>
  <c r="AD32" i="24"/>
  <c r="J31" i="24"/>
  <c r="J27" i="24"/>
  <c r="J26" i="24"/>
  <c r="J24" i="24"/>
  <c r="J23" i="24"/>
  <c r="J17" i="24"/>
  <c r="J13" i="24"/>
  <c r="J12" i="24"/>
  <c r="J11" i="24"/>
  <c r="J10" i="24"/>
  <c r="J9" i="24"/>
  <c r="J7" i="24"/>
  <c r="J6" i="24"/>
  <c r="J145" i="24"/>
  <c r="J99" i="24"/>
  <c r="J128" i="24"/>
  <c r="J110" i="24"/>
  <c r="J109" i="24"/>
  <c r="I52" i="24"/>
  <c r="I45" i="24"/>
  <c r="I40" i="24"/>
  <c r="I31" i="24"/>
  <c r="AD31" i="24" s="1"/>
  <c r="I24" i="24"/>
  <c r="AD24" i="24"/>
  <c r="I13" i="24"/>
  <c r="I110" i="24"/>
  <c r="I109" i="24"/>
  <c r="H76" i="24"/>
  <c r="H24" i="24"/>
  <c r="H99" i="24"/>
  <c r="H110" i="24"/>
  <c r="H109" i="24"/>
  <c r="AD109" i="24" s="1"/>
  <c r="E78" i="37" s="1"/>
  <c r="G99" i="24"/>
  <c r="G112" i="24"/>
  <c r="G110" i="24"/>
  <c r="AD110" i="24" s="1"/>
  <c r="E79" i="37" s="1"/>
  <c r="F52" i="24"/>
  <c r="F110" i="24"/>
  <c r="E99" i="24"/>
  <c r="D6" i="24"/>
  <c r="D99" i="24"/>
  <c r="AC99" i="25"/>
  <c r="AB99" i="25"/>
  <c r="AA134" i="25"/>
  <c r="AD134" i="25"/>
  <c r="F100" i="37"/>
  <c r="AA131" i="25"/>
  <c r="Z58" i="25"/>
  <c r="Z114" i="25"/>
  <c r="Y120" i="25"/>
  <c r="X159" i="25"/>
  <c r="V121" i="25"/>
  <c r="T136" i="25"/>
  <c r="T133" i="25"/>
  <c r="T132" i="25"/>
  <c r="S76" i="25"/>
  <c r="S57" i="25"/>
  <c r="S31" i="25"/>
  <c r="S26" i="25"/>
  <c r="S24" i="25"/>
  <c r="S84" i="25"/>
  <c r="S92" i="25" s="1"/>
  <c r="S82" i="25"/>
  <c r="S99" i="25"/>
  <c r="S128" i="25"/>
  <c r="S110" i="25"/>
  <c r="S109" i="25"/>
  <c r="S42" i="25"/>
  <c r="S12" i="25"/>
  <c r="S7" i="25"/>
  <c r="S145" i="25"/>
  <c r="S144" i="25"/>
  <c r="S141" i="25"/>
  <c r="S83" i="25"/>
  <c r="S122" i="25"/>
  <c r="S112" i="25"/>
  <c r="R77" i="25"/>
  <c r="R76" i="25"/>
  <c r="R69" i="25"/>
  <c r="R66" i="25"/>
  <c r="R58" i="25"/>
  <c r="R31" i="25"/>
  <c r="R83" i="25"/>
  <c r="R82" i="25"/>
  <c r="R47" i="25"/>
  <c r="Q24" i="25"/>
  <c r="Q110" i="25"/>
  <c r="P77" i="25"/>
  <c r="AD77" i="25" s="1"/>
  <c r="P76" i="25"/>
  <c r="P66" i="25"/>
  <c r="P27" i="25"/>
  <c r="P24" i="25"/>
  <c r="P110" i="25"/>
  <c r="O76" i="25"/>
  <c r="O59" i="25"/>
  <c r="O51" i="25"/>
  <c r="O45" i="25"/>
  <c r="O40" i="25"/>
  <c r="O31" i="25"/>
  <c r="O27" i="25"/>
  <c r="O26" i="25"/>
  <c r="O24" i="25"/>
  <c r="O13" i="25"/>
  <c r="O84" i="25"/>
  <c r="O99" i="25"/>
  <c r="N76" i="25"/>
  <c r="N71" i="25"/>
  <c r="N67" i="25"/>
  <c r="N66" i="25"/>
  <c r="N59" i="25"/>
  <c r="N57" i="25"/>
  <c r="N52" i="25"/>
  <c r="N51" i="25"/>
  <c r="N45" i="25"/>
  <c r="N42" i="25"/>
  <c r="N40" i="25"/>
  <c r="N31" i="25"/>
  <c r="N26" i="25"/>
  <c r="N24" i="25"/>
  <c r="N13" i="25"/>
  <c r="N7" i="25"/>
  <c r="N84" i="25"/>
  <c r="N99" i="25"/>
  <c r="N110" i="25"/>
  <c r="M58" i="25"/>
  <c r="M86" i="25"/>
  <c r="L76" i="25"/>
  <c r="L56" i="25"/>
  <c r="L52" i="25"/>
  <c r="L45" i="25"/>
  <c r="L40" i="25"/>
  <c r="L26" i="25"/>
  <c r="L24" i="25"/>
  <c r="L17" i="25"/>
  <c r="L13" i="25"/>
  <c r="AD13" i="25"/>
  <c r="L12" i="25"/>
  <c r="L11" i="25"/>
  <c r="L7" i="25"/>
  <c r="L99" i="25"/>
  <c r="L110" i="25"/>
  <c r="K76" i="25"/>
  <c r="K52" i="25"/>
  <c r="K26" i="25"/>
  <c r="K24" i="25"/>
  <c r="K13" i="25"/>
  <c r="K110" i="25"/>
  <c r="J76" i="25"/>
  <c r="J26" i="25"/>
  <c r="J13" i="25"/>
  <c r="J99" i="25"/>
  <c r="J110" i="25"/>
  <c r="I99" i="25"/>
  <c r="I100" i="25" s="1"/>
  <c r="H76" i="25"/>
  <c r="H109" i="25"/>
  <c r="G76" i="25"/>
  <c r="AD76" i="25"/>
  <c r="G52" i="25"/>
  <c r="G110" i="25"/>
  <c r="F46" i="25"/>
  <c r="F45" i="25"/>
  <c r="AD45" i="25" s="1"/>
  <c r="F31" i="25"/>
  <c r="F26" i="25"/>
  <c r="AD26" i="25" s="1"/>
  <c r="F24" i="25"/>
  <c r="F13" i="25"/>
  <c r="F110" i="25"/>
  <c r="E85" i="25"/>
  <c r="A1" i="30"/>
  <c r="B74" i="37"/>
  <c r="I74" i="37" s="1"/>
  <c r="C74" i="37"/>
  <c r="B75" i="37"/>
  <c r="C75" i="37"/>
  <c r="B76" i="37"/>
  <c r="I76" i="37" s="1"/>
  <c r="C76" i="37"/>
  <c r="B77" i="37"/>
  <c r="I77" i="37" s="1"/>
  <c r="C77" i="37"/>
  <c r="B78" i="37"/>
  <c r="I78" i="37" s="1"/>
  <c r="C78" i="37"/>
  <c r="B79" i="37"/>
  <c r="C79" i="37"/>
  <c r="B80" i="37"/>
  <c r="I80" i="37" s="1"/>
  <c r="C80" i="37"/>
  <c r="B81" i="37"/>
  <c r="I81" i="37" s="1"/>
  <c r="C81" i="37"/>
  <c r="B82" i="37"/>
  <c r="C82" i="37"/>
  <c r="B83" i="37"/>
  <c r="C83" i="37"/>
  <c r="B84" i="37"/>
  <c r="I84" i="37" s="1"/>
  <c r="C84" i="37"/>
  <c r="B85" i="37"/>
  <c r="I85" i="37" s="1"/>
  <c r="C85" i="37"/>
  <c r="B86" i="37"/>
  <c r="C86" i="37"/>
  <c r="B87" i="37"/>
  <c r="C87" i="37"/>
  <c r="B88" i="37"/>
  <c r="C88" i="37"/>
  <c r="B89" i="37"/>
  <c r="C89" i="37"/>
  <c r="B90" i="37"/>
  <c r="C90" i="37"/>
  <c r="B91" i="37"/>
  <c r="C91" i="37"/>
  <c r="B92" i="37"/>
  <c r="C92" i="37"/>
  <c r="B93" i="37"/>
  <c r="C93" i="37"/>
  <c r="B94" i="37"/>
  <c r="C94" i="37"/>
  <c r="B95" i="37"/>
  <c r="C95" i="37"/>
  <c r="B96" i="37"/>
  <c r="C96" i="37"/>
  <c r="B97" i="37"/>
  <c r="C97" i="37"/>
  <c r="D97" i="37" s="1"/>
  <c r="H97" i="37" s="1"/>
  <c r="B98" i="37"/>
  <c r="C98" i="37"/>
  <c r="B99" i="37"/>
  <c r="C99" i="37"/>
  <c r="B100" i="37"/>
  <c r="C100" i="37"/>
  <c r="B101" i="37"/>
  <c r="C101" i="37"/>
  <c r="B102" i="37"/>
  <c r="C102" i="37"/>
  <c r="D102" i="37" s="1"/>
  <c r="H102" i="37" s="1"/>
  <c r="B103" i="37"/>
  <c r="C103" i="37"/>
  <c r="B104" i="37"/>
  <c r="C104" i="37"/>
  <c r="B105" i="37"/>
  <c r="C105" i="37"/>
  <c r="B106" i="37"/>
  <c r="C106" i="37"/>
  <c r="D106" i="37" s="1"/>
  <c r="B107" i="37"/>
  <c r="C107" i="37"/>
  <c r="B108" i="37"/>
  <c r="C108" i="37"/>
  <c r="B109" i="37"/>
  <c r="C109" i="37"/>
  <c r="B110" i="37"/>
  <c r="C110" i="37"/>
  <c r="B111" i="37"/>
  <c r="C111" i="37"/>
  <c r="B112" i="37"/>
  <c r="C112" i="37"/>
  <c r="B113" i="37"/>
  <c r="C113" i="37"/>
  <c r="B114" i="37"/>
  <c r="C114" i="37"/>
  <c r="D114" i="37" s="1"/>
  <c r="B115" i="37"/>
  <c r="C115" i="37"/>
  <c r="B116" i="37"/>
  <c r="C116" i="37"/>
  <c r="B117" i="37"/>
  <c r="C117" i="37"/>
  <c r="D117" i="37" s="1"/>
  <c r="B118" i="37"/>
  <c r="C118" i="37"/>
  <c r="D118" i="37" s="1"/>
  <c r="B119" i="37"/>
  <c r="C119" i="37"/>
  <c r="B120" i="37"/>
  <c r="C120" i="37"/>
  <c r="D74" i="37"/>
  <c r="AD105" i="24"/>
  <c r="E74" i="37" s="1"/>
  <c r="AD105" i="25"/>
  <c r="F74" i="37"/>
  <c r="G74" i="37"/>
  <c r="D78" i="37"/>
  <c r="D82" i="37"/>
  <c r="D89" i="37"/>
  <c r="D101" i="37"/>
  <c r="D105" i="37"/>
  <c r="D110" i="37"/>
  <c r="R14" i="24"/>
  <c r="R20" i="24"/>
  <c r="R28" i="24"/>
  <c r="R37" i="24"/>
  <c r="R47" i="24"/>
  <c r="R53" i="24"/>
  <c r="R60" i="24"/>
  <c r="R72" i="24"/>
  <c r="R79" i="24"/>
  <c r="R92" i="24"/>
  <c r="B38" i="37"/>
  <c r="C38" i="37"/>
  <c r="D38" i="37"/>
  <c r="E38" i="37"/>
  <c r="F38" i="37"/>
  <c r="B39" i="37"/>
  <c r="C39" i="37"/>
  <c r="D39" i="37"/>
  <c r="E39" i="37"/>
  <c r="B40" i="37"/>
  <c r="C40" i="37"/>
  <c r="D40" i="37"/>
  <c r="E40" i="37"/>
  <c r="B41" i="37"/>
  <c r="C41" i="37"/>
  <c r="F41" i="37" s="1"/>
  <c r="D41" i="37"/>
  <c r="E41" i="37"/>
  <c r="B42" i="37"/>
  <c r="C42" i="37"/>
  <c r="D42" i="37"/>
  <c r="E42" i="37"/>
  <c r="F42" i="37"/>
  <c r="B43" i="37"/>
  <c r="C43" i="37"/>
  <c r="F43" i="37" s="1"/>
  <c r="D43" i="37"/>
  <c r="E43" i="37"/>
  <c r="B44" i="37"/>
  <c r="C44" i="37"/>
  <c r="F44" i="37" s="1"/>
  <c r="D44" i="37"/>
  <c r="E44" i="37"/>
  <c r="B45" i="37"/>
  <c r="C45" i="37"/>
  <c r="F45" i="37" s="1"/>
  <c r="D45" i="37"/>
  <c r="E45" i="37"/>
  <c r="B46" i="37"/>
  <c r="C46" i="37"/>
  <c r="D46" i="37"/>
  <c r="E46" i="37"/>
  <c r="F46" i="37"/>
  <c r="B47" i="37"/>
  <c r="C47" i="37"/>
  <c r="F47" i="37" s="1"/>
  <c r="D47" i="37"/>
  <c r="E47" i="37"/>
  <c r="B48" i="37"/>
  <c r="C48" i="37"/>
  <c r="D48" i="37"/>
  <c r="E48" i="37"/>
  <c r="B49" i="37"/>
  <c r="C49" i="37"/>
  <c r="F49" i="37" s="1"/>
  <c r="D49" i="37"/>
  <c r="E49" i="37"/>
  <c r="B50" i="37"/>
  <c r="C50" i="37"/>
  <c r="D50" i="37"/>
  <c r="E50" i="37"/>
  <c r="F50" i="37"/>
  <c r="B51" i="37"/>
  <c r="C51" i="37"/>
  <c r="D51" i="37"/>
  <c r="E51" i="37"/>
  <c r="B52" i="37"/>
  <c r="C52" i="37"/>
  <c r="F52" i="37" s="1"/>
  <c r="D52" i="37"/>
  <c r="E52" i="37"/>
  <c r="B53" i="37"/>
  <c r="C53" i="37"/>
  <c r="F53" i="37" s="1"/>
  <c r="D53" i="37"/>
  <c r="E53" i="37"/>
  <c r="B54" i="37"/>
  <c r="C54" i="37"/>
  <c r="D54" i="37"/>
  <c r="E54" i="37"/>
  <c r="F54" i="37"/>
  <c r="B55" i="37"/>
  <c r="C55" i="37"/>
  <c r="D55" i="37"/>
  <c r="E55" i="37"/>
  <c r="B56" i="37"/>
  <c r="C56" i="37"/>
  <c r="D56" i="37"/>
  <c r="E56" i="37"/>
  <c r="B57" i="37"/>
  <c r="C57" i="37"/>
  <c r="F57" i="37" s="1"/>
  <c r="D57" i="37"/>
  <c r="E57" i="37"/>
  <c r="B58" i="37"/>
  <c r="C58" i="37"/>
  <c r="D58" i="37"/>
  <c r="E58" i="37"/>
  <c r="F58" i="37"/>
  <c r="B59" i="37"/>
  <c r="C59" i="37"/>
  <c r="F59" i="37" s="1"/>
  <c r="D59" i="37"/>
  <c r="E59" i="37"/>
  <c r="B60" i="37"/>
  <c r="C60" i="37"/>
  <c r="F60" i="37" s="1"/>
  <c r="D60" i="37"/>
  <c r="E60" i="37"/>
  <c r="B61" i="37"/>
  <c r="C61" i="37"/>
  <c r="F61" i="37" s="1"/>
  <c r="D61" i="37"/>
  <c r="E61" i="37"/>
  <c r="B62" i="37"/>
  <c r="C62" i="37"/>
  <c r="D62" i="37"/>
  <c r="E62" i="37"/>
  <c r="F62" i="37"/>
  <c r="B63" i="37"/>
  <c r="C63" i="37"/>
  <c r="F63" i="37" s="1"/>
  <c r="D63" i="37"/>
  <c r="E63" i="37"/>
  <c r="B64" i="37"/>
  <c r="C64" i="37"/>
  <c r="D64" i="37"/>
  <c r="E64" i="37"/>
  <c r="T92" i="24"/>
  <c r="U92" i="24"/>
  <c r="V92" i="24"/>
  <c r="V123" i="24"/>
  <c r="AA14" i="24"/>
  <c r="AA20" i="24"/>
  <c r="AA28" i="24"/>
  <c r="AA37" i="24"/>
  <c r="AA47" i="24"/>
  <c r="AA53" i="24"/>
  <c r="AA60" i="24"/>
  <c r="AA72" i="24"/>
  <c r="AA79" i="24"/>
  <c r="V123" i="25"/>
  <c r="I5" i="23"/>
  <c r="F69" i="28"/>
  <c r="B1" i="28"/>
  <c r="B3" i="23"/>
  <c r="H70" i="28"/>
  <c r="H69" i="28"/>
  <c r="F70" i="28"/>
  <c r="C161" i="25"/>
  <c r="D161" i="25"/>
  <c r="E161" i="25"/>
  <c r="F161" i="25"/>
  <c r="G161" i="25"/>
  <c r="H161" i="25"/>
  <c r="I161" i="25"/>
  <c r="J161" i="25"/>
  <c r="K161" i="25"/>
  <c r="L161" i="25"/>
  <c r="M161" i="25"/>
  <c r="N161" i="25"/>
  <c r="O161" i="25"/>
  <c r="P161" i="25"/>
  <c r="Q161" i="25"/>
  <c r="R161" i="25"/>
  <c r="S161" i="25"/>
  <c r="T161" i="25"/>
  <c r="U161" i="25"/>
  <c r="V161" i="25"/>
  <c r="W161" i="25"/>
  <c r="X161" i="25"/>
  <c r="Y161" i="25"/>
  <c r="Z161" i="25"/>
  <c r="AA161" i="25"/>
  <c r="AA163" i="25" s="1"/>
  <c r="AB161" i="25"/>
  <c r="AC161" i="25"/>
  <c r="AD160" i="25"/>
  <c r="F120" i="37"/>
  <c r="AD159" i="25"/>
  <c r="F119" i="37" s="1"/>
  <c r="G119" i="37" s="1"/>
  <c r="AD158" i="25"/>
  <c r="F118" i="37"/>
  <c r="AD157" i="25"/>
  <c r="F117" i="37"/>
  <c r="AD153" i="25"/>
  <c r="F116" i="37" s="1"/>
  <c r="AD152" i="25"/>
  <c r="F115" i="37"/>
  <c r="AD151" i="25"/>
  <c r="F114" i="37" s="1"/>
  <c r="AD150" i="25"/>
  <c r="F113" i="37"/>
  <c r="AD149" i="25"/>
  <c r="F112" i="37"/>
  <c r="AD148" i="25"/>
  <c r="F111" i="37"/>
  <c r="AD147" i="25"/>
  <c r="F110" i="37"/>
  <c r="AD146" i="25"/>
  <c r="F109" i="37"/>
  <c r="AD145" i="25"/>
  <c r="F108" i="37"/>
  <c r="AD144" i="25"/>
  <c r="F107" i="37"/>
  <c r="AD143" i="25"/>
  <c r="F106" i="37"/>
  <c r="AD142" i="25"/>
  <c r="F105" i="37"/>
  <c r="AD141" i="25"/>
  <c r="F104" i="37"/>
  <c r="AD137" i="25"/>
  <c r="F103" i="37"/>
  <c r="AD136" i="25"/>
  <c r="F102" i="37"/>
  <c r="AD135" i="25"/>
  <c r="F101" i="37"/>
  <c r="AD133" i="25"/>
  <c r="F99" i="37"/>
  <c r="AD132" i="25"/>
  <c r="F98" i="37"/>
  <c r="AD131" i="25"/>
  <c r="F97" i="37"/>
  <c r="AD130" i="25"/>
  <c r="F96" i="37"/>
  <c r="AD129" i="25"/>
  <c r="F95" i="37"/>
  <c r="AD128" i="25"/>
  <c r="F94" i="37"/>
  <c r="AD127" i="25"/>
  <c r="F93" i="37"/>
  <c r="AD126" i="25"/>
  <c r="F92" i="37"/>
  <c r="AD122" i="25"/>
  <c r="F91" i="37"/>
  <c r="AD121" i="25"/>
  <c r="F90" i="37" s="1"/>
  <c r="AD120" i="25"/>
  <c r="F89" i="37"/>
  <c r="AD119" i="25"/>
  <c r="F88" i="37" s="1"/>
  <c r="AD118" i="25"/>
  <c r="F87" i="37"/>
  <c r="AD117" i="25"/>
  <c r="F86" i="37" s="1"/>
  <c r="AD116" i="25"/>
  <c r="F85" i="37"/>
  <c r="AD115" i="25"/>
  <c r="F84" i="37" s="1"/>
  <c r="AD114" i="25"/>
  <c r="F83" i="37"/>
  <c r="AD113" i="25"/>
  <c r="F82" i="37" s="1"/>
  <c r="AD112" i="25"/>
  <c r="F81" i="37"/>
  <c r="AD111" i="25"/>
  <c r="F80" i="37" s="1"/>
  <c r="AD109" i="25"/>
  <c r="F78" i="37"/>
  <c r="AD108" i="25"/>
  <c r="F77" i="37" s="1"/>
  <c r="AD107" i="25"/>
  <c r="F76" i="37"/>
  <c r="AD106" i="25"/>
  <c r="F75" i="37" s="1"/>
  <c r="AD99" i="25"/>
  <c r="AD98" i="25"/>
  <c r="AD91" i="25"/>
  <c r="AD90" i="25"/>
  <c r="AD89" i="25"/>
  <c r="AD88" i="25"/>
  <c r="AD87" i="25"/>
  <c r="AD86" i="25"/>
  <c r="AD85" i="25"/>
  <c r="AD84" i="25"/>
  <c r="AD82" i="25"/>
  <c r="AD78" i="25"/>
  <c r="AD75" i="25"/>
  <c r="AD71" i="25"/>
  <c r="AD70" i="25"/>
  <c r="AD69" i="25"/>
  <c r="AD68" i="25"/>
  <c r="AD67" i="25"/>
  <c r="AD66" i="25"/>
  <c r="AD65" i="25"/>
  <c r="AD64" i="25"/>
  <c r="AD63" i="25"/>
  <c r="AD59" i="25"/>
  <c r="AD58" i="25"/>
  <c r="AD57" i="25"/>
  <c r="AD56" i="25"/>
  <c r="AD52" i="25"/>
  <c r="AD51" i="25"/>
  <c r="AD50" i="25"/>
  <c r="AD46" i="25"/>
  <c r="AD44" i="25"/>
  <c r="AD43" i="25"/>
  <c r="AD42" i="25"/>
  <c r="AD41" i="25"/>
  <c r="AD36" i="25"/>
  <c r="AD35" i="25"/>
  <c r="AD34" i="25"/>
  <c r="AD33" i="25"/>
  <c r="AD32" i="25"/>
  <c r="AD31" i="25"/>
  <c r="AD27" i="25"/>
  <c r="AD25" i="25"/>
  <c r="AD24" i="25"/>
  <c r="AD23" i="25"/>
  <c r="AD19" i="25"/>
  <c r="AD18" i="25"/>
  <c r="AD17" i="25"/>
  <c r="AD12" i="25"/>
  <c r="AD11" i="25"/>
  <c r="AD10" i="25"/>
  <c r="AD9" i="25"/>
  <c r="AD8" i="25"/>
  <c r="AD7" i="25"/>
  <c r="AD6" i="25"/>
  <c r="C14" i="25"/>
  <c r="C20" i="25"/>
  <c r="C28" i="25"/>
  <c r="C37" i="25"/>
  <c r="C47" i="25"/>
  <c r="C53" i="25"/>
  <c r="C60" i="25"/>
  <c r="C72" i="25"/>
  <c r="C79" i="25"/>
  <c r="C92" i="25"/>
  <c r="C100" i="25"/>
  <c r="C123" i="25"/>
  <c r="C138" i="25"/>
  <c r="C154" i="25"/>
  <c r="AD160" i="24"/>
  <c r="E120" i="37" s="1"/>
  <c r="G120" i="37" s="1"/>
  <c r="AD159" i="24"/>
  <c r="E119" i="37" s="1"/>
  <c r="AD158" i="24"/>
  <c r="E118" i="37"/>
  <c r="G118" i="37" s="1"/>
  <c r="AD157" i="24"/>
  <c r="E117" i="37" s="1"/>
  <c r="G117" i="37" s="1"/>
  <c r="AD153" i="24"/>
  <c r="E116" i="37"/>
  <c r="AD152" i="24"/>
  <c r="E115" i="37" s="1"/>
  <c r="G115" i="37" s="1"/>
  <c r="AD151" i="24"/>
  <c r="E114" i="37"/>
  <c r="AD150" i="24"/>
  <c r="E113" i="37" s="1"/>
  <c r="G113" i="37" s="1"/>
  <c r="AD149" i="24"/>
  <c r="E112" i="37"/>
  <c r="G112" i="37" s="1"/>
  <c r="AD148" i="24"/>
  <c r="E111" i="37" s="1"/>
  <c r="G111" i="37" s="1"/>
  <c r="AD147" i="24"/>
  <c r="E110" i="37"/>
  <c r="G110" i="37" s="1"/>
  <c r="AD146" i="24"/>
  <c r="E109" i="37" s="1"/>
  <c r="G109" i="37" s="1"/>
  <c r="AD145" i="24"/>
  <c r="E108" i="37"/>
  <c r="AD144" i="24"/>
  <c r="E107" i="37" s="1"/>
  <c r="G107" i="37" s="1"/>
  <c r="AD143" i="24"/>
  <c r="E106" i="37" s="1"/>
  <c r="G106" i="37" s="1"/>
  <c r="AD142" i="24"/>
  <c r="E105" i="37" s="1"/>
  <c r="G105" i="37" s="1"/>
  <c r="H105" i="37" s="1"/>
  <c r="AD141" i="24"/>
  <c r="E104" i="37" s="1"/>
  <c r="AD137" i="24"/>
  <c r="E103" i="37" s="1"/>
  <c r="G103" i="37" s="1"/>
  <c r="AD136" i="24"/>
  <c r="E102" i="37"/>
  <c r="AD135" i="24"/>
  <c r="E101" i="37" s="1"/>
  <c r="G101" i="37"/>
  <c r="AD134" i="24"/>
  <c r="E100" i="37" s="1"/>
  <c r="G100" i="37" s="1"/>
  <c r="AD133" i="24"/>
  <c r="E99" i="37" s="1"/>
  <c r="G99" i="37" s="1"/>
  <c r="AD132" i="24"/>
  <c r="E98" i="37" s="1"/>
  <c r="G98" i="37" s="1"/>
  <c r="AD131" i="24"/>
  <c r="E97" i="37" s="1"/>
  <c r="AD130" i="24"/>
  <c r="E96" i="37"/>
  <c r="G96" i="37" s="1"/>
  <c r="AD129" i="24"/>
  <c r="E95" i="37" s="1"/>
  <c r="G95" i="37" s="1"/>
  <c r="AD128" i="24"/>
  <c r="E94" i="37"/>
  <c r="AD127" i="24"/>
  <c r="E93" i="37" s="1"/>
  <c r="G93" i="37"/>
  <c r="AD126" i="24"/>
  <c r="E92" i="37" s="1"/>
  <c r="G92" i="37" s="1"/>
  <c r="AD122" i="24"/>
  <c r="E91" i="37" s="1"/>
  <c r="AD121" i="24"/>
  <c r="E90" i="37" s="1"/>
  <c r="G90" i="37" s="1"/>
  <c r="AD120" i="24"/>
  <c r="E89" i="37" s="1"/>
  <c r="AD119" i="24"/>
  <c r="E88" i="37"/>
  <c r="G88" i="37" s="1"/>
  <c r="AD118" i="24"/>
  <c r="E87" i="37" s="1"/>
  <c r="G87" i="37" s="1"/>
  <c r="AD117" i="24"/>
  <c r="E86" i="37"/>
  <c r="G86" i="37" s="1"/>
  <c r="AD116" i="24"/>
  <c r="E85" i="37" s="1"/>
  <c r="G85" i="37" s="1"/>
  <c r="AD115" i="24"/>
  <c r="E84" i="37"/>
  <c r="G84" i="37" s="1"/>
  <c r="AD114" i="24"/>
  <c r="E83" i="37" s="1"/>
  <c r="G83" i="37" s="1"/>
  <c r="AD113" i="24"/>
  <c r="E82" i="37" s="1"/>
  <c r="G82" i="37" s="1"/>
  <c r="AD112" i="24"/>
  <c r="E81" i="37" s="1"/>
  <c r="AD111" i="24"/>
  <c r="E80" i="37" s="1"/>
  <c r="AD108" i="24"/>
  <c r="E77" i="37"/>
  <c r="G77" i="37" s="1"/>
  <c r="AD107" i="24"/>
  <c r="E76" i="37" s="1"/>
  <c r="G76" i="37" s="1"/>
  <c r="AD106" i="24"/>
  <c r="E75" i="37"/>
  <c r="G75" i="37" s="1"/>
  <c r="AD99" i="24"/>
  <c r="AD98" i="24"/>
  <c r="AD91" i="24"/>
  <c r="AD90" i="24"/>
  <c r="AD89" i="24"/>
  <c r="AD88" i="24"/>
  <c r="AD87" i="24"/>
  <c r="AD86" i="24"/>
  <c r="AD85" i="24"/>
  <c r="AD84" i="24"/>
  <c r="AD83" i="24"/>
  <c r="AD82" i="24"/>
  <c r="AD78" i="24"/>
  <c r="AD77" i="24"/>
  <c r="AD76" i="24"/>
  <c r="AD75" i="24"/>
  <c r="AD70" i="24"/>
  <c r="AD69" i="24"/>
  <c r="AD68" i="24"/>
  <c r="AD67" i="24"/>
  <c r="AD66" i="24"/>
  <c r="AD65" i="24"/>
  <c r="AD59" i="24"/>
  <c r="AD58" i="24"/>
  <c r="AD56" i="24"/>
  <c r="AD51" i="24"/>
  <c r="AD50" i="24"/>
  <c r="AD46" i="24"/>
  <c r="AD45" i="24"/>
  <c r="AD44" i="24"/>
  <c r="AD43" i="24"/>
  <c r="AD42" i="24"/>
  <c r="AD41" i="24"/>
  <c r="AD36" i="24"/>
  <c r="AD35" i="24"/>
  <c r="AD34" i="24"/>
  <c r="AD33" i="24"/>
  <c r="AD27" i="24"/>
  <c r="AD25" i="24"/>
  <c r="AD23" i="24"/>
  <c r="AD19" i="24"/>
  <c r="AD18" i="24"/>
  <c r="AD17" i="24"/>
  <c r="AD13" i="24"/>
  <c r="AD12" i="24"/>
  <c r="AD11" i="24"/>
  <c r="AD10" i="24"/>
  <c r="AD9" i="24"/>
  <c r="AD8" i="24"/>
  <c r="AD7" i="24"/>
  <c r="AD6" i="24"/>
  <c r="C14" i="24"/>
  <c r="C20" i="24"/>
  <c r="C94" i="24" s="1"/>
  <c r="C28" i="24"/>
  <c r="C37" i="24"/>
  <c r="C47" i="24"/>
  <c r="C53" i="24"/>
  <c r="C60" i="24"/>
  <c r="C72" i="24"/>
  <c r="C79" i="24"/>
  <c r="C92" i="24"/>
  <c r="C100" i="24"/>
  <c r="C123" i="24"/>
  <c r="C138" i="24"/>
  <c r="C154" i="24"/>
  <c r="C161" i="24"/>
  <c r="D92" i="25"/>
  <c r="E92" i="25"/>
  <c r="F92" i="25"/>
  <c r="G92" i="25"/>
  <c r="H92" i="25"/>
  <c r="I92" i="25"/>
  <c r="J92" i="25"/>
  <c r="K92" i="25"/>
  <c r="L92" i="25"/>
  <c r="M92" i="25"/>
  <c r="N92" i="25"/>
  <c r="O92" i="25"/>
  <c r="P92" i="25"/>
  <c r="Q92" i="25"/>
  <c r="R92" i="25"/>
  <c r="T92" i="25"/>
  <c r="U92" i="25"/>
  <c r="V92" i="25"/>
  <c r="W92" i="25"/>
  <c r="X92" i="25"/>
  <c r="Y92" i="25"/>
  <c r="Z92" i="25"/>
  <c r="AA92" i="25"/>
  <c r="AB92" i="25"/>
  <c r="AC92" i="25"/>
  <c r="D92" i="24"/>
  <c r="E92" i="24"/>
  <c r="F92" i="24"/>
  <c r="G92" i="24"/>
  <c r="H92" i="24"/>
  <c r="I92" i="24"/>
  <c r="J92" i="24"/>
  <c r="K92" i="24"/>
  <c r="L92" i="24"/>
  <c r="M92" i="24"/>
  <c r="N92" i="24"/>
  <c r="O92" i="24"/>
  <c r="P92" i="24"/>
  <c r="Q92" i="24"/>
  <c r="S92" i="24"/>
  <c r="W92" i="24"/>
  <c r="X92" i="24"/>
  <c r="Y92" i="24"/>
  <c r="Z92" i="24"/>
  <c r="AA92" i="24"/>
  <c r="AA94" i="24"/>
  <c r="AB92" i="24"/>
  <c r="AC92" i="24"/>
  <c r="D154" i="25"/>
  <c r="E154" i="25"/>
  <c r="F154" i="25"/>
  <c r="G154" i="25"/>
  <c r="H154" i="25"/>
  <c r="I154" i="25"/>
  <c r="J154" i="25"/>
  <c r="K154" i="25"/>
  <c r="L154" i="25"/>
  <c r="M154" i="25"/>
  <c r="N154" i="25"/>
  <c r="O154" i="25"/>
  <c r="P154" i="25"/>
  <c r="Q154" i="25"/>
  <c r="R154" i="25"/>
  <c r="S154" i="25"/>
  <c r="T154" i="25"/>
  <c r="U154" i="25"/>
  <c r="V154" i="25"/>
  <c r="W154" i="25"/>
  <c r="X154" i="25"/>
  <c r="Y154" i="25"/>
  <c r="Y163" i="25" s="1"/>
  <c r="Z154" i="25"/>
  <c r="AA154" i="25"/>
  <c r="AB154" i="25"/>
  <c r="AC154" i="25"/>
  <c r="D138" i="25"/>
  <c r="E138" i="25"/>
  <c r="F138" i="25"/>
  <c r="G138" i="25"/>
  <c r="H138" i="25"/>
  <c r="I138" i="25"/>
  <c r="J138" i="25"/>
  <c r="K138" i="25"/>
  <c r="L138" i="25"/>
  <c r="M138" i="25"/>
  <c r="N138" i="25"/>
  <c r="O138" i="25"/>
  <c r="P138" i="25"/>
  <c r="Q138" i="25"/>
  <c r="R138" i="25"/>
  <c r="S138" i="25"/>
  <c r="T138" i="25"/>
  <c r="U138" i="25"/>
  <c r="V138" i="25"/>
  <c r="V163" i="25"/>
  <c r="W138" i="25"/>
  <c r="X138" i="25"/>
  <c r="Y138" i="25"/>
  <c r="Z138" i="25"/>
  <c r="AB138" i="25"/>
  <c r="AC138" i="25"/>
  <c r="D123" i="25"/>
  <c r="D163" i="25" s="1"/>
  <c r="E123" i="25"/>
  <c r="E163" i="25" s="1"/>
  <c r="G123" i="25"/>
  <c r="G163" i="25"/>
  <c r="H123" i="25"/>
  <c r="H163" i="25" s="1"/>
  <c r="I123" i="25"/>
  <c r="I163" i="25" s="1"/>
  <c r="J123" i="25"/>
  <c r="J163" i="25" s="1"/>
  <c r="K123" i="25"/>
  <c r="K163" i="25"/>
  <c r="L123" i="25"/>
  <c r="L163" i="25" s="1"/>
  <c r="M123" i="25"/>
  <c r="M163" i="25" s="1"/>
  <c r="N123" i="25"/>
  <c r="N163" i="25" s="1"/>
  <c r="O123" i="25"/>
  <c r="O163" i="25"/>
  <c r="P123" i="25"/>
  <c r="P163" i="25" s="1"/>
  <c r="Q123" i="25"/>
  <c r="Q163" i="25" s="1"/>
  <c r="R123" i="25"/>
  <c r="R163" i="25" s="1"/>
  <c r="S123" i="25"/>
  <c r="T123" i="25"/>
  <c r="T163" i="25" s="1"/>
  <c r="U123" i="25"/>
  <c r="W123" i="25"/>
  <c r="W163" i="25" s="1"/>
  <c r="X123" i="25"/>
  <c r="X163" i="25" s="1"/>
  <c r="Y123" i="25"/>
  <c r="Z123" i="25"/>
  <c r="Z163" i="25" s="1"/>
  <c r="AA123" i="25"/>
  <c r="AB123" i="25"/>
  <c r="AB163" i="25"/>
  <c r="AC123" i="25"/>
  <c r="AC163" i="25"/>
  <c r="D100" i="25"/>
  <c r="E100" i="25"/>
  <c r="F100" i="25"/>
  <c r="G100" i="25"/>
  <c r="H100" i="25"/>
  <c r="J100" i="25"/>
  <c r="K100" i="25"/>
  <c r="L100" i="25"/>
  <c r="M100" i="25"/>
  <c r="N100" i="25"/>
  <c r="O100" i="25"/>
  <c r="P100" i="25"/>
  <c r="Q100" i="25"/>
  <c r="R100" i="25"/>
  <c r="S100" i="25"/>
  <c r="T100" i="25"/>
  <c r="U100" i="25"/>
  <c r="V100" i="25"/>
  <c r="W100" i="25"/>
  <c r="X100" i="25"/>
  <c r="Y100" i="25"/>
  <c r="Z100" i="25"/>
  <c r="AA100" i="25"/>
  <c r="AB100" i="25"/>
  <c r="AC100" i="25"/>
  <c r="D79" i="25"/>
  <c r="E79" i="25"/>
  <c r="F79" i="25"/>
  <c r="G79" i="25"/>
  <c r="H79" i="25"/>
  <c r="I79" i="25"/>
  <c r="J79" i="25"/>
  <c r="K79" i="25"/>
  <c r="L79" i="25"/>
  <c r="M79" i="25"/>
  <c r="N79" i="25"/>
  <c r="O79" i="25"/>
  <c r="P79" i="25"/>
  <c r="Q79" i="25"/>
  <c r="R79" i="25"/>
  <c r="S79" i="25"/>
  <c r="T79" i="25"/>
  <c r="U79" i="25"/>
  <c r="V79" i="25"/>
  <c r="W79" i="25"/>
  <c r="X79" i="25"/>
  <c r="Y79" i="25"/>
  <c r="Z79" i="25"/>
  <c r="AA79" i="25"/>
  <c r="AB79" i="25"/>
  <c r="AC79" i="25"/>
  <c r="D72" i="25"/>
  <c r="E72" i="25"/>
  <c r="F72" i="25"/>
  <c r="G72" i="25"/>
  <c r="H72" i="25"/>
  <c r="I72" i="25"/>
  <c r="J72" i="25"/>
  <c r="K72" i="25"/>
  <c r="L72" i="25"/>
  <c r="M72" i="25"/>
  <c r="N72" i="25"/>
  <c r="O72" i="25"/>
  <c r="P72" i="25"/>
  <c r="Q72" i="25"/>
  <c r="R72" i="25"/>
  <c r="S72" i="25"/>
  <c r="T72" i="25"/>
  <c r="U72" i="25"/>
  <c r="V72" i="25"/>
  <c r="AD72" i="25" s="1"/>
  <c r="W72" i="25"/>
  <c r="X72" i="25"/>
  <c r="Y72" i="25"/>
  <c r="Z72" i="25"/>
  <c r="AA72" i="25"/>
  <c r="AB72" i="25"/>
  <c r="AC72" i="25"/>
  <c r="D60" i="25"/>
  <c r="AD60" i="25" s="1"/>
  <c r="E60" i="25"/>
  <c r="F60" i="25"/>
  <c r="G60" i="25"/>
  <c r="H60" i="25"/>
  <c r="I60" i="25"/>
  <c r="J60" i="25"/>
  <c r="K60" i="25"/>
  <c r="L60" i="25"/>
  <c r="M60" i="25"/>
  <c r="N60" i="25"/>
  <c r="O60" i="25"/>
  <c r="P60" i="25"/>
  <c r="Q60" i="25"/>
  <c r="R60" i="25"/>
  <c r="S60" i="25"/>
  <c r="T60" i="25"/>
  <c r="U60" i="25"/>
  <c r="V60" i="25"/>
  <c r="W60" i="25"/>
  <c r="X60" i="25"/>
  <c r="Y60" i="25"/>
  <c r="Z60" i="25"/>
  <c r="AA60" i="25"/>
  <c r="AB60" i="25"/>
  <c r="AC60" i="25"/>
  <c r="D53" i="25"/>
  <c r="E53" i="25"/>
  <c r="AD53" i="25" s="1"/>
  <c r="F53" i="25"/>
  <c r="G53" i="25"/>
  <c r="H53" i="25"/>
  <c r="I53" i="25"/>
  <c r="J53" i="25"/>
  <c r="K53" i="25"/>
  <c r="L53" i="25"/>
  <c r="M53" i="25"/>
  <c r="N53" i="25"/>
  <c r="O53" i="25"/>
  <c r="P53" i="25"/>
  <c r="Q53" i="25"/>
  <c r="R53" i="25"/>
  <c r="S53" i="25"/>
  <c r="T53" i="25"/>
  <c r="U53" i="25"/>
  <c r="V53" i="25"/>
  <c r="W53" i="25"/>
  <c r="X53" i="25"/>
  <c r="Y53" i="25"/>
  <c r="Z53" i="25"/>
  <c r="AA53" i="25"/>
  <c r="AB53" i="25"/>
  <c r="AC53" i="25"/>
  <c r="D47" i="25"/>
  <c r="E47" i="25"/>
  <c r="F47" i="25"/>
  <c r="G47" i="25"/>
  <c r="AD47" i="25" s="1"/>
  <c r="H47" i="25"/>
  <c r="I47" i="25"/>
  <c r="J47" i="25"/>
  <c r="K47" i="25"/>
  <c r="L47" i="25"/>
  <c r="M47" i="25"/>
  <c r="N47" i="25"/>
  <c r="O47" i="25"/>
  <c r="P47" i="25"/>
  <c r="Q47" i="25"/>
  <c r="S47" i="25"/>
  <c r="T47" i="25"/>
  <c r="U47" i="25"/>
  <c r="V47" i="25"/>
  <c r="W47" i="25"/>
  <c r="X47" i="25"/>
  <c r="Y47" i="25"/>
  <c r="Z47" i="25"/>
  <c r="AA47" i="25"/>
  <c r="AB47" i="25"/>
  <c r="AC47" i="25"/>
  <c r="D37" i="25"/>
  <c r="E37" i="25"/>
  <c r="F37" i="25"/>
  <c r="G37" i="25"/>
  <c r="H37" i="25"/>
  <c r="I37" i="25"/>
  <c r="J37" i="25"/>
  <c r="K37" i="25"/>
  <c r="L37" i="25"/>
  <c r="M37" i="25"/>
  <c r="N37" i="25"/>
  <c r="O37" i="25"/>
  <c r="P37" i="25"/>
  <c r="Q37" i="25"/>
  <c r="R37" i="25"/>
  <c r="S37" i="25"/>
  <c r="T37" i="25"/>
  <c r="U37" i="25"/>
  <c r="V37" i="25"/>
  <c r="W37" i="25"/>
  <c r="X37" i="25"/>
  <c r="Y37" i="25"/>
  <c r="Z37" i="25"/>
  <c r="AA37" i="25"/>
  <c r="AB37" i="25"/>
  <c r="AC37" i="25"/>
  <c r="D28" i="25"/>
  <c r="AD28" i="25" s="1"/>
  <c r="E28" i="25"/>
  <c r="F28" i="25"/>
  <c r="G28" i="25"/>
  <c r="H28" i="25"/>
  <c r="I28" i="25"/>
  <c r="K28" i="25"/>
  <c r="L28" i="25"/>
  <c r="M28" i="25"/>
  <c r="N28" i="25"/>
  <c r="O28" i="25"/>
  <c r="P28" i="25"/>
  <c r="P94" i="25"/>
  <c r="P165" i="25" s="1"/>
  <c r="Q28" i="25"/>
  <c r="R28" i="25"/>
  <c r="S28" i="25"/>
  <c r="T28" i="25"/>
  <c r="U28" i="25"/>
  <c r="V28" i="25"/>
  <c r="W28" i="25"/>
  <c r="X28" i="25"/>
  <c r="Y28" i="25"/>
  <c r="Z28" i="25"/>
  <c r="AA28" i="25"/>
  <c r="AB28" i="25"/>
  <c r="AC28" i="25"/>
  <c r="D20" i="25"/>
  <c r="AD20" i="25" s="1"/>
  <c r="E20" i="25"/>
  <c r="F20" i="25"/>
  <c r="G20" i="25"/>
  <c r="H20" i="25"/>
  <c r="I20" i="25"/>
  <c r="J20" i="25"/>
  <c r="K20" i="25"/>
  <c r="L20" i="25"/>
  <c r="M20" i="25"/>
  <c r="N20" i="25"/>
  <c r="O20" i="25"/>
  <c r="P20" i="25"/>
  <c r="Q20" i="25"/>
  <c r="R20" i="25"/>
  <c r="S20" i="25"/>
  <c r="T20" i="25"/>
  <c r="U20" i="25"/>
  <c r="V20" i="25"/>
  <c r="W20" i="25"/>
  <c r="W94" i="25" s="1"/>
  <c r="X20" i="25"/>
  <c r="Y20" i="25"/>
  <c r="Z20" i="25"/>
  <c r="AA20" i="25"/>
  <c r="AB20" i="25"/>
  <c r="AC20" i="25"/>
  <c r="D14" i="25"/>
  <c r="E14" i="25"/>
  <c r="F14" i="25"/>
  <c r="G14" i="25"/>
  <c r="G94" i="25" s="1"/>
  <c r="G165" i="25" s="1"/>
  <c r="H14" i="25"/>
  <c r="H94" i="25"/>
  <c r="H165" i="25" s="1"/>
  <c r="I14" i="25"/>
  <c r="I94" i="25" s="1"/>
  <c r="I165" i="25" s="1"/>
  <c r="J14" i="25"/>
  <c r="K14" i="25"/>
  <c r="M14" i="25"/>
  <c r="M94" i="25" s="1"/>
  <c r="N14" i="25"/>
  <c r="O14" i="25"/>
  <c r="P14" i="25"/>
  <c r="Q14" i="25"/>
  <c r="Q94" i="25" s="1"/>
  <c r="Q165" i="25" s="1"/>
  <c r="R14" i="25"/>
  <c r="S14" i="25"/>
  <c r="T14" i="25"/>
  <c r="T94" i="25" s="1"/>
  <c r="T165" i="25" s="1"/>
  <c r="U14" i="25"/>
  <c r="U94" i="25" s="1"/>
  <c r="V14" i="25"/>
  <c r="V94" i="25" s="1"/>
  <c r="V165" i="25" s="1"/>
  <c r="W14" i="25"/>
  <c r="X14" i="25"/>
  <c r="Y14" i="25"/>
  <c r="Y94" i="25"/>
  <c r="Z14" i="25"/>
  <c r="Z94" i="25" s="1"/>
  <c r="Z165" i="25" s="1"/>
  <c r="AA14" i="25"/>
  <c r="AA94" i="25" s="1"/>
  <c r="AB14" i="25"/>
  <c r="AB94" i="25" s="1"/>
  <c r="AB165" i="25" s="1"/>
  <c r="AC14" i="25"/>
  <c r="AC94" i="25" s="1"/>
  <c r="AC165" i="25" s="1"/>
  <c r="C138" i="37" s="1"/>
  <c r="AA123" i="24"/>
  <c r="T123" i="24"/>
  <c r="AC138" i="24"/>
  <c r="AB138" i="24"/>
  <c r="Z123" i="24"/>
  <c r="Z163" i="24" s="1"/>
  <c r="D161" i="24"/>
  <c r="E161" i="24"/>
  <c r="F161" i="24"/>
  <c r="G161" i="24"/>
  <c r="H161" i="24"/>
  <c r="I161" i="24"/>
  <c r="J161" i="24"/>
  <c r="K161" i="24"/>
  <c r="L161" i="24"/>
  <c r="M161" i="24"/>
  <c r="N161" i="24"/>
  <c r="O161" i="24"/>
  <c r="P161" i="24"/>
  <c r="Q161" i="24"/>
  <c r="R161" i="24"/>
  <c r="S161" i="24"/>
  <c r="T161" i="24"/>
  <c r="U161" i="24"/>
  <c r="V161" i="24"/>
  <c r="W161" i="24"/>
  <c r="X161" i="24"/>
  <c r="Y161" i="24"/>
  <c r="Z161" i="24"/>
  <c r="AA161" i="24"/>
  <c r="AB161" i="24"/>
  <c r="AC161" i="24"/>
  <c r="D154" i="24"/>
  <c r="E154" i="24"/>
  <c r="F154" i="24"/>
  <c r="G154" i="24"/>
  <c r="H154" i="24"/>
  <c r="I154" i="24"/>
  <c r="J154" i="24"/>
  <c r="K154" i="24"/>
  <c r="L154" i="24"/>
  <c r="M154" i="24"/>
  <c r="N154" i="24"/>
  <c r="O154" i="24"/>
  <c r="P154" i="24"/>
  <c r="Q154" i="24"/>
  <c r="R154" i="24"/>
  <c r="S154" i="24"/>
  <c r="T154" i="24"/>
  <c r="U154" i="24"/>
  <c r="V154" i="24"/>
  <c r="W154" i="24"/>
  <c r="X154" i="24"/>
  <c r="Y154" i="24"/>
  <c r="Z154" i="24"/>
  <c r="AA154" i="24"/>
  <c r="AB154" i="24"/>
  <c r="AC154" i="24"/>
  <c r="D138" i="24"/>
  <c r="E138" i="24"/>
  <c r="AD138" i="24" s="1"/>
  <c r="F138" i="24"/>
  <c r="G138" i="24"/>
  <c r="H138" i="24"/>
  <c r="I138" i="24"/>
  <c r="J138" i="24"/>
  <c r="K138" i="24"/>
  <c r="L138" i="24"/>
  <c r="M138" i="24"/>
  <c r="N138" i="24"/>
  <c r="O138" i="24"/>
  <c r="P138" i="24"/>
  <c r="Q138" i="24"/>
  <c r="R138" i="24"/>
  <c r="S138" i="24"/>
  <c r="T138" i="24"/>
  <c r="T163" i="24"/>
  <c r="U138" i="24"/>
  <c r="V138" i="24"/>
  <c r="V163" i="24"/>
  <c r="W138" i="24"/>
  <c r="X138" i="24"/>
  <c r="Y138" i="24"/>
  <c r="Z138" i="24"/>
  <c r="AA138" i="24"/>
  <c r="D123" i="24"/>
  <c r="D163" i="24" s="1"/>
  <c r="E123" i="24"/>
  <c r="E163" i="24" s="1"/>
  <c r="F123" i="24"/>
  <c r="F163" i="24" s="1"/>
  <c r="G123" i="24"/>
  <c r="G163" i="24"/>
  <c r="H123" i="24"/>
  <c r="H163" i="24"/>
  <c r="I123" i="24"/>
  <c r="I163" i="24"/>
  <c r="K123" i="24"/>
  <c r="K163" i="24"/>
  <c r="L123" i="24"/>
  <c r="L163" i="24"/>
  <c r="M123" i="24"/>
  <c r="M163" i="24"/>
  <c r="N123" i="24"/>
  <c r="N163" i="24"/>
  <c r="O123" i="24"/>
  <c r="O163" i="24"/>
  <c r="P123" i="24"/>
  <c r="P163" i="24"/>
  <c r="Q123" i="24"/>
  <c r="Q163" i="24"/>
  <c r="R123" i="24"/>
  <c r="R163" i="24"/>
  <c r="S123" i="24"/>
  <c r="U123" i="24"/>
  <c r="U163" i="24" s="1"/>
  <c r="W123" i="24"/>
  <c r="W163" i="24" s="1"/>
  <c r="W165" i="24" s="1"/>
  <c r="X123" i="24"/>
  <c r="Y123" i="24"/>
  <c r="Y163" i="24"/>
  <c r="AB123" i="24"/>
  <c r="AB163" i="24" s="1"/>
  <c r="AC123" i="24"/>
  <c r="AC163" i="24" s="1"/>
  <c r="D100" i="24"/>
  <c r="E100" i="24"/>
  <c r="F100" i="24"/>
  <c r="G100" i="24"/>
  <c r="H100" i="24"/>
  <c r="I100" i="24"/>
  <c r="J100" i="24"/>
  <c r="K100" i="24"/>
  <c r="L100" i="24"/>
  <c r="M100" i="24"/>
  <c r="N100" i="24"/>
  <c r="O100" i="24"/>
  <c r="P100" i="24"/>
  <c r="Q100" i="24"/>
  <c r="R100" i="24"/>
  <c r="S100" i="24"/>
  <c r="T100" i="24"/>
  <c r="U100" i="24"/>
  <c r="V100" i="24"/>
  <c r="W100" i="24"/>
  <c r="X100" i="24"/>
  <c r="Y100" i="24"/>
  <c r="Z100" i="24"/>
  <c r="AA100" i="24"/>
  <c r="AB100" i="24"/>
  <c r="AC100" i="24"/>
  <c r="D79" i="24"/>
  <c r="E79" i="24"/>
  <c r="F79" i="24"/>
  <c r="G79" i="24"/>
  <c r="H79" i="24"/>
  <c r="I79" i="24"/>
  <c r="J79" i="24"/>
  <c r="K79" i="24"/>
  <c r="L79" i="24"/>
  <c r="M79" i="24"/>
  <c r="N79" i="24"/>
  <c r="O79" i="24"/>
  <c r="P79" i="24"/>
  <c r="Q79" i="24"/>
  <c r="S79" i="24"/>
  <c r="T79" i="24"/>
  <c r="U79" i="24"/>
  <c r="V79" i="24"/>
  <c r="W79" i="24"/>
  <c r="X79" i="24"/>
  <c r="Y79" i="24"/>
  <c r="Z79" i="24"/>
  <c r="AB79" i="24"/>
  <c r="AC79" i="24"/>
  <c r="D72" i="24"/>
  <c r="E72" i="24"/>
  <c r="F72" i="24"/>
  <c r="G72" i="24"/>
  <c r="H72" i="24"/>
  <c r="I72" i="24"/>
  <c r="K72" i="24"/>
  <c r="L72" i="24"/>
  <c r="M72" i="24"/>
  <c r="O72" i="24"/>
  <c r="P72" i="24"/>
  <c r="Q72" i="24"/>
  <c r="S72" i="24"/>
  <c r="T72" i="24"/>
  <c r="U72" i="24"/>
  <c r="V72" i="24"/>
  <c r="W72" i="24"/>
  <c r="X72" i="24"/>
  <c r="Y72" i="24"/>
  <c r="Z72" i="24"/>
  <c r="AB72" i="24"/>
  <c r="AC72" i="24"/>
  <c r="D60" i="24"/>
  <c r="E60" i="24"/>
  <c r="F60" i="24"/>
  <c r="G60" i="24"/>
  <c r="H60" i="24"/>
  <c r="I60" i="24"/>
  <c r="J60" i="24"/>
  <c r="K60" i="24"/>
  <c r="L60" i="24"/>
  <c r="M60" i="24"/>
  <c r="O60" i="24"/>
  <c r="Q60" i="24"/>
  <c r="S60" i="24"/>
  <c r="T60" i="24"/>
  <c r="U60" i="24"/>
  <c r="U94" i="24" s="1"/>
  <c r="V60" i="24"/>
  <c r="W60" i="24"/>
  <c r="X60" i="24"/>
  <c r="Y60" i="24"/>
  <c r="Z60" i="24"/>
  <c r="AB60" i="24"/>
  <c r="AC60" i="24"/>
  <c r="D53" i="24"/>
  <c r="D94" i="24" s="1"/>
  <c r="E53" i="24"/>
  <c r="F53" i="24"/>
  <c r="G53" i="24"/>
  <c r="H53" i="24"/>
  <c r="H94" i="24" s="1"/>
  <c r="H165" i="24" s="1"/>
  <c r="I53" i="24"/>
  <c r="J53" i="24"/>
  <c r="K53" i="24"/>
  <c r="L53" i="24"/>
  <c r="M53" i="24"/>
  <c r="N53" i="24"/>
  <c r="O53" i="24"/>
  <c r="P53" i="24"/>
  <c r="Q53" i="24"/>
  <c r="S53" i="24"/>
  <c r="T53" i="24"/>
  <c r="U53" i="24"/>
  <c r="V53" i="24"/>
  <c r="W53" i="24"/>
  <c r="X53" i="24"/>
  <c r="Y53" i="24"/>
  <c r="Z53" i="24"/>
  <c r="AB53" i="24"/>
  <c r="AC53" i="24"/>
  <c r="D47" i="24"/>
  <c r="E47" i="24"/>
  <c r="F47" i="24"/>
  <c r="G47" i="24"/>
  <c r="H47" i="24"/>
  <c r="I47" i="24"/>
  <c r="K47" i="24"/>
  <c r="L47" i="24"/>
  <c r="M47" i="24"/>
  <c r="N47" i="24"/>
  <c r="O47" i="24"/>
  <c r="P47" i="24"/>
  <c r="Q47" i="24"/>
  <c r="S47" i="24"/>
  <c r="T47" i="24"/>
  <c r="U47" i="24"/>
  <c r="V47" i="24"/>
  <c r="W47" i="24"/>
  <c r="X47" i="24"/>
  <c r="Y47" i="24"/>
  <c r="Z47" i="24"/>
  <c r="AB47" i="24"/>
  <c r="AC47" i="24"/>
  <c r="D37" i="24"/>
  <c r="E37" i="24"/>
  <c r="AD37" i="24" s="1"/>
  <c r="F37" i="24"/>
  <c r="G37" i="24"/>
  <c r="H37" i="24"/>
  <c r="I37" i="24"/>
  <c r="K37" i="24"/>
  <c r="M37" i="24"/>
  <c r="N37" i="24"/>
  <c r="O37" i="24"/>
  <c r="P37" i="24"/>
  <c r="Q37" i="24"/>
  <c r="S37" i="24"/>
  <c r="T37" i="24"/>
  <c r="U37" i="24"/>
  <c r="V37" i="24"/>
  <c r="W37" i="24"/>
  <c r="X37" i="24"/>
  <c r="Y37" i="24"/>
  <c r="Z37" i="24"/>
  <c r="Z94" i="24" s="1"/>
  <c r="Z165" i="24" s="1"/>
  <c r="AB37" i="24"/>
  <c r="AC37" i="24"/>
  <c r="D28" i="24"/>
  <c r="E28" i="24"/>
  <c r="F28" i="24"/>
  <c r="G28" i="24"/>
  <c r="H28" i="24"/>
  <c r="J28" i="24"/>
  <c r="K28" i="24"/>
  <c r="L28" i="24"/>
  <c r="N28" i="24"/>
  <c r="O28" i="24"/>
  <c r="P28" i="24"/>
  <c r="Q28" i="24"/>
  <c r="S28" i="24"/>
  <c r="T28" i="24"/>
  <c r="U28" i="24"/>
  <c r="V28" i="24"/>
  <c r="W28" i="24"/>
  <c r="X28" i="24"/>
  <c r="AD28" i="24" s="1"/>
  <c r="Y28" i="24"/>
  <c r="Z28" i="24"/>
  <c r="AB28" i="24"/>
  <c r="AC28" i="24"/>
  <c r="D20" i="24"/>
  <c r="E20" i="24"/>
  <c r="F20" i="24"/>
  <c r="G20" i="24"/>
  <c r="H20" i="24"/>
  <c r="I20" i="24"/>
  <c r="J20" i="24"/>
  <c r="K20" i="24"/>
  <c r="K94" i="24" s="1"/>
  <c r="K165" i="24" s="1"/>
  <c r="L20" i="24"/>
  <c r="M20" i="24"/>
  <c r="N20" i="24"/>
  <c r="O20" i="24"/>
  <c r="P20" i="24"/>
  <c r="Q20" i="24"/>
  <c r="Q94" i="24" s="1"/>
  <c r="Q165" i="24" s="1"/>
  <c r="S20" i="24"/>
  <c r="T20" i="24"/>
  <c r="U20" i="24"/>
  <c r="V20" i="24"/>
  <c r="W20" i="24"/>
  <c r="X20" i="24"/>
  <c r="X94" i="24" s="1"/>
  <c r="X165" i="24" s="1"/>
  <c r="Y20" i="24"/>
  <c r="Z20" i="24"/>
  <c r="AB20" i="24"/>
  <c r="AC20" i="24"/>
  <c r="D14" i="24"/>
  <c r="E14" i="24"/>
  <c r="E94" i="24" s="1"/>
  <c r="F14" i="24"/>
  <c r="G14" i="24"/>
  <c r="G94" i="24"/>
  <c r="G165" i="24" s="1"/>
  <c r="H14" i="24"/>
  <c r="I14" i="24"/>
  <c r="J14" i="24"/>
  <c r="K14" i="24"/>
  <c r="L14" i="24"/>
  <c r="L94" i="24" s="1"/>
  <c r="L165" i="24" s="1"/>
  <c r="M14" i="24"/>
  <c r="N14" i="24"/>
  <c r="O14" i="24"/>
  <c r="P14" i="24"/>
  <c r="P94" i="24" s="1"/>
  <c r="P165" i="24" s="1"/>
  <c r="Q14" i="24"/>
  <c r="S14" i="24"/>
  <c r="S94" i="24" s="1"/>
  <c r="T14" i="24"/>
  <c r="T94" i="24"/>
  <c r="T165" i="24" s="1"/>
  <c r="U14" i="24"/>
  <c r="V14" i="24"/>
  <c r="V94" i="24"/>
  <c r="V165" i="24" s="1"/>
  <c r="W14" i="24"/>
  <c r="W94" i="24"/>
  <c r="X14" i="24"/>
  <c r="Y14" i="24"/>
  <c r="Y94" i="24"/>
  <c r="Y165" i="24" s="1"/>
  <c r="Z14" i="24"/>
  <c r="AB14" i="24"/>
  <c r="AB94" i="24" s="1"/>
  <c r="AB165" i="24" s="1"/>
  <c r="B137" i="37" s="1"/>
  <c r="AC14" i="24"/>
  <c r="A1" i="25"/>
  <c r="A1" i="24"/>
  <c r="C163" i="25"/>
  <c r="O94" i="25"/>
  <c r="O165" i="25"/>
  <c r="AD37" i="25"/>
  <c r="L14" i="25"/>
  <c r="L94" i="25"/>
  <c r="L165" i="25" s="1"/>
  <c r="AD110" i="25"/>
  <c r="F79" i="37"/>
  <c r="G79" i="37" s="1"/>
  <c r="J28" i="25"/>
  <c r="J94" i="25"/>
  <c r="J165" i="25"/>
  <c r="F94" i="25"/>
  <c r="F165" i="25" s="1"/>
  <c r="F123" i="25"/>
  <c r="F163" i="25"/>
  <c r="AC94" i="24"/>
  <c r="AD161" i="24"/>
  <c r="G97" i="37"/>
  <c r="G89" i="37"/>
  <c r="H89" i="37"/>
  <c r="X163" i="24"/>
  <c r="G102" i="37"/>
  <c r="AD154" i="24"/>
  <c r="G104" i="37"/>
  <c r="AD92" i="24"/>
  <c r="O94" i="24"/>
  <c r="O165" i="24" s="1"/>
  <c r="N72" i="24"/>
  <c r="N94" i="24"/>
  <c r="N165" i="24" s="1"/>
  <c r="N60" i="24"/>
  <c r="AD60" i="24"/>
  <c r="AD20" i="24"/>
  <c r="M94" i="24"/>
  <c r="M165" i="24" s="1"/>
  <c r="L37" i="24"/>
  <c r="AD79" i="24"/>
  <c r="J72" i="24"/>
  <c r="AD72" i="24"/>
  <c r="J47" i="24"/>
  <c r="AD47" i="24"/>
  <c r="J37" i="24"/>
  <c r="G108" i="37"/>
  <c r="G94" i="37"/>
  <c r="J123" i="24"/>
  <c r="J163" i="24"/>
  <c r="AD53" i="24"/>
  <c r="AD52" i="24"/>
  <c r="I94" i="24"/>
  <c r="I165" i="24"/>
  <c r="I28" i="24"/>
  <c r="G78" i="37"/>
  <c r="AD100" i="24"/>
  <c r="G81" i="37"/>
  <c r="F94" i="24"/>
  <c r="AD100" i="25"/>
  <c r="AA138" i="25"/>
  <c r="AD79" i="25"/>
  <c r="S163" i="25"/>
  <c r="AD83" i="25"/>
  <c r="AD123" i="25"/>
  <c r="R94" i="25"/>
  <c r="R165" i="25" s="1"/>
  <c r="AD40" i="25"/>
  <c r="J94" i="24"/>
  <c r="J165" i="24" s="1"/>
  <c r="AD123" i="24"/>
  <c r="AD138" i="25"/>
  <c r="AA163" i="24"/>
  <c r="AA165" i="24" s="1"/>
  <c r="AA165" i="25" l="1"/>
  <c r="AD161" i="25"/>
  <c r="G116" i="37"/>
  <c r="G114" i="37"/>
  <c r="AD154" i="25"/>
  <c r="Y165" i="25"/>
  <c r="S94" i="25"/>
  <c r="S165" i="25" s="1"/>
  <c r="C136" i="37" s="1"/>
  <c r="S163" i="24"/>
  <c r="S165" i="24" s="1"/>
  <c r="B136" i="37" s="1"/>
  <c r="D85" i="37"/>
  <c r="I117" i="37"/>
  <c r="D113" i="37"/>
  <c r="I109" i="37"/>
  <c r="I101" i="37"/>
  <c r="I97" i="37"/>
  <c r="I93" i="37"/>
  <c r="H81" i="37"/>
  <c r="D81" i="37"/>
  <c r="I100" i="37"/>
  <c r="I98" i="37"/>
  <c r="I96" i="37"/>
  <c r="I94" i="37"/>
  <c r="I92" i="37"/>
  <c r="I88" i="37"/>
  <c r="H110" i="37"/>
  <c r="H118" i="37"/>
  <c r="I89" i="37"/>
  <c r="I118" i="37"/>
  <c r="I114" i="37"/>
  <c r="I112" i="37"/>
  <c r="I110" i="37"/>
  <c r="I108" i="37"/>
  <c r="I106" i="37"/>
  <c r="I104" i="37"/>
  <c r="I102" i="37"/>
  <c r="H114" i="37"/>
  <c r="I86" i="37"/>
  <c r="D80" i="37"/>
  <c r="I105" i="37"/>
  <c r="D120" i="37"/>
  <c r="H120" i="37" s="1"/>
  <c r="D90" i="37"/>
  <c r="I120" i="37"/>
  <c r="I116" i="37"/>
  <c r="I90" i="37"/>
  <c r="I82" i="37"/>
  <c r="H78" i="37"/>
  <c r="H82" i="37"/>
  <c r="D86" i="37"/>
  <c r="H86" i="37" s="1"/>
  <c r="H101" i="37"/>
  <c r="D94" i="37"/>
  <c r="H94" i="37" s="1"/>
  <c r="D92" i="37"/>
  <c r="H92" i="37" s="1"/>
  <c r="D98" i="37"/>
  <c r="H98" i="37" s="1"/>
  <c r="H90" i="37"/>
  <c r="D109" i="37"/>
  <c r="H109" i="37" s="1"/>
  <c r="D93" i="37"/>
  <c r="H93" i="37" s="1"/>
  <c r="D77" i="37"/>
  <c r="D84" i="37"/>
  <c r="H84" i="37" s="1"/>
  <c r="H106" i="37"/>
  <c r="D76" i="37"/>
  <c r="H76" i="37" s="1"/>
  <c r="I113" i="37"/>
  <c r="D116" i="37"/>
  <c r="D108" i="37"/>
  <c r="H108" i="37" s="1"/>
  <c r="D100" i="37"/>
  <c r="H100" i="37" s="1"/>
  <c r="D112" i="37"/>
  <c r="H112" i="37" s="1"/>
  <c r="D104" i="37"/>
  <c r="H104" i="37" s="1"/>
  <c r="D96" i="37"/>
  <c r="H96" i="37" s="1"/>
  <c r="D88" i="37"/>
  <c r="AD94" i="24"/>
  <c r="G80" i="37"/>
  <c r="F165" i="24"/>
  <c r="AC165" i="24"/>
  <c r="B138" i="37" s="1"/>
  <c r="E165" i="24"/>
  <c r="D165" i="24"/>
  <c r="U165" i="24"/>
  <c r="C137" i="37"/>
  <c r="E137" i="37" s="1"/>
  <c r="M165" i="25"/>
  <c r="W165" i="25"/>
  <c r="C94" i="25"/>
  <c r="AD14" i="25"/>
  <c r="F51" i="37"/>
  <c r="I115" i="37"/>
  <c r="D115" i="37"/>
  <c r="H115" i="37" s="1"/>
  <c r="I107" i="37"/>
  <c r="D107" i="37"/>
  <c r="H107" i="37" s="1"/>
  <c r="I99" i="37"/>
  <c r="D99" i="37"/>
  <c r="H99" i="37" s="1"/>
  <c r="I91" i="37"/>
  <c r="D91" i="37"/>
  <c r="H91" i="37" s="1"/>
  <c r="I83" i="37"/>
  <c r="D83" i="37"/>
  <c r="H83" i="37" s="1"/>
  <c r="I75" i="37"/>
  <c r="D75" i="37"/>
  <c r="H75" i="37" s="1"/>
  <c r="X94" i="25"/>
  <c r="X165" i="25" s="1"/>
  <c r="N94" i="25"/>
  <c r="N165" i="25" s="1"/>
  <c r="K94" i="25"/>
  <c r="K165" i="25" s="1"/>
  <c r="D94" i="25"/>
  <c r="D165" i="25" s="1"/>
  <c r="B29" i="37" s="1"/>
  <c r="U163" i="25"/>
  <c r="AD163" i="25" s="1"/>
  <c r="F64" i="37"/>
  <c r="F48" i="37"/>
  <c r="H117" i="37"/>
  <c r="H85" i="37"/>
  <c r="H77" i="37"/>
  <c r="AD14" i="24"/>
  <c r="C163" i="24"/>
  <c r="H74" i="37"/>
  <c r="I119" i="37"/>
  <c r="D119" i="37"/>
  <c r="H119" i="37" s="1"/>
  <c r="I111" i="37"/>
  <c r="D111" i="37"/>
  <c r="H111" i="37" s="1"/>
  <c r="I103" i="37"/>
  <c r="D103" i="37"/>
  <c r="H103" i="37" s="1"/>
  <c r="I95" i="37"/>
  <c r="D95" i="37"/>
  <c r="H95" i="37" s="1"/>
  <c r="I87" i="37"/>
  <c r="D87" i="37"/>
  <c r="H87" i="37" s="1"/>
  <c r="I79" i="37"/>
  <c r="D79" i="37"/>
  <c r="H79" i="37" s="1"/>
  <c r="E94" i="25"/>
  <c r="E165" i="25" s="1"/>
  <c r="G91" i="37"/>
  <c r="AD92" i="25"/>
  <c r="F56" i="37"/>
  <c r="F55" i="37"/>
  <c r="F65" i="37" s="1"/>
  <c r="B66" i="37" s="1"/>
  <c r="F40" i="37"/>
  <c r="F39" i="37"/>
  <c r="R94" i="24"/>
  <c r="R165" i="24" s="1"/>
  <c r="H113" i="37"/>
  <c r="H88" i="37"/>
  <c r="H80" i="37"/>
  <c r="AD163" i="24" l="1"/>
  <c r="H116" i="37"/>
  <c r="E136" i="37"/>
  <c r="E139" i="37" s="1"/>
  <c r="D136" i="37"/>
  <c r="I121" i="37"/>
  <c r="B123" i="37" s="1"/>
  <c r="B30" i="37"/>
  <c r="B31" i="37" s="1"/>
  <c r="D138" i="37"/>
  <c r="E138" i="37"/>
  <c r="AD94" i="25"/>
  <c r="C165" i="25"/>
  <c r="D137" i="37"/>
  <c r="H121" i="37"/>
  <c r="B122" i="37" s="1"/>
  <c r="B124" i="37" s="1"/>
  <c r="U165" i="25"/>
  <c r="A24" i="37"/>
  <c r="B141" i="37" s="1"/>
  <c r="C165" i="24"/>
  <c r="B32" i="37" l="1"/>
  <c r="D139" i="37"/>
  <c r="B140" i="37" s="1"/>
  <c r="B142" i="37" s="1"/>
  <c r="B14" i="37"/>
  <c r="B125" i="37"/>
  <c r="C14" i="37" s="1"/>
  <c r="G14" i="37" s="1"/>
  <c r="B12" i="37"/>
  <c r="B33" i="37"/>
  <c r="C12" i="37" s="1"/>
  <c r="G12" i="37" s="1"/>
  <c r="B128" i="37"/>
  <c r="AD165" i="24"/>
  <c r="B68" i="37"/>
  <c r="B129" i="37"/>
  <c r="AD165" i="25"/>
  <c r="B130" i="37" l="1"/>
  <c r="B131" i="37" s="1"/>
  <c r="B143" i="37"/>
  <c r="C16" i="37" s="1"/>
  <c r="G16" i="37" s="1"/>
  <c r="B16" i="37"/>
  <c r="B13" i="37"/>
  <c r="B69" i="37"/>
  <c r="C13" i="37" s="1"/>
  <c r="G13" i="37" s="1"/>
  <c r="B15" i="37" l="1"/>
  <c r="B132" i="37"/>
  <c r="C15" i="37" s="1"/>
  <c r="G15" i="37" s="1"/>
  <c r="G18" i="37" s="1"/>
  <c r="C18" i="37" s="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<sst xmlns="http://schemas.openxmlformats.org/spreadsheetml/2006/main" count="1056" uniqueCount="580">
  <si>
    <t>Invuller:</t>
  </si>
  <si>
    <t>Bureau Kredo</t>
  </si>
  <si>
    <t>tel. (070) 337 47 08</t>
  </si>
  <si>
    <t>Geachte heer / mevrouw,</t>
  </si>
  <si>
    <t>Onderwerp</t>
  </si>
  <si>
    <t>Met vriendelijke groet,</t>
  </si>
  <si>
    <t xml:space="preserve">www.cbs.nl/kredo </t>
  </si>
  <si>
    <t xml:space="preserve">kredo@cbs.nl </t>
  </si>
  <si>
    <t>Aan het Centraal Bureau voor de Statistiek</t>
  </si>
  <si>
    <t>-</t>
  </si>
  <si>
    <t>Naamgeving</t>
  </si>
  <si>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</si>
  <si>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</si>
  <si>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</si>
  <si>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</si>
  <si>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</si>
  <si>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</si>
  <si>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</si>
  <si>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</si>
  <si>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</si>
  <si>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</si>
  <si>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</si>
  <si>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</si>
  <si>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</si>
  <si>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</si>
  <si>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</si>
  <si>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</si>
  <si>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</si>
  <si>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</si>
  <si>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</si>
  <si>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</si>
  <si>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</si>
  <si>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</si>
  <si>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</si>
  <si>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</si>
  <si>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</si>
  <si>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</si>
  <si>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</si>
  <si>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</si>
  <si>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</si>
  <si>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</si>
  <si>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</si>
  <si>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</si>
  <si>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</si>
  <si>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</si>
  <si>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</si>
  <si>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</si>
  <si>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</si>
  <si>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</si>
  <si>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</si>
  <si>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</si>
  <si>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</si>
  <si>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</si>
  <si>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</si>
  <si>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</si>
  <si>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</si>
  <si>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</si>
  <si>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</si>
  <si>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</si>
  <si>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</si>
  <si>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</si>
  <si>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</si>
  <si>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</si>
  <si>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</si>
  <si>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</si>
  <si>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</si>
  <si>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</si>
  <si>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</si>
  <si>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</si>
  <si>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</si>
  <si>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</si>
  <si>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</si>
  <si>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</si>
  <si>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</si>
  <si>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</si>
  <si>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</si>
  <si>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</si>
  <si>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</si>
  <si>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</si>
  <si>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</si>
  <si>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</si>
  <si>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</si>
  <si>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</si>
  <si>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</si>
  <si>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</si>
  <si>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</si>
  <si>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</si>
  <si>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</si>
  <si>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</si>
  <si>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</si>
  <si>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</si>
  <si>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</si>
  <si>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</si>
  <si>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</si>
  <si>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</si>
  <si>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</si>
  <si>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</si>
  <si>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</si>
  <si>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</si>
  <si>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</si>
  <si>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</si>
  <si>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</si>
  <si>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</si>
  <si>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</si>
  <si>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</si>
  <si>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</si>
  <si>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</si>
  <si>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</si>
  <si>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</si>
  <si>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</si>
  <si>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</si>
  <si>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</si>
  <si>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</si>
  <si>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</si>
  <si>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</si>
  <si>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</si>
  <si>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</si>
  <si>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</si>
  <si>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</si>
  <si>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</si>
  <si>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A1331</t>
  </si>
  <si>
    <t>Financiële vaste activa: Overige langlopende leningen</t>
  </si>
  <si>
    <t>A1332</t>
  </si>
  <si>
    <t>Financiële vaste activa: Overige uitzettingen met looptijd ≥ 1 jaar</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</si>
  <si>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</si>
  <si>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</si>
  <si>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</si>
  <si>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</si>
  <si>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</si>
  <si>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</si>
  <si>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</si>
  <si>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</si>
  <si>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</si>
  <si>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</si>
  <si>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</si>
  <si>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</si>
  <si>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</si>
  <si>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</si>
  <si>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</si>
  <si>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</si>
  <si>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A222</t>
  </si>
  <si>
    <t>Uitzettingen: Verstrekte kasgeldleningen</t>
  </si>
  <si>
    <t>A223</t>
  </si>
  <si>
    <t>Uitzettingen: Rekening courant verhoudingen niet-financiële instellingen</t>
  </si>
  <si>
    <t>A224</t>
  </si>
  <si>
    <t>Uitzettingen: Overige vorderingen</t>
  </si>
  <si>
    <t>A225</t>
  </si>
  <si>
    <t>Uitzettingen: Overige uitzettingen</t>
  </si>
  <si>
    <t>A23</t>
  </si>
  <si>
    <t>A29</t>
  </si>
  <si>
    <t>Overlopende activa</t>
  </si>
  <si>
    <t>Totaal Vlottende Activa</t>
  </si>
  <si>
    <t>Vaste Passiva</t>
  </si>
  <si>
    <t>P111</t>
  </si>
  <si>
    <t>Eigen vermogen: Algemene reserve</t>
  </si>
  <si>
    <t>P112</t>
  </si>
  <si>
    <t>Eigen vermogen: Bestemmingsreserve</t>
  </si>
  <si>
    <t>P113</t>
  </si>
  <si>
    <t>Eigen vermogen: Overige bestemmingsreserves</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</si>
  <si>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</si>
  <si>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</si>
  <si>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</si>
  <si>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</si>
  <si>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</si>
  <si>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</si>
  <si>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</si>
  <si>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</si>
  <si>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</si>
  <si>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</si>
  <si>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</si>
  <si>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</si>
  <si>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P135</t>
  </si>
  <si>
    <t>Vaste schuld: Onderhandse leningen van overige binnenlandse sectoren</t>
  </si>
  <si>
    <t>P136</t>
  </si>
  <si>
    <t>P137</t>
  </si>
  <si>
    <t>Vaste schuld: Door derden belegde gelden</t>
  </si>
  <si>
    <t>P138</t>
  </si>
  <si>
    <t>Waarborgsommen</t>
  </si>
  <si>
    <t>Totaal Vaste Passiva</t>
  </si>
  <si>
    <t>Vlottende Passiva</t>
  </si>
  <si>
    <t>P211</t>
  </si>
  <si>
    <t>Vlottende schuld: Kasgeldleningen o/g</t>
  </si>
  <si>
    <t>P212</t>
  </si>
  <si>
    <t>P213</t>
  </si>
  <si>
    <t>Vlottende schuld: Overig</t>
  </si>
  <si>
    <t>P29</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</si>
  <si>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</si>
  <si>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</si>
  <si>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</si>
  <si>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</si>
  <si>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</si>
  <si>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</si>
  <si>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</si>
  <si>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</si>
  <si>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</si>
  <si>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</si>
  <si>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</si>
  <si>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</si>
  <si>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</si>
  <si>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</si>
  <si>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</si>
  <si>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</si>
  <si>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</si>
  <si>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</si>
  <si>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</si>
  <si>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</si>
  <si>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</si>
  <si>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</si>
  <si>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</si>
  <si>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</si>
  <si>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</si>
  <si>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</si>
  <si>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Overige uitzettingen met looptijd ≥ 1 jaar</t>
  </si>
  <si>
    <t>Uitzettingen</t>
  </si>
  <si>
    <t>Verstrekte kasgeldleningen</t>
  </si>
  <si>
    <t>Rekening courant verhoudingen niet-financiële instellingen</t>
  </si>
  <si>
    <t>Overige vorderingen</t>
  </si>
  <si>
    <t>Overige uitzettingen</t>
  </si>
  <si>
    <t>PASSIVA</t>
  </si>
  <si>
    <t>Vaste schuld</t>
  </si>
  <si>
    <t>Obligatieleningen</t>
  </si>
  <si>
    <t>Onderhandse leningen van overige binnenlandse sectoren</t>
  </si>
  <si>
    <t>Door derden belegde gelden</t>
  </si>
  <si>
    <t>Vlottende schuld</t>
  </si>
  <si>
    <t>Kasgeldleningen o/g</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</si>
  <si>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</si>
  <si>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</si>
  <si>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</si>
  <si>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</si>
  <si>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</si>
  <si>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</si>
  <si>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Algemene toelichting bij de levering Informatie voor derden (iv3).</t>
  </si>
  <si>
    <t>Opmerkingen of een toelichting kunt u eveneens in dit tabblad vermelden.</t>
  </si>
  <si>
    <r>
      <t xml:space="preserve">De verdelingsmatrix gaat uit van een </t>
    </r>
    <r>
      <rPr>
        <b/>
        <i/>
        <sz val="10"/>
        <color indexed="10"/>
        <rFont val="Arial"/>
        <family val="2"/>
      </rPr>
      <t>bruto</t>
    </r>
    <r>
      <rPr>
        <sz val="10"/>
        <rFont val="Arial"/>
        <family val="2"/>
      </rPr>
      <t xml:space="preserve"> invulling. Dit houdt in dat vermeerderingen en verminderingen 
apart weergegeven worden.</t>
    </r>
  </si>
  <si>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</si>
  <si>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</si>
  <si>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</si>
  <si>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</si>
  <si>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</si>
  <si>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</si>
  <si>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</si>
  <si>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</si>
  <si>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</si>
  <si>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</si>
  <si>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</si>
  <si>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</si>
  <si>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</si>
  <si>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</si>
  <si>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</si>
  <si>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</si>
  <si>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</si>
  <si>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</si>
  <si>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</si>
  <si>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</si>
  <si>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</si>
  <si>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</si>
  <si>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</si>
  <si>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</si>
  <si>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</si>
  <si>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</si>
  <si>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</si>
  <si>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</si>
  <si>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</si>
  <si>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</si>
  <si>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</si>
  <si>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</si>
  <si>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</si>
  <si>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</si>
  <si>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</si>
  <si>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</si>
  <si>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</si>
  <si>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</si>
  <si>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</si>
  <si>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</si>
  <si>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</si>
  <si>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</si>
  <si>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</si>
  <si>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</si>
  <si>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</si>
  <si>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</si>
  <si>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</si>
  <si>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</si>
  <si>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</si>
  <si>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</si>
  <si>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</si>
  <si>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</si>
  <si>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</si>
  <si>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</si>
  <si>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</si>
  <si>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</si>
  <si>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</si>
  <si>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</si>
  <si>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</si>
  <si>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</si>
  <si>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</si>
  <si>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</si>
  <si>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</si>
  <si>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</si>
  <si>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</si>
  <si>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</si>
  <si>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</si>
  <si>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</si>
  <si>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</si>
  <si>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</si>
  <si>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</si>
  <si>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</si>
  <si>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</si>
  <si>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</si>
  <si>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</si>
  <si>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</si>
  <si>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</si>
  <si>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</si>
  <si>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</si>
  <si>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</si>
  <si>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</si>
  <si>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</si>
  <si>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</si>
  <si>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</si>
  <si>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</si>
  <si>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</si>
  <si>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</si>
  <si>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</si>
  <si>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</si>
  <si>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</si>
  <si>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</si>
  <si>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</si>
  <si>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</si>
  <si>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</si>
  <si>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</si>
  <si>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</si>
  <si>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</si>
  <si>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</si>
  <si>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</si>
  <si>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</si>
  <si>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</si>
  <si>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</si>
  <si>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</si>
  <si>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</si>
  <si>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</si>
  <si>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</si>
  <si>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</si>
  <si>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</si>
  <si>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</si>
  <si>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</si>
  <si>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</si>
  <si>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</si>
  <si>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</si>
  <si>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</si>
  <si>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</si>
  <si>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</si>
  <si>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</si>
  <si>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</si>
  <si>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</si>
  <si>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</si>
  <si>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</si>
  <si>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</si>
  <si>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</si>
  <si>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</si>
  <si>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</si>
  <si>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</si>
  <si>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</si>
  <si>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</si>
  <si>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</si>
  <si>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</si>
  <si>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</si>
  <si>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</si>
  <si>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</si>
  <si>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</si>
  <si>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</si>
  <si>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</si>
  <si>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</si>
  <si>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</si>
  <si>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</si>
  <si>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</si>
  <si>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</si>
  <si>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</si>
  <si>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</si>
  <si>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</si>
  <si>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</si>
  <si>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</si>
  <si>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</si>
  <si>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</si>
  <si>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</si>
  <si>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</si>
  <si>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</si>
  <si>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</si>
  <si>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</si>
  <si>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</si>
  <si>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</si>
  <si>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</si>
  <si>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</si>
  <si>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</si>
  <si>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</si>
  <si>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</si>
  <si>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</si>
  <si>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</si>
  <si>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</si>
  <si>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</si>
  <si>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</si>
  <si>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</si>
  <si>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</si>
  <si>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</si>
  <si>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</si>
  <si>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</si>
  <si>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Overige bestemmingsreserves</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</si>
  <si>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</si>
  <si>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</si>
  <si>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</si>
  <si>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</si>
  <si>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</si>
  <si>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</si>
  <si>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</si>
  <si>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</si>
  <si>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Verzending (Uploaden)</t>
  </si>
  <si>
    <t>Ik verzoek u de gevraagde gegevens, conform het BBV, op de volgende manier te versturen:</t>
  </si>
  <si>
    <t>www.cbs.nl/bestandslevering</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</si>
  <si>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</si>
  <si>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</si>
  <si>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t xml:space="preserve">                                           te vinden op de website van bureau Kredo.</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</si>
  <si>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</si>
  <si>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</si>
  <si>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</si>
  <si>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</si>
  <si>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</si>
  <si>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</si>
  <si>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</si>
  <si>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</si>
  <si>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</si>
  <si>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</si>
  <si>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</si>
  <si>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</si>
  <si>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</si>
  <si>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TOETSEN</t>
  </si>
  <si>
    <t>afwijking</t>
  </si>
  <si>
    <t>Afwijking_1 (%)</t>
  </si>
  <si>
    <t>oordeel</t>
  </si>
  <si>
    <t>Post</t>
  </si>
  <si>
    <t>som</t>
  </si>
  <si>
    <t xml:space="preserve">totaal </t>
  </si>
  <si>
    <t>noemer</t>
  </si>
  <si>
    <t>Afwijking_2 (%)</t>
  </si>
  <si>
    <t>post</t>
  </si>
  <si>
    <t>primo</t>
  </si>
  <si>
    <t>ultimo</t>
  </si>
  <si>
    <t>ult-prim</t>
  </si>
  <si>
    <t>lasten</t>
  </si>
  <si>
    <t>baten</t>
  </si>
  <si>
    <t>saldo</t>
  </si>
  <si>
    <t>teller</t>
  </si>
  <si>
    <t>Afwijking_3 (%)</t>
  </si>
  <si>
    <t xml:space="preserve">lasten </t>
  </si>
  <si>
    <t>Afwijking_4 (%)</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</si>
  <si>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</si>
  <si>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</si>
  <si>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</si>
  <si>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</si>
  <si>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</si>
  <si>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</si>
  <si>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</si>
  <si>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</si>
  <si>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</si>
  <si>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</si>
  <si>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Volgens het Besluit Begroting en Verantwoording Provincies en Gemeenten (BBV), in het bijzonder de artikelen 72 en 74, dienen provincies en gemeenten op kwartaal- en jaarbasis informatie te verschaffen over:</t>
  </si>
  <si>
    <t>1) De baten en lasten van functies, kostenplaatsen en balansposten;</t>
  </si>
  <si>
    <t>2) Een overzicht van balansstanden.</t>
  </si>
  <si>
    <t xml:space="preserve">Het is de bedoeling dat u de bijgevoegde verdelingsmatrices (lasten en baten) en het balansstandenoverzicht (automatisch) vult met deze gegevens. </t>
  </si>
  <si>
    <t>De informatie wordt pas als ontvangen beschouwd indien ook de verklaring van het college in het bezit van het CBS is.</t>
  </si>
  <si>
    <t>Het gevulde bestand dient binnen de gestelde termijn naar het CBS te worden opgestuurd:</t>
  </si>
  <si>
    <t>Na ontvangst van het bestand toetst het CBS de informatie op plausibiliteit. Vervolgens zullen de resultaten van deze plausibiliteitcontrole teruggekoppeld worden naar het college.</t>
  </si>
  <si>
    <t>In geval van vragen en/of onduidelijkheden over de levering zal het CBS direct met de betreffende persoon contact opnemen.</t>
  </si>
  <si>
    <t>Bij het onderdeel verdelingsmatrix wordt gevraagd naar een overzicht van de baten en lasten naar functies, kostenplaatsen en alle balansmutaties verbijzonderd naar economische categorieën. De voorschriften van het BBV en de Ministeriële Regeling Informatie voor derden van 6 februari 2003 zijn hierop van toepassing. Voor het vullen van de verdelingsmatrix zijn de tabbladen "5.Verdelingsmatrix lasten" en "6.Verdelingsmatrix baten" bestemd.</t>
  </si>
  <si>
    <t>De specificaties van de functies, kostenplaatsen en categorieën zijn opgenomen in de eerder genoemde Ministeriële Regeling. Een verdere specificatie van de balansposten is opgenomen in het BBV artikelen 30 t/m 58.</t>
  </si>
  <si>
    <r>
      <t xml:space="preserve">LET OP! </t>
    </r>
    <r>
      <rPr>
        <sz val="10"/>
        <rFont val="Arial"/>
        <family val="2"/>
      </rPr>
      <t>De balansmutaties worden in de verdelingsmatrix voorzien van economische categorieën.</t>
    </r>
  </si>
  <si>
    <t>Overzicht van balansstanden</t>
  </si>
  <si>
    <r>
      <t>Op kwartaal- en jaarbasis worden balans</t>
    </r>
    <r>
      <rPr>
        <b/>
        <sz val="10"/>
        <rFont val="Arial"/>
        <family val="2"/>
      </rPr>
      <t>standen</t>
    </r>
    <r>
      <rPr>
        <sz val="10"/>
        <rFont val="Arial"/>
        <family val="2"/>
      </rPr>
      <t xml:space="preserve"> gevraagd (zowel primo als ultimo). </t>
    </r>
  </si>
  <si>
    <t>Per kwartaal wordt de financiële balans en per jaar een volledige balans gevraagd.</t>
  </si>
  <si>
    <t>Volgens het BBV moet u op kwartaal- en jaarbasis financiële gegevens aan het CBS sturen in de vorm van een verdelingsmatrix en een overzicht van balansstanden. Het BBV stelt tevens dat het college verplicht is een schriftelijke verklaring over de betrouwbaarheid van de gegevens te sturen naar het CBS.</t>
  </si>
  <si>
    <t xml:space="preserve">Elke levering aan het CBS bestaat uit één zip-bestand, waarin de Iv3-matrix (Excel- of XBRL-formaat) en de </t>
  </si>
  <si>
    <t>Akkoordverklaring (gescand in pdf-formaat) zijn opgenomen. Verzending geschiedt middels uploaden via</t>
  </si>
  <si>
    <r>
      <t xml:space="preserve">              </t>
    </r>
    <r>
      <rPr>
        <b/>
        <sz val="10"/>
        <rFont val="Arial"/>
        <family val="2"/>
      </rPr>
      <t>AKK</t>
    </r>
    <r>
      <rPr>
        <sz val="10"/>
        <rFont val="Arial"/>
        <family val="2"/>
      </rPr>
      <t xml:space="preserve"> staat voor Akkoordverklaring </t>
    </r>
  </si>
  <si>
    <r>
      <t xml:space="preserve">                          </t>
    </r>
    <r>
      <rPr>
        <b/>
        <sz val="10"/>
        <rFont val="Arial"/>
        <family val="2"/>
      </rPr>
      <t>p</t>
    </r>
    <r>
      <rPr>
        <sz val="10"/>
        <rFont val="Arial"/>
        <family val="2"/>
      </rPr>
      <t xml:space="preserve">  = periode (0 = begroting, 1-4 = kwartalen, 5 = jaar)</t>
    </r>
  </si>
  <si>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</si>
  <si>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</si>
  <si>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Vorderingen op openbare lichamen</t>
  </si>
  <si>
    <t>De balansposten staan in tabblad "7.Balansstanden". De regels die op kwartaalbasis niet ingevuld hoeven te worden zijn in dit model verborgen. Uitleg over de afzonderlijke balansposten is opgenomen in de artikelen 30 t/m 58 van het BBV.</t>
  </si>
  <si>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</si>
  <si>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</si>
  <si>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</si>
  <si>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</si>
  <si>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</si>
  <si>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t>kp_kpl</t>
  </si>
  <si>
    <t>kp_ovg</t>
  </si>
  <si>
    <t>Voor vragen en/of opmerkingen over inhoudelijke Iv3-zaken kunt u contact opnemen met:</t>
  </si>
  <si>
    <t>Centraal Bureau voor de Statistiek       •       Statistics Netherlands</t>
  </si>
  <si>
    <t>In verband met de automatische verwerking verzoek ik u, indien u via Excel instuurt, dit bestand te gebruiken en geen wijzigingen in (de opmaak van) dit bestand aan te brengen. Voor meer informatie over de toezending, verwijs ik u naar het tabblad "2.Adressering".</t>
  </si>
  <si>
    <t>De naamgeving van de bestanden met de gegevens die u toestuurt, dient als volgt te zijn:</t>
  </si>
  <si>
    <t>In tabblad 4.Informatie wordt u gevraagd om contactinformatie over uw provincie, de periode waarop de ingestuurde vragenlijst betrekking heeft, en gegevens over de invuller en/of contactpersoon te vermelden.</t>
  </si>
  <si>
    <t xml:space="preserve">                               nnnn = provincienummer, dit nummer is te vinden in de opvraagbrief en tevens </t>
  </si>
  <si>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</si>
  <si>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r>
      <t xml:space="preserve">                            </t>
    </r>
    <r>
      <rPr>
        <b/>
        <sz val="10"/>
        <rFont val="Arial"/>
        <family val="2"/>
      </rPr>
      <t>03</t>
    </r>
    <r>
      <rPr>
        <sz val="10"/>
        <rFont val="Arial"/>
        <family val="2"/>
      </rPr>
      <t xml:space="preserve"> = groepsnummer (provincie = 03)</t>
    </r>
  </si>
  <si>
    <t>De jaargegevens dienen vóór 15 juli na afloop van het jaar, voorzien van een verklaring van het college, door het CBS ontvangen te zijn.</t>
  </si>
  <si>
    <t>De verstrekte informatie geeft naar ons oordeel een getrouw beeld van de baten en lasten</t>
  </si>
  <si>
    <t>en de balanspositie. Daarbij is meer in het bijzonder het volgende van toepassing:</t>
  </si>
  <si>
    <t>De verdelingsmatrix is opgesteld overeenkomstig het model en de toelichting in De Ministeriële regeling informatie voor derden. Daarbij geldt dat:</t>
  </si>
  <si>
    <t>•</t>
  </si>
  <si>
    <t>de functionele indeling van de baten en lasten is overeenkomstig de toelichting op de functies in de regeling;</t>
  </si>
  <si>
    <t>de categoriale indeling van de baten en lasten is overeenkomstig de toelichting op de categorieën in de regeling;</t>
  </si>
  <si>
    <t xml:space="preserve">    •</t>
  </si>
  <si>
    <t>de balansmutaties zijn toegedeeld naar de categorieën overeenkomstig de toelichting op de categorieën in de regeling;</t>
  </si>
  <si>
    <t>Het balansstandenoverzicht is samengesteld volgens de voorschriften van het Besluit (artikelen 30 t/m 58).</t>
  </si>
  <si>
    <t>Het totaal van de baten en van de lasten van de rekening is gelijk aan het totaal van de baten en van de lasten op de functies.</t>
  </si>
  <si>
    <t>EMU-saldo berekend uit de financiële rekening (categorie 7)</t>
  </si>
  <si>
    <r>
      <t xml:space="preserve">Conform het Besluit begroting en verantwoording provincies en gemeenten, in het bijzonder artikel 74 en de Ministeriële regeling informatie voor derden van 6 februari 2003 sturen wij u de vereiste informatie voor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</si>
  <si>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Hoofddirectie Economie, Bedrijven en Nationale rekeningen</t>
  </si>
  <si>
    <t>Voor de jaarrealisatie is de uiterlijke inzenddatum vóór 15 juli na afloop van het betreffende jaar.</t>
  </si>
  <si>
    <t>Informatie voor derden (Iv3)</t>
  </si>
  <si>
    <t>Hiervoor ontvangt u van het CBS na de opvraagbrief voor de jaarrekening per e-mail de uploadgegevens. Na het uploaden van de gegevens krijgt u een ontvangstbevestiging op het scherm.</t>
  </si>
  <si>
    <t>U wordt verzocht de jaargegevens te verstrekken in eXtensible Business Reporting Language (XBRL). Hiervoor heeft het CBS een zogenaamde taxonomie ontwikkeld die op de website van Bureau Kredo van het CBS te vinden is. Mocht XBRL voor u nog niet mogelijk zijn, dan verzoekt het CBS u voor de aanlevering van de jaargegevens gebruik te maken van dit Excel-bestand. In dit bestand bevinden zich tabbladen die u (automatisch) kunt vullen.</t>
  </si>
  <si>
    <t>toets 1 saldo niet-financiële rekening - saldo financiële rekening</t>
  </si>
  <si>
    <t>toets 2 gebruik juiste categorieën op financiële balans</t>
  </si>
  <si>
    <t>toets 3  ontwikkeling balansstanden - mutaties in de matrix</t>
  </si>
  <si>
    <t>toets 4  categorie 0.0</t>
  </si>
  <si>
    <t>toets 5 verrekencategorieën</t>
  </si>
  <si>
    <t>Dhr. dr. H. Verduin</t>
  </si>
  <si>
    <t>Overige inkomensover-drachten</t>
  </si>
  <si>
    <t>Saldo van de rekening van baten en lasten</t>
  </si>
  <si>
    <t>Resultaat van de rekening van baten en lasten</t>
  </si>
  <si>
    <r>
      <t xml:space="preserve">De gevraagde informatie behoort voorzien te zijn van een </t>
    </r>
    <r>
      <rPr>
        <b/>
        <i/>
        <sz val="10"/>
        <rFont val="Arial"/>
        <family val="2"/>
      </rPr>
      <t>ondertekende schriftelijke verklaring</t>
    </r>
    <r>
      <rPr>
        <sz val="10"/>
        <rFont val="Arial"/>
        <family val="2"/>
      </rPr>
      <t xml:space="preserve"> van het college (BBV art. 72 lid 3 en art. 74 lid 2) dat de gegevens aan de gestelde eisen voldoen. Een voorbeeldmodel is opgenomen in Begroten en Verantwoorden Deel 4: 'Uitvoering informatie voor derden', circulaire van 5 september 2003, en het tabblad 8.Akkoordverklaring.</t>
    </r>
  </si>
  <si>
    <r>
      <t xml:space="preserve">Wij verzoeken u de bedragen op te geven als positieve getallen (zowel lasten als baten) en in duizendtallen, 
bijv. </t>
    </r>
    <r>
      <rPr>
        <b/>
        <sz val="10"/>
        <rFont val="Arial"/>
        <family val="2"/>
      </rPr>
      <t>€ 23.810,-</t>
    </r>
    <r>
      <rPr>
        <sz val="10"/>
        <rFont val="Arial"/>
        <family val="2"/>
      </rPr>
      <t xml:space="preserve"> invullen als </t>
    </r>
    <r>
      <rPr>
        <b/>
        <sz val="10"/>
        <rFont val="Arial"/>
        <family val="2"/>
      </rPr>
      <t>24</t>
    </r>
    <r>
      <rPr>
        <sz val="10"/>
        <rFont val="Arial"/>
        <family val="2"/>
      </rPr>
      <t>.</t>
    </r>
  </si>
  <si>
    <r>
      <t xml:space="preserve">Meer informatie kunt u vinden op </t>
    </r>
    <r>
      <rPr>
        <b/>
        <sz val="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</si>
  <si>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t>De omschrijving van functie 0.7 "Saldo van de rekening van baten en lasten voor bestemming" is gewijzigd in "Saldo van de rekening van baten en lasten". De omschrijving van functie 0.9 "Saldo van de rekening van baten en lasten na bestemming" is gewijzigd in "Resultaat van de rekening van baten en lasten". De inhoud van beide functies is niet gewijzigd.</t>
  </si>
  <si>
    <t>Daarnaast is de omschrijving van de balanspost A23 gewijzigd van ‘Liquide middelen (kas, bank en giro)’  in ‘Liquide middelen (kas en banksaldi)’. De omschrijving van balanspost P212 is gewijzigd van ‘Bank- en girosaldi’ in ‘Banksaldi'.</t>
  </si>
  <si>
    <t>Wijzigingen model 2013</t>
  </si>
  <si>
    <t>Liquide middelen (kas en banksaldi)</t>
  </si>
  <si>
    <t>Vlottende schuld: Banksaldi</t>
  </si>
  <si>
    <t>Banksaldi</t>
  </si>
  <si>
    <t>Het model 2013 van de Iv3-matrix is inhoudelijk niet veranderd ten opzichte van het model 2013. Wel zijn de omschrijvingen van de functies 0.7 en 0.9 aangepast conform de wijzigingen in het Besluit van 25 juni 2013 tot wijziging van het BBV.</t>
  </si>
  <si>
    <r>
      <t>Let op</t>
    </r>
    <r>
      <rPr>
        <sz val="10"/>
        <color indexed="8"/>
        <rFont val="Arial"/>
        <family val="2"/>
      </rPr>
      <t xml:space="preserve">: Wijzigingen van de contactpersoon kunt u niet via de upload-pagina doorvoeren. Mutaties van de contactpersoon dient u via </t>
    </r>
    <r>
      <rPr>
        <u/>
        <sz val="10"/>
        <color indexed="8"/>
        <rFont val="Arial"/>
        <family val="2"/>
      </rPr>
      <t>https://www.rijksoverheid.nl/onderwerpen/provincies/provinciale-financien/specifieke-uitkeringeb/doorgeven-of-wijzigen-contactgegevens-sisa-en-of-iv3</t>
    </r>
    <r>
      <rPr>
        <sz val="10"/>
        <color indexed="8"/>
        <rFont val="Arial"/>
        <family val="2"/>
      </rPr>
      <t>, door te geven aan het Ministerie van BZK.</t>
    </r>
  </si>
  <si>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verloopt de communicatie over de levering van de Iv3 en de berichtgever uitsluitend via deze contactpersoon. Het ministerie van BZK gaat uit van de huidige lijst van contactpersonen, zoals deze bij het CBS bekend zijn. Wijziging van de contactpersoon dient u via https://www.rijksoverheid.nl/onderwerpen/provincies/provinciale-financien/specifieke-uitkeringeb/doorgeven-of-wijzigen-contactgegevens-sisa-en-of-iv3 door te geven aan het Ministerie van BZK.</t>
    </r>
  </si>
  <si>
    <t>Vaste schuld: Onderhandse leningen van buitenlandse instellingen</t>
  </si>
  <si>
    <t>Onderhandse leningen van buitenlandse instellingen</t>
  </si>
  <si>
    <t>Directeur statistieken overheidsfinanciën en consumentenprijzen</t>
  </si>
  <si>
    <r>
      <t xml:space="preserve">       </t>
    </r>
    <r>
      <rPr>
        <b/>
        <sz val="10"/>
        <rFont val="Courier"/>
        <family val="3"/>
      </rPr>
      <t>KRDjjp03nnnn.xls</t>
    </r>
    <r>
      <rPr>
        <sz val="10"/>
        <rFont val="Arial"/>
        <family val="2"/>
      </rPr>
      <t xml:space="preserve"> (bijv. KRD145030006.xls)</t>
    </r>
  </si>
  <si>
    <r>
      <t xml:space="preserve">       </t>
    </r>
    <r>
      <rPr>
        <b/>
        <sz val="10"/>
        <rFont val="Courier"/>
        <family val="3"/>
      </rPr>
      <t>AKKjjp03nnnn.pdf</t>
    </r>
    <r>
      <rPr>
        <sz val="10"/>
        <rFont val="Arial"/>
        <family val="2"/>
      </rPr>
      <t xml:space="preserve"> (bijv. AKK145030006.pdf)</t>
    </r>
  </si>
  <si>
    <r>
      <t xml:space="preserve">       </t>
    </r>
    <r>
      <rPr>
        <b/>
        <sz val="10"/>
        <rFont val="Courier"/>
        <family val="3"/>
      </rPr>
      <t>KRDjjp03nnnn.zip</t>
    </r>
    <r>
      <rPr>
        <sz val="10"/>
        <rFont val="Arial"/>
        <family val="2"/>
      </rPr>
      <t xml:space="preserve"> (bijv. KRD145030006.zip)</t>
    </r>
  </si>
  <si>
    <t xml:space="preserve">                                                                                      Kredo - 2014 - periode 5 - provincie - Utrecht</t>
  </si>
  <si>
    <r>
      <t xml:space="preserve">                      </t>
    </r>
    <r>
      <rPr>
        <b/>
        <sz val="10"/>
        <rFont val="Arial"/>
        <family val="2"/>
      </rPr>
      <t>jj</t>
    </r>
    <r>
      <rPr>
        <sz val="10"/>
        <rFont val="Arial"/>
        <family val="2"/>
      </rPr>
      <t xml:space="preserve">  = jaar, bijvoorbeeld voor 2014 wordt het 14</t>
    </r>
  </si>
  <si>
    <t>Dit bestand is bestemd voor de inzending van de jaarrealisatie over 2014.</t>
  </si>
  <si>
    <t>Wijzigingen model 2014</t>
  </si>
  <si>
    <t>Extra informatie i.v.m. Wet Schatkistbankieren</t>
  </si>
  <si>
    <t>NB. Dit zijn waarvan-posten die onderdeel uitmaken van de bovenstaande posten met (afgezien van de eindletter) dezelfde codering.</t>
  </si>
  <si>
    <t>Leningen aan openbare lichamen (art. 1a Wet fido)</t>
  </si>
  <si>
    <t>A1331a</t>
  </si>
  <si>
    <t>Uitzettingen in ’s Rijks schatkist met looptijd ≥ 1 jaar</t>
  </si>
  <si>
    <t>A1332a</t>
  </si>
  <si>
    <t>Uitzettingen in de vorm van Nederlands schuldpapier met looptijd ≥ 1 jaar</t>
  </si>
  <si>
    <t>A1332b</t>
  </si>
  <si>
    <t>Verstrekte kasgeldleningen aan openbare lichamen (art. 1a Wet fido)</t>
  </si>
  <si>
    <t>A222a</t>
  </si>
  <si>
    <t>Rekening courant verhouding met het Rijk</t>
  </si>
  <si>
    <t>A223a</t>
  </si>
  <si>
    <r>
      <t xml:space="preserve">Uitzettingen in ’s Rijks schatkist met looptijd </t>
    </r>
    <r>
      <rPr>
        <sz val="10"/>
        <rFont val="Calibri"/>
        <family val="2"/>
      </rPr>
      <t>&lt;</t>
    </r>
    <r>
      <rPr>
        <sz val="10"/>
        <rFont val="Arial"/>
        <family val="2"/>
      </rPr>
      <t xml:space="preserve"> 1 jaar</t>
    </r>
  </si>
  <si>
    <t>A225a</t>
  </si>
  <si>
    <t>Uitzettingen in de vorm van Nederlands schuldpapier met looptijd &lt; 1 jaar</t>
  </si>
  <si>
    <t>A225b</t>
  </si>
  <si>
    <t>Onderhandse leningen van openbare lichamen (art. 1a Wet fido)</t>
  </si>
  <si>
    <t>P135a</t>
  </si>
  <si>
    <t>Kasgeldleningen van openbare lichamen (art. 1a Wet fido)</t>
  </si>
  <si>
    <t>P211a</t>
  </si>
  <si>
    <t>De opstelling van de functionele indeling, de categoriale indeling, de categoriale indeling van de balansmutaties en van de Verdelingsmatrix op basis van de jaarrekening 2014 is, indien nog geen accountantsverklaring is voorgelegd bij een voorgaande verslagperiode, voorzien van een verklaring van de accountant van de provincie.</t>
  </si>
  <si>
    <t>Den Haag, maart 2015</t>
  </si>
  <si>
    <r>
      <t xml:space="preserve">Het model 2014 van de Iv3-matrix is inhoudelijk niet veranderd ten opzichte van het model 2013. Wel is een (vrijwillig in te vullen) deel met betrekking tot het schatkistbankieren toegevoegd aan tabblad 7.Balansstanden. </t>
    </r>
    <r>
      <rPr>
        <sz val="10"/>
        <rFont val="Arial"/>
        <family val="2"/>
      </rPr>
      <t>Zie voor meer informatie tabblad "3. Toelichting".</t>
    </r>
  </si>
  <si>
    <t>Het model 2014 van de Iv3-matrix is inhoudelijk niet veranderd ten opzichte van het model 2013. Wel is een (vrijwillig in te vullen) deel met betrekking tot het schatkistbankieren toegevoegd aan tabblad 7.Balansstanden. 
Over het verslagjaar 2014 is het verstrekken van informatie over het schatkistbankieren in de Iv3 nog niet verplicht. 
Daarom zijn op tabblad 7.Balansstanden onderaan negen nieuwe, tijdelijke ‘waarvan-posten’ toegevoegd. Deze additionele informatie wordt gevraagd in het kader van de Wet schatkistbankieren en is van belang voor de consolidatie van de overheidsschuld. Een gedetailleerde toelichting op deze posten is op te vragen bij het Ministerie van Binnenlandse Zaken en Koninkrijksrelaties.
Met ingang van het verslagjaar 2015 worden de posten op tabblad 7.Balansstanden opgenomen in het nieuwe verplichte balansmodel van de Iv3.</t>
  </si>
  <si>
    <t>provincie Groningen</t>
  </si>
  <si>
    <t>0001</t>
  </si>
  <si>
    <t>G.A. Veldman-Perdok</t>
  </si>
  <si>
    <t>Financiën &amp; Control</t>
  </si>
  <si>
    <t>Financieel beleidsmedewerkster</t>
  </si>
  <si>
    <t>050 3164261</t>
  </si>
  <si>
    <t>g.a.veldman.perdok@provinciegroningen.nl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</si>
</sst>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53">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sz val="6"/>
      <name val="Arial"/>
      <family val="2"/>
    </font>
    <font>
      <b/>
      <i/>
      <sz val="10"/>
      <color indexed="10"/>
      <name val="Arial"/>
      <family val="2"/>
    </font>
    <font>
      <sz val="8"/>
      <color indexed="48"/>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sz val="11"/>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sz val="8"/>
      <name val="Arial"/>
      <family val="2"/>
    </font>
    <font>
      <b/>
      <sz val="10"/>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i/>
      <sz val="9"/>
      <color indexed="8"/>
      <name val="Arial"/>
      <family val="2"/>
    </font>
    <font>
      <sz val="9"/>
      <name val="Arial"/>
      <family val="2"/>
    </font>
    <font>
      <i/>
      <sz val="9"/>
      <color indexed="48"/>
      <name val="Arial"/>
      <family val="2"/>
    </font>
    <font>
      <sz val="10"/>
      <name val="Courier"/>
      <family val="3"/>
    </font>
    <font>
      <b/>
      <sz val="10"/>
      <name val="Courier"/>
      <family val="3"/>
    </font>
    <font>
      <b/>
      <sz val="16"/>
      <name val="Arial"/>
      <family val="2"/>
    </font>
    <font>
      <sz val="12"/>
      <name val="Arial"/>
      <family val="2"/>
    </font>
    <font>
      <sz val="10"/>
      <color indexed="9"/>
      <name val="Arial"/>
      <family val="2"/>
    </font>
    <font>
      <sz val="9"/>
      <color indexed="48"/>
      <name val="Arial"/>
      <family val="2"/>
    </font>
    <font>
      <u/>
      <sz val="10"/>
      <name val="Arial"/>
      <family val="2"/>
    </font>
    <font>
      <u/>
      <sz val="10"/>
      <color indexed="8"/>
      <name val="Arial"/>
      <family val="2"/>
    </font>
    <font>
      <b/>
      <sz val="13"/>
      <color indexed="48"/>
      <name val="Arial"/>
      <family val="2"/>
    </font>
    <font>
      <b/>
      <sz val="9"/>
      <color indexed="17"/>
      <name val="Arial"/>
      <family val="2"/>
    </font>
    <font>
      <b/>
      <sz val="9"/>
      <color indexed="10"/>
      <name val="Arial"/>
      <family val="2"/>
    </font>
    <font>
      <sz val="10"/>
      <name val="Calibri"/>
      <family val="2"/>
    </font>
  </fonts>
  <fills count="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indexed="41"/>
        <bgColor indexed="64"/>
      </patternFill>
    </fill>
    <fill>
      <patternFill patternType="solid">
        <fgColor indexed="8"/>
        <bgColor indexed="64"/>
      </patternFill>
    </fill>
    <fill>
      <patternFill patternType="solid">
        <fgColor indexed="13"/>
        <bgColor indexed="64"/>
      </patternFill>
    </fill>
  </fills>
  <borders count="97">
    <border>
      <left/>
      <right/>
      <top/>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2"/>
      </left>
      <right style="thin">
        <color indexed="22"/>
      </right>
      <top/>
      <bottom style="thin">
        <color indexed="22"/>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8"/>
      </left>
      <right/>
      <top style="thin">
        <color indexed="8"/>
      </top>
      <bottom style="thin">
        <color indexed="8"/>
      </bottom>
      <diagonal/>
    </border>
    <border>
      <left style="thin">
        <color indexed="64"/>
      </left>
      <right/>
      <top/>
      <bottom style="thin">
        <color indexed="64"/>
      </bottom>
      <diagonal/>
    </border>
    <border>
      <left style="thin">
        <color indexed="8"/>
      </left>
      <right style="thin">
        <color indexed="8"/>
      </right>
      <top style="thin">
        <color indexed="8"/>
      </top>
      <bottom style="hair">
        <color indexed="22"/>
      </bottom>
      <diagonal/>
    </border>
    <border>
      <left style="thin">
        <color indexed="8"/>
      </left>
      <right style="thin">
        <color indexed="8"/>
      </right>
      <top style="hair">
        <color indexed="22"/>
      </top>
      <bottom style="hair">
        <color indexed="22"/>
      </bottom>
      <diagonal/>
    </border>
    <border>
      <left style="thin">
        <color indexed="8"/>
      </left>
      <right style="thin">
        <color indexed="8"/>
      </right>
      <top style="thin">
        <color indexed="64"/>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64"/>
      </bottom>
      <diagonal/>
    </border>
    <border>
      <left style="thin">
        <color indexed="8"/>
      </left>
      <right style="thin">
        <color indexed="8"/>
      </right>
      <top style="hair">
        <color indexed="22"/>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style="hair">
        <color indexed="22"/>
      </bottom>
      <diagonal/>
    </border>
    <border>
      <left style="thin">
        <color indexed="8"/>
      </left>
      <right style="thin">
        <color indexed="8"/>
      </right>
      <top style="hair">
        <color indexed="22"/>
      </top>
      <bottom style="medium">
        <color indexed="8"/>
      </bottom>
      <diagonal/>
    </border>
    <border>
      <left style="thin">
        <color indexed="64"/>
      </left>
      <right/>
      <top/>
      <bottom/>
      <diagonal/>
    </border>
    <border>
      <left style="thin">
        <color indexed="8"/>
      </left>
      <right style="thin">
        <color indexed="8"/>
      </right>
      <top/>
      <bottom style="medium">
        <color indexed="8"/>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22"/>
      </left>
      <right style="thin">
        <color indexed="22"/>
      </right>
      <top style="thin">
        <color indexed="22"/>
      </top>
      <bottom/>
      <diagonal/>
    </border>
    <border>
      <left style="thin">
        <color indexed="8"/>
      </left>
      <right style="thin">
        <color indexed="8"/>
      </right>
      <top style="hair">
        <color indexed="22"/>
      </top>
      <bottom style="thin">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style="thin">
        <color indexed="22"/>
      </right>
      <top style="thin">
        <color indexed="22"/>
      </top>
      <bottom/>
      <diagonal/>
    </border>
    <border>
      <left style="medium">
        <color indexed="64"/>
      </left>
      <right style="thin">
        <color indexed="64"/>
      </right>
      <top/>
      <bottom/>
      <diagonal/>
    </border>
    <border>
      <left style="thin">
        <color indexed="22"/>
      </left>
      <right/>
      <top style="thin">
        <color indexed="64"/>
      </top>
      <bottom style="thin">
        <color indexed="22"/>
      </bottom>
      <diagonal/>
    </border>
    <border>
      <left/>
      <right/>
      <top style="thin">
        <color indexed="64"/>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diagonal/>
    </border>
    <border>
      <left/>
      <right style="medium">
        <color indexed="64"/>
      </right>
      <top style="thin">
        <color indexed="64"/>
      </top>
      <bottom style="medium">
        <color indexed="64"/>
      </bottom>
      <diagonal/>
    </border>
  </borders>
  <cellStyleXfs count="5">
    <xf numFmtId="0" fontId="0" fillId="0" borderId="0"/>
    <xf numFmtId="169" fontId="16"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6" fillId="0" borderId="0"/>
  </cellStyleXfs>
  <cellXfs count="539">
    <xf numFmtId="0" fontId="0" fillId="0" borderId="0" xfId="0"/>
    <xf numFmtId="0" fontId="8" fillId="0" borderId="0" xfId="0" applyFont="1" applyAlignment="1">
      <alignment vertical="center"/>
    </xf>
    <xf numFmtId="49" fontId="8"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49" fontId="10" fillId="0" borderId="0" xfId="0" applyNumberFormat="1" applyFont="1" applyAlignment="1" applyProtection="1">
      <alignment horizontal="left"/>
    </xf>
    <xf numFmtId="0" fontId="5" fillId="0" borderId="0" xfId="0" applyNumberFormat="1" applyFont="1" applyAlignment="1" applyProtection="1">
      <alignment wrapText="1"/>
    </xf>
    <xf numFmtId="49" fontId="5"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xf>
    <xf numFmtId="0" fontId="5" fillId="0" borderId="0" xfId="0" applyNumberFormat="1" applyFont="1" applyAlignment="1" applyProtection="1">
      <alignment horizontal="left" wrapText="1"/>
    </xf>
    <xf numFmtId="49" fontId="8" fillId="0" borderId="0" xfId="0" applyNumberFormat="1" applyFont="1" applyAlignment="1" applyProtection="1">
      <alignment wrapText="1"/>
    </xf>
    <xf numFmtId="49" fontId="8" fillId="0" borderId="0" xfId="0" applyNumberFormat="1" applyFont="1" applyAlignment="1" applyProtection="1">
      <alignment horizontal="left" wrapText="1"/>
    </xf>
    <xf numFmtId="49" fontId="11" fillId="0" borderId="0" xfId="2" applyNumberFormat="1" applyFont="1" applyAlignment="1" applyProtection="1">
      <alignment horizontal="left" wrapText="1" indent="3"/>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0" borderId="0" xfId="0" applyNumberFormat="1" applyFont="1"/>
    <xf numFmtId="49" fontId="17" fillId="0" borderId="0" xfId="0" applyNumberFormat="1" applyFont="1" applyBorder="1"/>
    <xf numFmtId="0" fontId="19" fillId="2" borderId="0" xfId="0" applyFont="1" applyFill="1" applyAlignment="1" applyProtection="1">
      <alignment horizontal="right"/>
    </xf>
    <xf numFmtId="49" fontId="17" fillId="0" borderId="0" xfId="0" applyNumberFormat="1" applyFont="1" applyAlignment="1">
      <alignment vertical="center"/>
    </xf>
    <xf numFmtId="49" fontId="17" fillId="0" borderId="0" xfId="0" applyNumberFormat="1" applyFont="1" applyAlignment="1"/>
    <xf numFmtId="0" fontId="7" fillId="0" borderId="0" xfId="0" applyFont="1" applyAlignment="1" applyProtection="1">
      <alignment horizontal="left"/>
    </xf>
    <xf numFmtId="0" fontId="18" fillId="3" borderId="0" xfId="0" applyFont="1" applyFill="1" applyBorder="1" applyAlignment="1" applyProtection="1">
      <alignment horizontal="center"/>
    </xf>
    <xf numFmtId="0" fontId="19" fillId="3" borderId="0" xfId="0" applyFont="1" applyFill="1" applyBorder="1" applyAlignment="1" applyProtection="1">
      <alignment horizontal="center"/>
    </xf>
    <xf numFmtId="0" fontId="7" fillId="0" borderId="0" xfId="0" applyFont="1" applyFill="1" applyProtection="1"/>
    <xf numFmtId="0" fontId="21" fillId="3" borderId="0" xfId="0" applyFont="1" applyFill="1" applyBorder="1" applyAlignment="1" applyProtection="1">
      <alignment horizontal="left"/>
    </xf>
    <xf numFmtId="0" fontId="7" fillId="2" borderId="0" xfId="0" applyFont="1" applyFill="1" applyBorder="1" applyAlignment="1" applyProtection="1">
      <alignment horizontal="center"/>
    </xf>
    <xf numFmtId="0" fontId="22" fillId="0" borderId="2" xfId="0" applyFont="1" applyFill="1" applyBorder="1" applyAlignment="1">
      <alignment horizontal="left" vertical="top"/>
    </xf>
    <xf numFmtId="0" fontId="22" fillId="0" borderId="3" xfId="0" applyFont="1" applyFill="1" applyBorder="1" applyAlignment="1">
      <alignment vertical="top"/>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Fill="1" applyBorder="1" applyAlignment="1">
      <alignment horizontal="center" vertical="center"/>
    </xf>
    <xf numFmtId="1" fontId="22" fillId="0" borderId="7" xfId="0" applyNumberFormat="1" applyFont="1" applyFill="1" applyBorder="1" applyAlignment="1">
      <alignment horizontal="left"/>
    </xf>
    <xf numFmtId="1" fontId="22" fillId="0" borderId="8" xfId="0" applyNumberFormat="1" applyFont="1" applyFill="1" applyBorder="1" applyAlignment="1">
      <alignment horizontal="right" vertical="center"/>
    </xf>
    <xf numFmtId="0" fontId="23" fillId="0" borderId="0" xfId="0" applyFont="1" applyBorder="1" applyAlignment="1">
      <alignment vertical="center"/>
    </xf>
    <xf numFmtId="0" fontId="2" fillId="0" borderId="9" xfId="0" applyFont="1" applyFill="1" applyBorder="1" applyAlignment="1">
      <alignment vertical="center"/>
    </xf>
    <xf numFmtId="0" fontId="23" fillId="0" borderId="0" xfId="0" applyFont="1" applyFill="1" applyBorder="1" applyAlignment="1">
      <alignment vertical="center"/>
    </xf>
    <xf numFmtId="0" fontId="2" fillId="2" borderId="10" xfId="0" applyFont="1" applyFill="1" applyBorder="1" applyAlignment="1">
      <alignment vertical="center"/>
    </xf>
    <xf numFmtId="0" fontId="23" fillId="2" borderId="11" xfId="0" applyFont="1" applyFill="1" applyBorder="1" applyAlignment="1">
      <alignment vertical="center"/>
    </xf>
    <xf numFmtId="0" fontId="23" fillId="0" borderId="0" xfId="0" applyFont="1" applyBorder="1"/>
    <xf numFmtId="0" fontId="25" fillId="0" borderId="12" xfId="0" applyFont="1" applyBorder="1" applyAlignment="1">
      <alignment horizontal="center"/>
    </xf>
    <xf numFmtId="0" fontId="25" fillId="0" borderId="13" xfId="0" applyFont="1" applyBorder="1"/>
    <xf numFmtId="0" fontId="24" fillId="0" borderId="9" xfId="0" applyFont="1" applyFill="1" applyBorder="1" applyAlignment="1">
      <alignment vertical="center"/>
    </xf>
    <xf numFmtId="0" fontId="24" fillId="0" borderId="14" xfId="0" applyFont="1" applyFill="1" applyBorder="1" applyAlignment="1">
      <alignment vertical="center"/>
    </xf>
    <xf numFmtId="0" fontId="25" fillId="0" borderId="13" xfId="0" applyFont="1" applyFill="1" applyBorder="1" applyAlignment="1">
      <alignment vertical="center"/>
    </xf>
    <xf numFmtId="0" fontId="23" fillId="2" borderId="15" xfId="0" applyFont="1" applyFill="1" applyBorder="1" applyAlignment="1">
      <alignment vertical="center"/>
    </xf>
    <xf numFmtId="0" fontId="23" fillId="2" borderId="16" xfId="0" applyFont="1" applyFill="1" applyBorder="1" applyAlignment="1">
      <alignment vertical="center"/>
    </xf>
    <xf numFmtId="0" fontId="2" fillId="0" borderId="0" xfId="0" applyFont="1" applyFill="1" applyBorder="1" applyAlignment="1">
      <alignment vertical="center"/>
    </xf>
    <xf numFmtId="0" fontId="28" fillId="4" borderId="0" xfId="0" applyFont="1" applyFill="1" applyAlignment="1" applyProtection="1">
      <alignment vertical="center"/>
    </xf>
    <xf numFmtId="0" fontId="23" fillId="0" borderId="0" xfId="0" applyFont="1" applyAlignment="1" applyProtection="1">
      <alignment vertical="center"/>
    </xf>
    <xf numFmtId="0" fontId="28" fillId="0" borderId="0" xfId="0" applyFont="1" applyFill="1" applyAlignment="1" applyProtection="1">
      <alignment vertical="center"/>
    </xf>
    <xf numFmtId="0" fontId="29"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2" borderId="0" xfId="0" applyFont="1" applyFill="1" applyAlignment="1" applyProtection="1">
      <alignment horizontal="center"/>
    </xf>
    <xf numFmtId="49" fontId="30" fillId="2" borderId="0" xfId="0" applyNumberFormat="1" applyFont="1" applyFill="1" applyBorder="1" applyAlignment="1" applyProtection="1">
      <alignment horizontal="left"/>
    </xf>
    <xf numFmtId="0" fontId="30" fillId="2" borderId="0" xfId="0" applyFont="1" applyFill="1" applyAlignment="1" applyProtection="1"/>
    <xf numFmtId="168" fontId="30" fillId="2" borderId="0" xfId="0" applyNumberFormat="1" applyFont="1" applyFill="1" applyAlignment="1" applyProtection="1">
      <alignment horizontal="right"/>
    </xf>
    <xf numFmtId="0" fontId="19" fillId="2" borderId="0" xfId="0" applyFont="1" applyFill="1" applyAlignment="1" applyProtection="1"/>
    <xf numFmtId="165" fontId="19" fillId="3" borderId="0" xfId="0" applyNumberFormat="1" applyFont="1" applyFill="1" applyBorder="1" applyAlignment="1" applyProtection="1"/>
    <xf numFmtId="0" fontId="19" fillId="3" borderId="0" xfId="0" applyFont="1" applyFill="1" applyBorder="1" applyAlignment="1" applyProtection="1"/>
    <xf numFmtId="0" fontId="4" fillId="0" borderId="0" xfId="0" applyFont="1" applyBorder="1" applyAlignment="1" applyProtection="1"/>
    <xf numFmtId="0" fontId="7" fillId="2" borderId="17" xfId="0" applyFont="1" applyFill="1" applyBorder="1" applyAlignment="1" applyProtection="1"/>
    <xf numFmtId="49" fontId="7" fillId="2" borderId="0" xfId="0" applyNumberFormat="1" applyFont="1" applyFill="1" applyBorder="1" applyAlignment="1" applyProtection="1">
      <alignment horizontal="center"/>
    </xf>
    <xf numFmtId="165" fontId="30" fillId="2" borderId="0" xfId="0" applyNumberFormat="1" applyFont="1" applyFill="1" applyAlignment="1" applyProtection="1">
      <alignment horizontal="center"/>
    </xf>
    <xf numFmtId="166" fontId="30" fillId="2" borderId="0" xfId="0" applyNumberFormat="1" applyFont="1" applyFill="1" applyAlignment="1" applyProtection="1">
      <alignment horizontal="center"/>
    </xf>
    <xf numFmtId="0" fontId="7" fillId="2" borderId="0" xfId="0" applyFont="1" applyFill="1" applyBorder="1" applyAlignment="1" applyProtection="1"/>
    <xf numFmtId="0" fontId="31" fillId="0" borderId="0" xfId="0" applyFont="1" applyBorder="1" applyAlignment="1"/>
    <xf numFmtId="0" fontId="7" fillId="2" borderId="0" xfId="0" applyFont="1" applyFill="1" applyAlignment="1" applyProtection="1"/>
    <xf numFmtId="0" fontId="1" fillId="0" borderId="0" xfId="0" applyFont="1" applyBorder="1" applyAlignment="1"/>
    <xf numFmtId="0" fontId="33" fillId="0" borderId="0" xfId="0" applyFont="1" applyFill="1" applyBorder="1" applyAlignment="1"/>
    <xf numFmtId="0" fontId="32" fillId="2" borderId="0" xfId="0" applyFont="1" applyFill="1" applyAlignment="1" applyProtection="1">
      <alignment horizontal="left"/>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4" fillId="0" borderId="0" xfId="4" applyNumberFormat="1" applyFont="1" applyFill="1" applyBorder="1" applyAlignment="1">
      <alignment horizontal="left"/>
    </xf>
    <xf numFmtId="165" fontId="30" fillId="2" borderId="0" xfId="0" applyNumberFormat="1" applyFont="1" applyFill="1" applyBorder="1" applyAlignment="1" applyProtection="1">
      <alignment horizontal="center"/>
    </xf>
    <xf numFmtId="0" fontId="31" fillId="0" borderId="0" xfId="0" applyFont="1" applyFill="1" applyBorder="1" applyAlignment="1"/>
    <xf numFmtId="49" fontId="32" fillId="2" borderId="0" xfId="0" applyNumberFormat="1" applyFont="1" applyFill="1" applyBorder="1" applyAlignment="1" applyProtection="1">
      <alignment horizontal="left"/>
    </xf>
    <xf numFmtId="0" fontId="7" fillId="0" borderId="0" xfId="0" applyFont="1" applyAlignment="1" applyProtection="1">
      <alignment horizontal="center"/>
    </xf>
    <xf numFmtId="0" fontId="2" fillId="0" borderId="12" xfId="0" applyFont="1" applyBorder="1" applyAlignment="1">
      <alignment vertical="center"/>
    </xf>
    <xf numFmtId="0" fontId="2" fillId="0" borderId="18"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2" borderId="18" xfId="0" applyFont="1" applyFill="1" applyBorder="1" applyAlignment="1">
      <alignment vertical="top"/>
    </xf>
    <xf numFmtId="0" fontId="23" fillId="2" borderId="19" xfId="0" applyFont="1" applyFill="1" applyBorder="1" applyAlignment="1">
      <alignment vertical="top"/>
    </xf>
    <xf numFmtId="0" fontId="23" fillId="2" borderId="20" xfId="0" applyFont="1" applyFill="1" applyBorder="1" applyAlignment="1">
      <alignment horizontal="center" vertical="center" textRotation="90" wrapText="1"/>
    </xf>
    <xf numFmtId="0" fontId="23" fillId="2" borderId="0" xfId="0" applyFont="1" applyFill="1" applyBorder="1" applyAlignment="1">
      <alignment horizontal="center" vertical="center" textRotation="90" wrapText="1"/>
    </xf>
    <xf numFmtId="0" fontId="23" fillId="2" borderId="21" xfId="0" applyFont="1" applyFill="1" applyBorder="1" applyAlignment="1">
      <alignment horizontal="center" vertical="center" textRotation="90" wrapText="1"/>
    </xf>
    <xf numFmtId="0" fontId="23" fillId="0" borderId="12" xfId="0" applyFont="1" applyBorder="1" applyAlignment="1">
      <alignment horizontal="center" vertical="center"/>
    </xf>
    <xf numFmtId="0" fontId="23" fillId="0" borderId="18" xfId="0" applyFont="1" applyFill="1" applyBorder="1" applyAlignment="1">
      <alignment vertical="center"/>
    </xf>
    <xf numFmtId="0" fontId="23" fillId="0" borderId="22" xfId="0" applyFont="1" applyBorder="1" applyAlignment="1">
      <alignment horizontal="center" vertical="center"/>
    </xf>
    <xf numFmtId="0" fontId="23" fillId="2" borderId="10" xfId="0" applyFont="1" applyFill="1" applyBorder="1" applyAlignment="1">
      <alignment vertical="center"/>
    </xf>
    <xf numFmtId="0" fontId="2" fillId="0" borderId="9" xfId="0" applyFont="1" applyBorder="1" applyAlignment="1">
      <alignment vertical="center"/>
    </xf>
    <xf numFmtId="0" fontId="23" fillId="0" borderId="10" xfId="0" applyFont="1" applyBorder="1" applyAlignment="1">
      <alignment horizontal="center" vertical="center"/>
    </xf>
    <xf numFmtId="0" fontId="23" fillId="0" borderId="23" xfId="0" applyFont="1" applyBorder="1" applyAlignment="1">
      <alignment horizontal="center" vertical="center"/>
    </xf>
    <xf numFmtId="0" fontId="23" fillId="2" borderId="23" xfId="0" applyFont="1" applyFill="1" applyBorder="1" applyAlignment="1">
      <alignment vertical="center"/>
    </xf>
    <xf numFmtId="0" fontId="2" fillId="0" borderId="24" xfId="0" applyFont="1" applyBorder="1" applyAlignment="1">
      <alignment vertical="center"/>
    </xf>
    <xf numFmtId="0" fontId="23" fillId="2" borderId="19" xfId="0" applyFont="1" applyFill="1" applyBorder="1" applyAlignment="1">
      <alignment vertical="center"/>
    </xf>
    <xf numFmtId="0" fontId="22" fillId="0" borderId="18" xfId="0" applyFont="1" applyFill="1" applyBorder="1" applyAlignment="1">
      <alignment vertical="center"/>
    </xf>
    <xf numFmtId="0" fontId="22" fillId="0" borderId="0" xfId="0" applyFont="1" applyFill="1" applyBorder="1" applyAlignment="1">
      <alignment vertical="center"/>
    </xf>
    <xf numFmtId="0" fontId="23" fillId="0" borderId="12" xfId="0" applyFont="1" applyBorder="1" applyAlignment="1">
      <alignment vertical="center"/>
    </xf>
    <xf numFmtId="0" fontId="2" fillId="0" borderId="18" xfId="0" applyFont="1" applyFill="1" applyBorder="1" applyAlignment="1">
      <alignment vertical="center"/>
    </xf>
    <xf numFmtId="0" fontId="23" fillId="0" borderId="12" xfId="0" applyFont="1" applyBorder="1" applyAlignment="1">
      <alignment horizontal="center"/>
    </xf>
    <xf numFmtId="0" fontId="2" fillId="0" borderId="25" xfId="0" applyFont="1" applyBorder="1" applyAlignment="1">
      <alignment vertical="center"/>
    </xf>
    <xf numFmtId="0" fontId="2" fillId="0" borderId="25" xfId="0" applyFont="1" applyFill="1" applyBorder="1" applyAlignment="1">
      <alignment vertical="center"/>
    </xf>
    <xf numFmtId="0" fontId="23" fillId="0" borderId="0" xfId="0" applyFont="1" applyFill="1" applyBorder="1"/>
    <xf numFmtId="0" fontId="23" fillId="0" borderId="20" xfId="0" applyFont="1" applyFill="1" applyBorder="1" applyAlignment="1">
      <alignment vertical="center"/>
    </xf>
    <xf numFmtId="0" fontId="2" fillId="0" borderId="20" xfId="0" applyFont="1" applyFill="1" applyBorder="1" applyAlignment="1">
      <alignment vertical="center"/>
    </xf>
    <xf numFmtId="0" fontId="23" fillId="0" borderId="0" xfId="0" applyFont="1" applyBorder="1" applyAlignment="1">
      <alignment horizontal="center"/>
    </xf>
    <xf numFmtId="0" fontId="23" fillId="2" borderId="20" xfId="0" applyFont="1" applyFill="1" applyBorder="1" applyAlignment="1" applyProtection="1">
      <alignment horizontal="center" vertical="center" textRotation="90" wrapText="1"/>
    </xf>
    <xf numFmtId="0" fontId="23" fillId="2" borderId="0" xfId="0" applyFont="1" applyFill="1" applyBorder="1" applyAlignment="1" applyProtection="1">
      <alignment horizontal="center" vertical="center" textRotation="90" wrapText="1"/>
    </xf>
    <xf numFmtId="0" fontId="32" fillId="2" borderId="0" xfId="0" applyFont="1" applyFill="1" applyBorder="1" applyAlignment="1" applyProtection="1">
      <alignment horizontal="left"/>
    </xf>
    <xf numFmtId="0" fontId="1" fillId="2" borderId="0" xfId="0" applyFont="1" applyFill="1" applyBorder="1" applyAlignment="1" applyProtection="1">
      <alignment horizontal="center"/>
    </xf>
    <xf numFmtId="0" fontId="0" fillId="0" borderId="0" xfId="0" applyAlignment="1"/>
    <xf numFmtId="0" fontId="1" fillId="0" borderId="0" xfId="0" applyFont="1"/>
    <xf numFmtId="0" fontId="2" fillId="0" borderId="26" xfId="0" applyFont="1" applyBorder="1" applyAlignment="1">
      <alignment horizontal="center" vertical="center"/>
    </xf>
    <xf numFmtId="0" fontId="23" fillId="2" borderId="27" xfId="0" applyFont="1" applyFill="1" applyBorder="1" applyAlignment="1">
      <alignment vertical="top"/>
    </xf>
    <xf numFmtId="0" fontId="23" fillId="2" borderId="28" xfId="0" applyFont="1" applyFill="1" applyBorder="1" applyAlignment="1">
      <alignment vertical="top"/>
    </xf>
    <xf numFmtId="0" fontId="2" fillId="0" borderId="13" xfId="0" applyFont="1" applyBorder="1" applyAlignment="1">
      <alignment vertical="center"/>
    </xf>
    <xf numFmtId="0" fontId="23" fillId="0" borderId="13" xfId="0" applyFont="1" applyBorder="1" applyAlignment="1">
      <alignment vertical="center"/>
    </xf>
    <xf numFmtId="0" fontId="23" fillId="0" borderId="29" xfId="0" applyFont="1" applyBorder="1" applyAlignment="1">
      <alignment vertical="center"/>
    </xf>
    <xf numFmtId="0" fontId="2" fillId="0" borderId="14" xfId="0" applyFont="1" applyBorder="1" applyAlignment="1">
      <alignment vertical="center"/>
    </xf>
    <xf numFmtId="0" fontId="2" fillId="0" borderId="14" xfId="0" applyFont="1" applyFill="1" applyBorder="1" applyAlignment="1">
      <alignment vertical="center"/>
    </xf>
    <xf numFmtId="0" fontId="23" fillId="0" borderId="13" xfId="0" applyFont="1" applyBorder="1"/>
    <xf numFmtId="0" fontId="23" fillId="0" borderId="13" xfId="0" applyFont="1" applyFill="1" applyBorder="1"/>
    <xf numFmtId="0" fontId="23" fillId="0" borderId="29" xfId="0" applyFont="1" applyBorder="1"/>
    <xf numFmtId="0" fontId="23" fillId="2" borderId="30" xfId="0" applyFont="1" applyFill="1" applyBorder="1" applyAlignment="1">
      <alignment vertical="center"/>
    </xf>
    <xf numFmtId="0" fontId="23" fillId="2" borderId="28" xfId="0" applyFont="1" applyFill="1" applyBorder="1" applyAlignment="1">
      <alignment vertical="center"/>
    </xf>
    <xf numFmtId="0" fontId="23" fillId="0" borderId="13" xfId="0" applyFont="1" applyFill="1" applyBorder="1" applyAlignment="1">
      <alignment vertical="center"/>
    </xf>
    <xf numFmtId="0" fontId="23" fillId="0" borderId="31" xfId="0" applyFont="1" applyBorder="1" applyAlignment="1">
      <alignment vertical="center"/>
    </xf>
    <xf numFmtId="0" fontId="2" fillId="0" borderId="31" xfId="0" applyFont="1" applyFill="1" applyBorder="1" applyAlignment="1">
      <alignment vertical="center"/>
    </xf>
    <xf numFmtId="0" fontId="23" fillId="0" borderId="32" xfId="0" applyFont="1" applyBorder="1" applyAlignment="1">
      <alignment vertical="center"/>
    </xf>
    <xf numFmtId="0" fontId="31" fillId="0" borderId="0" xfId="0" applyFont="1" applyBorder="1" applyAlignment="1" applyProtection="1"/>
    <xf numFmtId="0" fontId="7" fillId="2" borderId="1" xfId="0" applyFont="1" applyFill="1" applyBorder="1" applyAlignment="1" applyProtection="1"/>
    <xf numFmtId="165" fontId="19" fillId="2" borderId="0" xfId="0" applyNumberFormat="1" applyFont="1" applyFill="1" applyAlignment="1" applyProtection="1"/>
    <xf numFmtId="3" fontId="38" fillId="0" borderId="0" xfId="4" applyNumberFormat="1" applyFont="1" applyFill="1" applyBorder="1" applyAlignment="1">
      <alignment horizontal="left"/>
    </xf>
    <xf numFmtId="0" fontId="7" fillId="0" borderId="33" xfId="0" applyFont="1" applyBorder="1" applyAlignment="1" applyProtection="1"/>
    <xf numFmtId="0" fontId="13" fillId="0" borderId="33" xfId="0" applyFont="1" applyBorder="1" applyAlignment="1" applyProtection="1"/>
    <xf numFmtId="0" fontId="7" fillId="2" borderId="34" xfId="0" applyFont="1" applyFill="1" applyBorder="1" applyAlignment="1" applyProtection="1"/>
    <xf numFmtId="49" fontId="7" fillId="2" borderId="33" xfId="0" applyNumberFormat="1" applyFont="1" applyFill="1" applyBorder="1" applyAlignment="1" applyProtection="1">
      <alignment horizontal="center"/>
    </xf>
    <xf numFmtId="165" fontId="19" fillId="2" borderId="33" xfId="0" applyNumberFormat="1" applyFont="1" applyFill="1" applyBorder="1" applyAlignment="1" applyProtection="1"/>
    <xf numFmtId="0" fontId="7" fillId="2" borderId="33" xfId="0" applyFont="1" applyFill="1" applyBorder="1" applyAlignment="1" applyProtection="1"/>
    <xf numFmtId="0" fontId="13" fillId="0" borderId="0" xfId="0" applyFont="1"/>
    <xf numFmtId="0" fontId="7" fillId="2" borderId="0" xfId="0" applyFont="1" applyFill="1" applyBorder="1" applyAlignment="1" applyProtection="1">
      <alignment horizontal="left"/>
    </xf>
    <xf numFmtId="0" fontId="5" fillId="2" borderId="0" xfId="0" applyFont="1" applyFill="1" applyBorder="1" applyAlignment="1" applyProtection="1">
      <alignment horizontal="center"/>
    </xf>
    <xf numFmtId="0" fontId="13" fillId="0" borderId="33" xfId="0" applyFont="1" applyBorder="1"/>
    <xf numFmtId="0" fontId="7" fillId="2" borderId="33" xfId="0" applyFont="1" applyFill="1" applyBorder="1" applyAlignment="1" applyProtection="1">
      <alignment horizontal="left"/>
    </xf>
    <xf numFmtId="0" fontId="5" fillId="2" borderId="33" xfId="0" applyFont="1" applyFill="1" applyBorder="1" applyAlignment="1" applyProtection="1">
      <alignment horizontal="center"/>
    </xf>
    <xf numFmtId="3" fontId="7" fillId="2" borderId="17" xfId="0" applyNumberFormat="1" applyFont="1" applyFill="1" applyBorder="1" applyAlignment="1" applyProtection="1"/>
    <xf numFmtId="0" fontId="23" fillId="0" borderId="35" xfId="0" applyFont="1" applyBorder="1" applyAlignment="1">
      <alignment horizontal="center" vertical="center" textRotation="90" wrapText="1"/>
    </xf>
    <xf numFmtId="0" fontId="23" fillId="2" borderId="36" xfId="0" applyFont="1" applyFill="1" applyBorder="1" applyAlignment="1">
      <alignment horizontal="center" vertical="center" textRotation="90" wrapText="1"/>
    </xf>
    <xf numFmtId="0" fontId="23" fillId="0" borderId="37" xfId="0" applyFont="1" applyBorder="1" applyAlignment="1">
      <alignment horizontal="center" vertical="center" textRotation="90" wrapText="1"/>
    </xf>
    <xf numFmtId="0" fontId="23" fillId="0" borderId="38" xfId="0" applyFont="1" applyBorder="1" applyAlignment="1">
      <alignment horizontal="center" vertical="center" textRotation="90" wrapText="1"/>
    </xf>
    <xf numFmtId="0" fontId="23" fillId="0" borderId="39" xfId="0" applyFont="1" applyBorder="1" applyAlignment="1">
      <alignment horizontal="center" vertical="center" textRotation="90" wrapText="1"/>
    </xf>
    <xf numFmtId="0" fontId="23" fillId="0" borderId="40" xfId="0" applyFont="1" applyFill="1" applyBorder="1" applyAlignment="1">
      <alignment horizontal="center" vertical="center" textRotation="90" wrapText="1"/>
    </xf>
    <xf numFmtId="0" fontId="23" fillId="0" borderId="41" xfId="0" applyFont="1" applyFill="1" applyBorder="1" applyAlignment="1">
      <alignment horizontal="center" vertical="center" textRotation="90" wrapText="1"/>
    </xf>
    <xf numFmtId="0" fontId="23" fillId="0" borderId="0" xfId="0" applyFont="1" applyBorder="1" applyAlignment="1">
      <alignment horizontal="right"/>
    </xf>
    <xf numFmtId="0" fontId="23" fillId="0" borderId="0" xfId="0" applyFont="1" applyFill="1" applyBorder="1" applyAlignment="1">
      <alignment horizontal="right"/>
    </xf>
    <xf numFmtId="0" fontId="27"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2" borderId="0" xfId="0" applyNumberFormat="1" applyFont="1" applyFill="1" applyAlignment="1">
      <alignment horizontal="justify" vertical="center" wrapText="1"/>
    </xf>
    <xf numFmtId="49" fontId="40" fillId="0" borderId="0" xfId="0" applyNumberFormat="1" applyFont="1" applyAlignment="1" applyProtection="1">
      <alignment horizontal="right" wrapText="1"/>
    </xf>
    <xf numFmtId="0" fontId="3" fillId="0" borderId="0" xfId="2" applyAlignment="1" applyProtection="1">
      <alignment horizontal="center"/>
    </xf>
    <xf numFmtId="49" fontId="4" fillId="0" borderId="0" xfId="0" applyNumberFormat="1" applyFont="1" applyFill="1" applyAlignment="1" applyProtection="1"/>
    <xf numFmtId="0" fontId="3" fillId="0" borderId="0" xfId="2" applyAlignment="1" applyProtection="1">
      <alignment horizontal="center" wrapText="1"/>
    </xf>
    <xf numFmtId="49" fontId="41" fillId="0" borderId="0" xfId="0" applyNumberFormat="1" applyFont="1" applyAlignment="1">
      <alignment horizontal="left" vertical="center" wrapText="1"/>
    </xf>
    <xf numFmtId="0" fontId="43"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22"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39" fillId="5" borderId="0" xfId="0" applyNumberFormat="1" applyFont="1" applyFill="1" applyBorder="1" applyAlignment="1" applyProtection="1">
      <alignment horizontal="center" wrapText="1"/>
    </xf>
    <xf numFmtId="49" fontId="39"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39"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39"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3" fillId="0" borderId="0" xfId="0" applyNumberFormat="1" applyFont="1" applyBorder="1" applyAlignment="1" applyProtection="1"/>
    <xf numFmtId="49" fontId="5" fillId="0" borderId="0" xfId="0" applyNumberFormat="1" applyFont="1" applyBorder="1" applyAlignment="1" applyProtection="1">
      <alignment wrapText="1"/>
    </xf>
    <xf numFmtId="0" fontId="5" fillId="0" borderId="0" xfId="0" applyNumberFormat="1" applyFont="1" applyAlignment="1"/>
    <xf numFmtId="49" fontId="13"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0" borderId="0" xfId="0" applyNumberFormat="1" applyFont="1" applyFill="1" applyAlignment="1" applyProtection="1">
      <alignment wrapText="1"/>
    </xf>
    <xf numFmtId="0" fontId="5" fillId="0" borderId="0" xfId="0" applyNumberFormat="1" applyFont="1" applyAlignment="1" applyProtection="1"/>
    <xf numFmtId="49" fontId="13"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0" borderId="0" xfId="0" applyNumberFormat="1" applyFont="1" applyFill="1" applyBorder="1" applyAlignment="1" applyProtection="1">
      <alignment horizontal="righ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4" fillId="0" borderId="0"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14" fillId="0" borderId="0" xfId="0" applyNumberFormat="1" applyFont="1" applyFill="1" applyBorder="1" applyAlignment="1" applyProtection="1">
      <alignment wrapText="1"/>
    </xf>
    <xf numFmtId="49" fontId="14" fillId="0" borderId="0" xfId="0" applyNumberFormat="1" applyFont="1" applyFill="1" applyBorder="1" applyAlignment="1" applyProtection="1">
      <alignment wrapText="1"/>
    </xf>
    <xf numFmtId="1" fontId="13" fillId="0" borderId="0"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0" borderId="0" xfId="3" applyNumberFormat="1" applyFont="1" applyFill="1" applyBorder="1" applyAlignment="1" applyProtection="1">
      <alignment horizontal="right" wrapText="1"/>
    </xf>
    <xf numFmtId="0" fontId="4" fillId="0" borderId="0" xfId="0" applyNumberFormat="1" applyFont="1" applyFill="1" applyBorder="1" applyAlignment="1" applyProtection="1">
      <alignment horizontal="right" wrapText="1"/>
    </xf>
    <xf numFmtId="49" fontId="12" fillId="0" borderId="0" xfId="0" applyNumberFormat="1" applyFont="1" applyFill="1" applyAlignment="1" applyProtection="1">
      <alignment horizontal="left" wrapText="1"/>
    </xf>
    <xf numFmtId="49" fontId="45" fillId="0" borderId="0" xfId="0" applyNumberFormat="1" applyFont="1" applyFill="1" applyAlignment="1" applyProtection="1">
      <alignment horizontal="left" wrapText="1"/>
    </xf>
    <xf numFmtId="49" fontId="5" fillId="0" borderId="0" xfId="0" applyNumberFormat="1" applyFont="1" applyFill="1" applyAlignment="1" applyProtection="1"/>
    <xf numFmtId="49" fontId="8" fillId="0" borderId="0" xfId="0" applyNumberFormat="1" applyFont="1" applyBorder="1" applyAlignment="1" applyProtection="1">
      <alignment wrapText="1"/>
    </xf>
    <xf numFmtId="0" fontId="5" fillId="0" borderId="0" xfId="0" applyFont="1" applyAlignment="1">
      <alignment horizontal="left"/>
    </xf>
    <xf numFmtId="49" fontId="46" fillId="0" borderId="0" xfId="0" applyNumberFormat="1" applyFont="1" applyAlignment="1" applyProtection="1">
      <alignment horizontal="right" wrapText="1"/>
    </xf>
    <xf numFmtId="49" fontId="11" fillId="0" borderId="0" xfId="0" applyNumberFormat="1" applyFont="1" applyAlignment="1" applyProtection="1">
      <alignment horizontal="left" wrapText="1" indent="3"/>
    </xf>
    <xf numFmtId="0" fontId="6" fillId="0" borderId="0" xfId="0" applyFont="1" applyAlignment="1">
      <alignment vertical="center"/>
    </xf>
    <xf numFmtId="0" fontId="8" fillId="0" borderId="0" xfId="0" applyFont="1" applyAlignment="1">
      <alignment horizontal="justify"/>
    </xf>
    <xf numFmtId="0" fontId="5" fillId="0" borderId="0" xfId="0" applyFont="1" applyAlignment="1">
      <alignment horizontal="justify"/>
    </xf>
    <xf numFmtId="0" fontId="8" fillId="0" borderId="0" xfId="0" applyFont="1" applyFill="1" applyAlignment="1">
      <alignment horizontal="justify"/>
    </xf>
    <xf numFmtId="49" fontId="2" fillId="2" borderId="0" xfId="0" applyNumberFormat="1" applyFont="1" applyFill="1" applyAlignment="1">
      <alignment wrapText="1"/>
    </xf>
    <xf numFmtId="49" fontId="5" fillId="0" borderId="0" xfId="0" applyNumberFormat="1" applyFont="1" applyAlignment="1">
      <alignment wrapText="1"/>
    </xf>
    <xf numFmtId="0" fontId="5" fillId="0" borderId="0" xfId="0" applyNumberFormat="1" applyFont="1" applyAlignment="1">
      <alignment wrapText="1"/>
    </xf>
    <xf numFmtId="49" fontId="8" fillId="0" borderId="0" xfId="0" applyNumberFormat="1" applyFont="1" applyAlignment="1">
      <alignment wrapText="1"/>
    </xf>
    <xf numFmtId="49" fontId="9" fillId="0" borderId="0" xfId="0" applyNumberFormat="1" applyFont="1" applyAlignment="1">
      <alignment wrapText="1"/>
    </xf>
    <xf numFmtId="0" fontId="5" fillId="0" borderId="0" xfId="0" applyFont="1" applyFill="1" applyAlignment="1">
      <alignment vertical="center" wrapText="1"/>
    </xf>
    <xf numFmtId="0" fontId="48" fillId="0" borderId="0" xfId="0" applyFont="1" applyAlignment="1">
      <alignment horizontal="left" vertical="center" wrapText="1"/>
    </xf>
    <xf numFmtId="0" fontId="5" fillId="0" borderId="0" xfId="0" applyFont="1" applyAlignment="1">
      <alignment horizontal="left" wrapText="1"/>
    </xf>
    <xf numFmtId="0" fontId="14" fillId="0" borderId="0" xfId="0" applyFont="1" applyAlignment="1">
      <alignment horizontal="left" wrapText="1"/>
    </xf>
    <xf numFmtId="0" fontId="49" fillId="0" borderId="0" xfId="0" applyFont="1"/>
    <xf numFmtId="49" fontId="26" fillId="0" borderId="0" xfId="0" applyNumberFormat="1" applyFont="1" applyFill="1" applyAlignment="1" applyProtection="1">
      <alignment vertical="center"/>
    </xf>
    <xf numFmtId="0" fontId="24" fillId="0" borderId="0" xfId="0" applyFont="1" applyAlignment="1">
      <alignment horizontal="justify"/>
    </xf>
    <xf numFmtId="0" fontId="4" fillId="0" borderId="42" xfId="0" applyFont="1" applyBorder="1" applyAlignment="1"/>
    <xf numFmtId="0" fontId="4" fillId="0" borderId="43" xfId="0" applyFont="1" applyBorder="1" applyAlignment="1">
      <alignment horizontal="left"/>
    </xf>
    <xf numFmtId="0" fontId="4" fillId="0" borderId="44" xfId="0" applyFont="1" applyBorder="1" applyAlignment="1"/>
    <xf numFmtId="0" fontId="4" fillId="0" borderId="0" xfId="0" applyFont="1" applyAlignment="1"/>
    <xf numFmtId="0" fontId="5" fillId="0" borderId="45" xfId="0" applyFont="1" applyBorder="1" applyAlignment="1">
      <alignment horizontal="justify"/>
    </xf>
    <xf numFmtId="164" fontId="5" fillId="0" borderId="0" xfId="0" applyNumberFormat="1" applyFont="1" applyBorder="1" applyAlignment="1">
      <alignment horizontal="center"/>
    </xf>
    <xf numFmtId="0" fontId="5" fillId="0" borderId="46" xfId="0" applyFont="1" applyBorder="1" applyAlignment="1">
      <alignment horizontal="left"/>
    </xf>
    <xf numFmtId="164" fontId="5" fillId="0" borderId="0" xfId="3" applyNumberFormat="1" applyFont="1" applyBorder="1" applyAlignment="1">
      <alignment horizontal="center"/>
    </xf>
    <xf numFmtId="0" fontId="21" fillId="6" borderId="47" xfId="0" applyFont="1" applyFill="1" applyBorder="1" applyAlignment="1"/>
    <xf numFmtId="0" fontId="45" fillId="6" borderId="48" xfId="0" applyFont="1" applyFill="1" applyBorder="1" applyAlignment="1"/>
    <xf numFmtId="3" fontId="4" fillId="0" borderId="0" xfId="0" applyNumberFormat="1" applyFont="1" applyAlignment="1">
      <alignment horizontal="justify"/>
    </xf>
    <xf numFmtId="0" fontId="13" fillId="0" borderId="0" xfId="0" applyFont="1" applyAlignment="1">
      <alignment horizontal="justify"/>
    </xf>
    <xf numFmtId="0" fontId="13" fillId="0" borderId="0" xfId="0" applyFont="1" applyFill="1" applyAlignment="1">
      <alignment horizontal="justify"/>
    </xf>
    <xf numFmtId="0" fontId="13"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0" fontId="0" fillId="0" borderId="0" xfId="0" applyAlignment="1">
      <alignment horizontal="justify"/>
    </xf>
    <xf numFmtId="0" fontId="5" fillId="0" borderId="0" xfId="0" applyFont="1" applyAlignment="1">
      <alignment horizontal="right" vertical="top"/>
    </xf>
    <xf numFmtId="0" fontId="5" fillId="0" borderId="0" xfId="0" applyFont="1" applyAlignment="1">
      <alignment horizontal="justify" wrapText="1"/>
    </xf>
    <xf numFmtId="0" fontId="5" fillId="0" borderId="0" xfId="0" applyFont="1" applyAlignment="1">
      <alignment horizontal="right"/>
    </xf>
    <xf numFmtId="0" fontId="0" fillId="0" borderId="0" xfId="0" applyAlignment="1">
      <alignment horizontal="right"/>
    </xf>
    <xf numFmtId="49" fontId="5" fillId="2" borderId="49" xfId="0" applyNumberFormat="1" applyFont="1" applyFill="1" applyBorder="1" applyAlignment="1" applyProtection="1">
      <alignment horizontal="center" wrapText="1"/>
    </xf>
    <xf numFmtId="49" fontId="5" fillId="2" borderId="49" xfId="0" applyNumberFormat="1" applyFont="1" applyFill="1" applyBorder="1" applyAlignment="1" applyProtection="1">
      <alignment horizontal="left" wrapText="1"/>
    </xf>
    <xf numFmtId="0" fontId="5" fillId="2" borderId="49" xfId="0" applyNumberFormat="1" applyFont="1" applyFill="1" applyBorder="1" applyAlignment="1" applyProtection="1">
      <alignment horizontal="center" wrapText="1"/>
    </xf>
    <xf numFmtId="49" fontId="45" fillId="6" borderId="50" xfId="0" applyNumberFormat="1" applyFont="1" applyFill="1" applyBorder="1" applyAlignment="1" applyProtection="1">
      <alignment wrapText="1"/>
    </xf>
    <xf numFmtId="3" fontId="5" fillId="5" borderId="51" xfId="0" applyNumberFormat="1" applyFont="1" applyFill="1" applyBorder="1" applyAlignment="1" applyProtection="1">
      <alignment wrapText="1"/>
    </xf>
    <xf numFmtId="3" fontId="5" fillId="5" borderId="52" xfId="0" applyNumberFormat="1" applyFont="1" applyFill="1" applyBorder="1" applyAlignment="1" applyProtection="1">
      <alignment wrapText="1"/>
    </xf>
    <xf numFmtId="1" fontId="5" fillId="5" borderId="52" xfId="3" applyNumberFormat="1" applyFont="1" applyFill="1" applyBorder="1" applyAlignment="1" applyProtection="1">
      <alignment horizontal="right" wrapText="1"/>
    </xf>
    <xf numFmtId="0" fontId="21" fillId="6" borderId="53" xfId="0" applyNumberFormat="1" applyFont="1" applyFill="1" applyBorder="1" applyAlignment="1" applyProtection="1">
      <alignment horizontal="right" wrapText="1"/>
    </xf>
    <xf numFmtId="49" fontId="5" fillId="2" borderId="54" xfId="0" applyNumberFormat="1" applyFont="1" applyFill="1" applyBorder="1" applyAlignment="1" applyProtection="1">
      <alignment horizontal="center" wrapText="1"/>
    </xf>
    <xf numFmtId="1" fontId="5" fillId="5" borderId="51" xfId="0" applyNumberFormat="1" applyFont="1" applyFill="1" applyBorder="1" applyAlignment="1" applyProtection="1">
      <alignment horizontal="right" wrapText="1"/>
    </xf>
    <xf numFmtId="49" fontId="5" fillId="2" borderId="55" xfId="0" applyNumberFormat="1" applyFont="1" applyFill="1" applyBorder="1" applyAlignment="1" applyProtection="1">
      <alignment horizontal="center" wrapText="1"/>
    </xf>
    <xf numFmtId="1" fontId="5" fillId="5" borderId="52" xfId="0" applyNumberFormat="1" applyFont="1" applyFill="1" applyBorder="1" applyAlignment="1" applyProtection="1">
      <alignment horizontal="right" wrapText="1"/>
    </xf>
    <xf numFmtId="1" fontId="5" fillId="5" borderId="52" xfId="0" applyNumberFormat="1" applyFont="1" applyFill="1" applyBorder="1" applyAlignment="1" applyProtection="1">
      <alignment wrapText="1"/>
    </xf>
    <xf numFmtId="49" fontId="5" fillId="2" borderId="56" xfId="0" applyNumberFormat="1" applyFont="1" applyFill="1" applyBorder="1" applyAlignment="1" applyProtection="1">
      <alignment horizontal="center" wrapText="1"/>
    </xf>
    <xf numFmtId="10" fontId="4" fillId="5" borderId="57" xfId="3" applyNumberFormat="1" applyFont="1" applyFill="1" applyBorder="1" applyAlignment="1" applyProtection="1">
      <alignment wrapText="1"/>
    </xf>
    <xf numFmtId="49" fontId="21" fillId="6" borderId="53" xfId="0" applyNumberFormat="1" applyFont="1" applyFill="1" applyBorder="1" applyAlignment="1" applyProtection="1">
      <alignment horizontal="center" wrapText="1"/>
    </xf>
    <xf numFmtId="49" fontId="5" fillId="2" borderId="49" xfId="0" applyNumberFormat="1" applyFont="1" applyFill="1" applyBorder="1" applyAlignment="1" applyProtection="1">
      <alignment wrapText="1"/>
    </xf>
    <xf numFmtId="49" fontId="5" fillId="2" borderId="58" xfId="0" applyNumberFormat="1" applyFont="1" applyFill="1" applyBorder="1" applyAlignment="1" applyProtection="1">
      <alignment horizontal="right" wrapText="1"/>
    </xf>
    <xf numFmtId="49" fontId="5" fillId="2" borderId="59" xfId="0" applyNumberFormat="1" applyFont="1" applyFill="1" applyBorder="1" applyAlignment="1" applyProtection="1">
      <alignment horizontal="right" wrapText="1"/>
    </xf>
    <xf numFmtId="49" fontId="14" fillId="2" borderId="55" xfId="0" applyNumberFormat="1" applyFont="1" applyFill="1" applyBorder="1" applyAlignment="1" applyProtection="1">
      <alignment horizontal="center" wrapText="1"/>
    </xf>
    <xf numFmtId="49" fontId="21" fillId="6" borderId="60" xfId="0" applyNumberFormat="1" applyFont="1" applyFill="1" applyBorder="1" applyAlignment="1" applyProtection="1">
      <alignment horizontal="center" wrapText="1"/>
    </xf>
    <xf numFmtId="3" fontId="4" fillId="5" borderId="51" xfId="0" applyNumberFormat="1" applyFont="1" applyFill="1" applyBorder="1" applyAlignment="1" applyProtection="1">
      <alignment wrapText="1"/>
    </xf>
    <xf numFmtId="3" fontId="4" fillId="5" borderId="52" xfId="0" applyNumberFormat="1" applyFont="1" applyFill="1" applyBorder="1" applyAlignment="1" applyProtection="1">
      <alignment wrapText="1"/>
    </xf>
    <xf numFmtId="1" fontId="4" fillId="5" borderId="52" xfId="0" applyNumberFormat="1" applyFont="1" applyFill="1" applyBorder="1" applyAlignment="1" applyProtection="1">
      <alignment wrapText="1"/>
    </xf>
    <xf numFmtId="0" fontId="45" fillId="6" borderId="53" xfId="0" applyNumberFormat="1" applyFont="1" applyFill="1" applyBorder="1" applyAlignment="1" applyProtection="1">
      <alignment wrapText="1"/>
    </xf>
    <xf numFmtId="3" fontId="14" fillId="5" borderId="61" xfId="0" applyNumberFormat="1" applyFont="1" applyFill="1" applyBorder="1" applyAlignment="1" applyProtection="1">
      <alignment wrapText="1"/>
    </xf>
    <xf numFmtId="3" fontId="4" fillId="5" borderId="62" xfId="0" applyNumberFormat="1" applyFont="1" applyFill="1" applyBorder="1" applyAlignment="1" applyProtection="1">
      <alignment wrapText="1"/>
    </xf>
    <xf numFmtId="3" fontId="5" fillId="5" borderId="62" xfId="0" applyNumberFormat="1" applyFont="1" applyFill="1" applyBorder="1" applyAlignment="1" applyProtection="1">
      <alignment wrapText="1"/>
    </xf>
    <xf numFmtId="0" fontId="5" fillId="2" borderId="54" xfId="0" applyNumberFormat="1" applyFont="1" applyFill="1" applyBorder="1" applyAlignment="1" applyProtection="1">
      <alignment horizontal="center" wrapText="1"/>
    </xf>
    <xf numFmtId="3" fontId="13" fillId="5" borderId="51" xfId="0" applyNumberFormat="1" applyFont="1" applyFill="1" applyBorder="1" applyAlignment="1" applyProtection="1">
      <alignment wrapText="1"/>
    </xf>
    <xf numFmtId="0" fontId="5" fillId="2" borderId="55" xfId="0" applyNumberFormat="1" applyFont="1" applyFill="1" applyBorder="1" applyAlignment="1" applyProtection="1">
      <alignment horizontal="center" wrapText="1"/>
    </xf>
    <xf numFmtId="3" fontId="5" fillId="5" borderId="61" xfId="0" applyNumberFormat="1" applyFont="1" applyFill="1" applyBorder="1" applyAlignment="1" applyProtection="1">
      <alignment wrapText="1"/>
    </xf>
    <xf numFmtId="3" fontId="4" fillId="5" borderId="61" xfId="0" applyNumberFormat="1" applyFont="1" applyFill="1" applyBorder="1" applyAlignment="1" applyProtection="1">
      <alignment wrapText="1"/>
    </xf>
    <xf numFmtId="3" fontId="13" fillId="5" borderId="61" xfId="0" applyNumberFormat="1" applyFont="1" applyFill="1" applyBorder="1" applyAlignment="1" applyProtection="1">
      <alignment wrapText="1"/>
    </xf>
    <xf numFmtId="3" fontId="13" fillId="5" borderId="52" xfId="0" applyNumberFormat="1" applyFont="1" applyFill="1" applyBorder="1" applyAlignment="1" applyProtection="1">
      <alignment wrapText="1"/>
    </xf>
    <xf numFmtId="49" fontId="5" fillId="5" borderId="55" xfId="0" applyNumberFormat="1" applyFont="1" applyFill="1" applyBorder="1" applyAlignment="1" applyProtection="1">
      <alignment wrapText="1"/>
    </xf>
    <xf numFmtId="1" fontId="4" fillId="5" borderId="55" xfId="0" applyNumberFormat="1" applyFont="1" applyFill="1" applyBorder="1" applyAlignment="1" applyProtection="1">
      <alignment wrapText="1"/>
    </xf>
    <xf numFmtId="49" fontId="4" fillId="5" borderId="55" xfId="0" applyNumberFormat="1" applyFont="1" applyFill="1" applyBorder="1" applyAlignment="1" applyProtection="1">
      <alignment wrapText="1"/>
    </xf>
    <xf numFmtId="0" fontId="5" fillId="5" borderId="55" xfId="0" applyNumberFormat="1" applyFont="1" applyFill="1" applyBorder="1" applyAlignment="1" applyProtection="1">
      <alignment wrapText="1"/>
    </xf>
    <xf numFmtId="1" fontId="21" fillId="5" borderId="55" xfId="0" applyNumberFormat="1" applyFont="1" applyFill="1" applyBorder="1" applyAlignment="1" applyProtection="1">
      <alignment horizontal="left" wrapText="1"/>
    </xf>
    <xf numFmtId="10" fontId="4" fillId="5" borderId="57" xfId="3" applyNumberFormat="1" applyFont="1" applyFill="1" applyBorder="1" applyAlignment="1" applyProtection="1">
      <alignment horizontal="right" wrapText="1"/>
    </xf>
    <xf numFmtId="49" fontId="45" fillId="6" borderId="60" xfId="0" applyNumberFormat="1" applyFont="1" applyFill="1" applyBorder="1" applyAlignment="1" applyProtection="1">
      <alignment wrapText="1"/>
    </xf>
    <xf numFmtId="1" fontId="21" fillId="6" borderId="60" xfId="0" applyNumberFormat="1" applyFont="1" applyFill="1" applyBorder="1" applyAlignment="1" applyProtection="1">
      <alignment wrapText="1"/>
    </xf>
    <xf numFmtId="0" fontId="45" fillId="6" borderId="60" xfId="0" applyNumberFormat="1" applyFont="1" applyFill="1" applyBorder="1" applyAlignment="1" applyProtection="1">
      <alignment wrapText="1"/>
    </xf>
    <xf numFmtId="49" fontId="13" fillId="0" borderId="63" xfId="0" applyNumberFormat="1" applyFont="1" applyFill="1" applyBorder="1" applyAlignment="1" applyProtection="1">
      <alignment wrapText="1"/>
    </xf>
    <xf numFmtId="49" fontId="5" fillId="2" borderId="58" xfId="0" applyNumberFormat="1" applyFont="1" applyFill="1" applyBorder="1" applyAlignment="1" applyProtection="1">
      <alignment horizontal="center" wrapText="1"/>
    </xf>
    <xf numFmtId="49" fontId="5" fillId="2" borderId="59" xfId="0" applyNumberFormat="1" applyFont="1" applyFill="1" applyBorder="1" applyAlignment="1" applyProtection="1">
      <alignment horizontal="center" wrapText="1"/>
    </xf>
    <xf numFmtId="49" fontId="14" fillId="5" borderId="55" xfId="0" applyNumberFormat="1" applyFont="1" applyFill="1" applyBorder="1" applyAlignment="1" applyProtection="1">
      <alignment wrapText="1"/>
    </xf>
    <xf numFmtId="1" fontId="13" fillId="5" borderId="55" xfId="0" applyNumberFormat="1" applyFont="1" applyFill="1" applyBorder="1" applyAlignment="1" applyProtection="1">
      <alignment wrapText="1"/>
    </xf>
    <xf numFmtId="49" fontId="13" fillId="5" borderId="55" xfId="0" applyNumberFormat="1" applyFont="1" applyFill="1" applyBorder="1" applyAlignment="1" applyProtection="1">
      <alignment wrapText="1"/>
    </xf>
    <xf numFmtId="0" fontId="5" fillId="2" borderId="64" xfId="0" applyNumberFormat="1" applyFont="1" applyFill="1" applyBorder="1" applyAlignment="1" applyProtection="1">
      <alignment horizontal="center" wrapText="1"/>
    </xf>
    <xf numFmtId="3" fontId="13" fillId="5" borderId="62" xfId="0" applyNumberFormat="1" applyFont="1" applyFill="1" applyBorder="1" applyAlignment="1" applyProtection="1">
      <alignment wrapText="1"/>
    </xf>
    <xf numFmtId="49" fontId="13" fillId="0" borderId="63" xfId="0" applyNumberFormat="1" applyFont="1" applyBorder="1" applyAlignment="1" applyProtection="1">
      <alignment wrapText="1"/>
    </xf>
    <xf numFmtId="0" fontId="5" fillId="5" borderId="52" xfId="0" applyNumberFormat="1" applyFont="1" applyFill="1" applyBorder="1" applyAlignment="1" applyProtection="1">
      <alignment wrapText="1"/>
    </xf>
    <xf numFmtId="0" fontId="21" fillId="6" borderId="53" xfId="0" applyNumberFormat="1" applyFont="1" applyFill="1" applyBorder="1" applyAlignment="1" applyProtection="1">
      <alignment horizontal="right"/>
    </xf>
    <xf numFmtId="0" fontId="13" fillId="5" borderId="61" xfId="0" applyNumberFormat="1" applyFont="1" applyFill="1" applyBorder="1" applyAlignment="1" applyProtection="1">
      <alignment wrapText="1"/>
    </xf>
    <xf numFmtId="49" fontId="4" fillId="2" borderId="65" xfId="0" applyNumberFormat="1" applyFont="1" applyFill="1" applyBorder="1" applyAlignment="1" applyProtection="1">
      <alignment wrapText="1"/>
    </xf>
    <xf numFmtId="1" fontId="5" fillId="5" borderId="65" xfId="0" applyNumberFormat="1" applyFont="1" applyFill="1" applyBorder="1" applyAlignment="1" applyProtection="1">
      <alignment horizontal="left" wrapText="1"/>
    </xf>
    <xf numFmtId="1" fontId="23" fillId="2" borderId="66" xfId="0" applyNumberFormat="1" applyFont="1" applyFill="1" applyBorder="1" applyAlignment="1" applyProtection="1">
      <alignment horizontal="right" vertical="center"/>
    </xf>
    <xf numFmtId="1" fontId="23" fillId="2" borderId="67" xfId="0" applyNumberFormat="1" applyFont="1" applyFill="1" applyBorder="1" applyAlignment="1" applyProtection="1">
      <alignment horizontal="right" vertical="center"/>
    </xf>
    <xf numFmtId="1" fontId="35" fillId="2" borderId="66" xfId="0" applyNumberFormat="1" applyFont="1" applyFill="1" applyBorder="1" applyAlignment="1" applyProtection="1">
      <alignment horizontal="right" vertical="center"/>
    </xf>
    <xf numFmtId="1" fontId="23" fillId="2" borderId="68" xfId="0" applyNumberFormat="1" applyFont="1" applyFill="1" applyBorder="1" applyAlignment="1" applyProtection="1">
      <alignment horizontal="right" vertical="center"/>
    </xf>
    <xf numFmtId="1" fontId="23" fillId="0" borderId="69" xfId="0" applyNumberFormat="1" applyFont="1" applyFill="1" applyBorder="1" applyAlignment="1" applyProtection="1">
      <alignment horizontal="right" vertical="center"/>
      <protection locked="0"/>
    </xf>
    <xf numFmtId="1" fontId="23" fillId="2" borderId="0" xfId="0" applyNumberFormat="1" applyFont="1" applyFill="1" applyBorder="1" applyAlignment="1" applyProtection="1">
      <alignment horizontal="right" vertical="center"/>
      <protection locked="0"/>
    </xf>
    <xf numFmtId="1" fontId="23" fillId="2" borderId="70" xfId="0" applyNumberFormat="1" applyFont="1" applyFill="1" applyBorder="1" applyAlignment="1" applyProtection="1">
      <alignment horizontal="right" vertical="center"/>
      <protection locked="0"/>
    </xf>
    <xf numFmtId="1" fontId="23" fillId="0" borderId="71" xfId="0" applyNumberFormat="1" applyFont="1" applyFill="1" applyBorder="1" applyAlignment="1" applyProtection="1">
      <alignment horizontal="right" vertical="center"/>
      <protection locked="0"/>
    </xf>
    <xf numFmtId="1" fontId="23" fillId="0" borderId="68" xfId="0" applyNumberFormat="1" applyFont="1" applyFill="1" applyBorder="1" applyAlignment="1" applyProtection="1">
      <alignment horizontal="right" vertical="center"/>
      <protection locked="0"/>
    </xf>
    <xf numFmtId="1" fontId="23" fillId="0" borderId="72" xfId="0" applyNumberFormat="1" applyFont="1" applyFill="1" applyBorder="1" applyAlignment="1" applyProtection="1">
      <alignment horizontal="right" vertical="center"/>
      <protection locked="0"/>
    </xf>
    <xf numFmtId="1" fontId="23" fillId="0" borderId="73" xfId="0" applyNumberFormat="1" applyFont="1" applyFill="1" applyBorder="1" applyAlignment="1" applyProtection="1">
      <alignment horizontal="right" vertical="center"/>
      <protection locked="0"/>
    </xf>
    <xf numFmtId="1" fontId="23" fillId="0" borderId="74" xfId="0" applyNumberFormat="1" applyFont="1" applyFill="1" applyBorder="1" applyAlignment="1" applyProtection="1">
      <alignment horizontal="right" vertical="center"/>
      <protection locked="0"/>
    </xf>
    <xf numFmtId="1" fontId="23" fillId="0" borderId="75" xfId="0" applyNumberFormat="1" applyFont="1" applyFill="1" applyBorder="1" applyAlignment="1" applyProtection="1">
      <alignment horizontal="right" vertical="center"/>
      <protection locked="0"/>
    </xf>
    <xf numFmtId="1" fontId="23" fillId="2" borderId="66" xfId="0" applyNumberFormat="1" applyFont="1" applyFill="1" applyBorder="1" applyAlignment="1" applyProtection="1">
      <alignment horizontal="right" vertical="center"/>
      <protection locked="0"/>
    </xf>
    <xf numFmtId="1" fontId="23" fillId="2" borderId="20" xfId="0" applyNumberFormat="1" applyFont="1" applyFill="1" applyBorder="1" applyAlignment="1" applyProtection="1">
      <alignment horizontal="right" vertical="center"/>
      <protection locked="0"/>
    </xf>
    <xf numFmtId="1" fontId="23" fillId="2" borderId="68" xfId="0" applyNumberFormat="1" applyFont="1" applyFill="1" applyBorder="1" applyAlignment="1" applyProtection="1">
      <alignment horizontal="right" vertical="center"/>
      <protection locked="0"/>
    </xf>
    <xf numFmtId="1" fontId="23" fillId="2" borderId="67" xfId="0" applyNumberFormat="1" applyFont="1" applyFill="1" applyBorder="1" applyAlignment="1" applyProtection="1">
      <alignment horizontal="right" vertical="center"/>
      <protection locked="0"/>
    </xf>
    <xf numFmtId="1" fontId="23" fillId="2" borderId="63" xfId="0" applyNumberFormat="1" applyFont="1" applyFill="1" applyBorder="1" applyAlignment="1" applyProtection="1">
      <alignment horizontal="right" vertical="center"/>
      <protection locked="0"/>
    </xf>
    <xf numFmtId="1" fontId="23" fillId="2" borderId="76" xfId="0" applyNumberFormat="1" applyFont="1" applyFill="1" applyBorder="1" applyAlignment="1" applyProtection="1">
      <alignment horizontal="right" vertical="center"/>
      <protection locked="0"/>
    </xf>
    <xf numFmtId="1" fontId="23" fillId="0" borderId="77" xfId="0" applyNumberFormat="1" applyFont="1" applyFill="1" applyBorder="1" applyAlignment="1" applyProtection="1">
      <alignment horizontal="right" vertical="center"/>
      <protection locked="0"/>
    </xf>
    <xf numFmtId="1" fontId="23" fillId="2" borderId="75" xfId="0" applyNumberFormat="1" applyFont="1" applyFill="1" applyBorder="1" applyAlignment="1" applyProtection="1">
      <alignment horizontal="right" vertical="center"/>
      <protection locked="0"/>
    </xf>
    <xf numFmtId="1" fontId="23" fillId="0" borderId="78" xfId="0" applyNumberFormat="1" applyFont="1" applyFill="1" applyBorder="1" applyAlignment="1" applyProtection="1">
      <alignment horizontal="right" vertical="center"/>
      <protection locked="0"/>
    </xf>
    <xf numFmtId="1" fontId="23" fillId="2" borderId="79" xfId="0" applyNumberFormat="1" applyFont="1" applyFill="1" applyBorder="1" applyAlignment="1" applyProtection="1">
      <alignment horizontal="right" vertical="center"/>
      <protection locked="0"/>
    </xf>
    <xf numFmtId="1" fontId="23" fillId="2" borderId="80" xfId="0" applyNumberFormat="1" applyFont="1" applyFill="1" applyBorder="1" applyAlignment="1" applyProtection="1">
      <alignment horizontal="right" vertical="center"/>
      <protection locked="0"/>
    </xf>
    <xf numFmtId="1" fontId="23" fillId="2" borderId="81" xfId="0" applyNumberFormat="1" applyFont="1" applyFill="1" applyBorder="1" applyAlignment="1" applyProtection="1">
      <alignment horizontal="right" vertical="center"/>
      <protection locked="0"/>
    </xf>
    <xf numFmtId="1" fontId="23" fillId="2" borderId="78" xfId="0" applyNumberFormat="1" applyFont="1" applyFill="1" applyBorder="1" applyAlignment="1" applyProtection="1">
      <alignment horizontal="right" vertical="center"/>
      <protection locked="0"/>
    </xf>
    <xf numFmtId="1" fontId="23" fillId="0" borderId="79" xfId="0" applyNumberFormat="1" applyFont="1" applyFill="1" applyBorder="1" applyAlignment="1" applyProtection="1">
      <alignment horizontal="right" vertical="center"/>
      <protection locked="0"/>
    </xf>
    <xf numFmtId="1" fontId="23" fillId="0" borderId="82" xfId="0" applyNumberFormat="1" applyFont="1" applyFill="1" applyBorder="1" applyAlignment="1" applyProtection="1">
      <alignment horizontal="right" vertical="center"/>
      <protection locked="0"/>
    </xf>
    <xf numFmtId="1" fontId="23" fillId="2" borderId="21" xfId="0" applyNumberFormat="1" applyFont="1" applyFill="1" applyBorder="1" applyAlignment="1" applyProtection="1">
      <alignment horizontal="right" vertical="center"/>
      <protection locked="0"/>
    </xf>
    <xf numFmtId="1" fontId="17" fillId="2" borderId="67" xfId="0" applyNumberFormat="1" applyFont="1" applyFill="1" applyBorder="1" applyAlignment="1" applyProtection="1">
      <alignment horizontal="right" vertical="center"/>
      <protection locked="0"/>
    </xf>
    <xf numFmtId="1" fontId="17" fillId="2" borderId="75" xfId="0" applyNumberFormat="1" applyFont="1" applyFill="1" applyBorder="1" applyAlignment="1" applyProtection="1">
      <alignment horizontal="right" vertical="center"/>
      <protection locked="0"/>
    </xf>
    <xf numFmtId="1" fontId="23" fillId="0" borderId="50" xfId="0" applyNumberFormat="1" applyFont="1" applyFill="1" applyBorder="1" applyAlignment="1" applyProtection="1">
      <alignment horizontal="right" vertical="center"/>
      <protection locked="0"/>
    </xf>
    <xf numFmtId="1" fontId="23" fillId="2" borderId="27" xfId="0" applyNumberFormat="1" applyFont="1" applyFill="1" applyBorder="1" applyAlignment="1" applyProtection="1">
      <alignment horizontal="right" vertical="center"/>
      <protection locked="0"/>
    </xf>
    <xf numFmtId="1" fontId="23" fillId="0" borderId="31" xfId="0" applyNumberFormat="1" applyFont="1" applyFill="1" applyBorder="1" applyAlignment="1" applyProtection="1">
      <alignment horizontal="right" vertical="center"/>
      <protection locked="0"/>
    </xf>
    <xf numFmtId="1" fontId="35" fillId="2" borderId="67" xfId="0" applyNumberFormat="1" applyFont="1" applyFill="1" applyBorder="1" applyAlignment="1" applyProtection="1">
      <alignment horizontal="right" vertical="center"/>
    </xf>
    <xf numFmtId="1" fontId="23" fillId="2" borderId="83" xfId="0" applyNumberFormat="1" applyFont="1" applyFill="1" applyBorder="1" applyAlignment="1" applyProtection="1">
      <alignment horizontal="right" vertical="center"/>
      <protection locked="0"/>
    </xf>
    <xf numFmtId="1" fontId="23" fillId="2" borderId="73" xfId="0" applyNumberFormat="1" applyFont="1" applyFill="1" applyBorder="1" applyAlignment="1" applyProtection="1">
      <alignment horizontal="right" vertical="center"/>
      <protection locked="0"/>
    </xf>
    <xf numFmtId="1" fontId="23" fillId="2" borderId="69" xfId="0" applyNumberFormat="1" applyFont="1" applyFill="1" applyBorder="1" applyAlignment="1" applyProtection="1">
      <alignment horizontal="right" vertical="center"/>
      <protection locked="0"/>
    </xf>
    <xf numFmtId="1" fontId="23" fillId="2" borderId="72" xfId="0" applyNumberFormat="1" applyFont="1" applyFill="1" applyBorder="1" applyAlignment="1" applyProtection="1">
      <alignment horizontal="right" vertical="center"/>
      <protection locked="0"/>
    </xf>
    <xf numFmtId="1" fontId="23" fillId="2" borderId="84" xfId="0" applyNumberFormat="1" applyFont="1" applyFill="1" applyBorder="1" applyAlignment="1" applyProtection="1">
      <alignment horizontal="right" vertical="center"/>
      <protection locked="0"/>
    </xf>
    <xf numFmtId="1" fontId="23" fillId="2" borderId="71" xfId="0" applyNumberFormat="1" applyFont="1" applyFill="1" applyBorder="1" applyAlignment="1" applyProtection="1">
      <alignment horizontal="right" vertical="center"/>
      <protection locked="0"/>
    </xf>
    <xf numFmtId="1" fontId="23" fillId="2" borderId="74" xfId="0" applyNumberFormat="1" applyFont="1" applyFill="1" applyBorder="1" applyAlignment="1" applyProtection="1">
      <alignment horizontal="right" vertical="center"/>
      <protection locked="0"/>
    </xf>
    <xf numFmtId="1" fontId="23" fillId="2" borderId="50" xfId="0" applyNumberFormat="1" applyFont="1" applyFill="1" applyBorder="1" applyAlignment="1" applyProtection="1">
      <alignment horizontal="right" vertical="center"/>
      <protection locked="0"/>
    </xf>
    <xf numFmtId="1" fontId="23" fillId="0" borderId="84" xfId="0" applyNumberFormat="1" applyFont="1" applyFill="1" applyBorder="1" applyAlignment="1" applyProtection="1">
      <alignment horizontal="right" vertical="center"/>
      <protection locked="0"/>
    </xf>
    <xf numFmtId="10" fontId="4" fillId="5" borderId="52" xfId="0" applyNumberFormat="1" applyFont="1" applyFill="1" applyBorder="1" applyAlignment="1" applyProtection="1">
      <alignment wrapText="1"/>
    </xf>
    <xf numFmtId="10" fontId="4" fillId="5" borderId="86" xfId="3" applyNumberFormat="1" applyFont="1" applyFill="1" applyBorder="1" applyAlignment="1" applyProtection="1">
      <alignment horizontal="right" wrapText="1"/>
    </xf>
    <xf numFmtId="0" fontId="5" fillId="0" borderId="0" xfId="0" applyFont="1" applyAlignment="1">
      <alignment horizontal="justify" vertical="top" wrapText="1"/>
    </xf>
    <xf numFmtId="0" fontId="4" fillId="0" borderId="0" xfId="0" applyFont="1" applyAlignment="1">
      <alignment wrapText="1"/>
    </xf>
    <xf numFmtId="0" fontId="0" fillId="0" borderId="0" xfId="0" applyAlignment="1">
      <alignment horizontal="right" wrapText="1"/>
    </xf>
    <xf numFmtId="0" fontId="0" fillId="0" borderId="0" xfId="0" applyAlignment="1">
      <alignment horizontal="justify" wrapText="1"/>
    </xf>
    <xf numFmtId="0" fontId="5" fillId="0" borderId="0" xfId="0" applyFont="1" applyAlignment="1">
      <alignment horizontal="right" vertical="top" wrapText="1"/>
    </xf>
    <xf numFmtId="0" fontId="39" fillId="0" borderId="0" xfId="0" applyFont="1" applyBorder="1"/>
    <xf numFmtId="49" fontId="9" fillId="0" borderId="0" xfId="0" applyNumberFormat="1" applyFont="1" applyAlignment="1">
      <alignment vertical="center" wrapText="1"/>
    </xf>
    <xf numFmtId="0" fontId="21" fillId="6" borderId="87" xfId="0" applyFont="1" applyFill="1" applyBorder="1" applyAlignment="1">
      <alignment horizontal="right"/>
    </xf>
    <xf numFmtId="0" fontId="5" fillId="0" borderId="46" xfId="0" applyFont="1" applyBorder="1" applyAlignment="1">
      <alignment horizontal="right"/>
    </xf>
    <xf numFmtId="49" fontId="5" fillId="0" borderId="0" xfId="0" applyNumberFormat="1" applyFont="1" applyFill="1" applyAlignment="1" applyProtection="1">
      <alignment horizontal="left" wrapText="1"/>
    </xf>
    <xf numFmtId="0" fontId="5" fillId="0" borderId="0" xfId="0" applyFont="1" applyFill="1" applyBorder="1" applyAlignment="1"/>
    <xf numFmtId="0" fontId="5" fillId="0" borderId="0" xfId="0" applyNumberFormat="1" applyFont="1" applyFill="1" applyAlignment="1" applyProtection="1">
      <alignment horizontal="left" wrapText="1"/>
    </xf>
    <xf numFmtId="0" fontId="4" fillId="0" borderId="0" xfId="0" applyNumberFormat="1" applyFont="1" applyAlignment="1" applyProtection="1">
      <alignment horizontal="left" vertical="top" wrapText="1"/>
    </xf>
    <xf numFmtId="49" fontId="2" fillId="2" borderId="0" xfId="0" applyNumberFormat="1" applyFont="1" applyFill="1" applyAlignment="1">
      <alignment vertical="center" wrapText="1"/>
    </xf>
    <xf numFmtId="0" fontId="5" fillId="0" borderId="0" xfId="0" applyNumberFormat="1" applyFont="1" applyAlignment="1">
      <alignment vertical="top" wrapText="1"/>
    </xf>
    <xf numFmtId="0" fontId="5" fillId="0" borderId="0" xfId="0" applyFont="1" applyBorder="1" applyAlignment="1"/>
    <xf numFmtId="0" fontId="7" fillId="0" borderId="88" xfId="0" applyFont="1" applyFill="1" applyBorder="1" applyAlignment="1" applyProtection="1">
      <alignment horizontal="left"/>
      <protection locked="0"/>
    </xf>
    <xf numFmtId="49" fontId="17" fillId="4" borderId="74" xfId="0" applyNumberFormat="1" applyFont="1" applyFill="1" applyBorder="1"/>
    <xf numFmtId="49" fontId="17" fillId="4" borderId="83" xfId="0" applyNumberFormat="1" applyFont="1" applyFill="1" applyBorder="1"/>
    <xf numFmtId="49" fontId="17" fillId="0" borderId="0" xfId="0" applyNumberFormat="1" applyFont="1" applyFill="1"/>
    <xf numFmtId="49" fontId="17" fillId="4" borderId="63" xfId="0" applyNumberFormat="1" applyFont="1" applyFill="1" applyBorder="1"/>
    <xf numFmtId="49" fontId="17" fillId="4" borderId="70" xfId="0" applyNumberFormat="1" applyFont="1" applyFill="1" applyBorder="1"/>
    <xf numFmtId="49" fontId="17" fillId="4" borderId="50" xfId="0" applyNumberFormat="1" applyFont="1" applyFill="1" applyBorder="1"/>
    <xf numFmtId="49" fontId="17" fillId="4" borderId="84" xfId="0" applyNumberFormat="1" applyFont="1" applyFill="1" applyBorder="1"/>
    <xf numFmtId="49" fontId="7" fillId="0" borderId="0" xfId="0" applyNumberFormat="1" applyFont="1"/>
    <xf numFmtId="0" fontId="7" fillId="2" borderId="74" xfId="0" applyFont="1" applyFill="1" applyBorder="1" applyProtection="1"/>
    <xf numFmtId="0" fontId="39" fillId="2" borderId="67" xfId="0" applyFont="1" applyFill="1" applyBorder="1" applyAlignment="1" applyProtection="1">
      <alignment horizontal="right"/>
    </xf>
    <xf numFmtId="0" fontId="30" fillId="2" borderId="67" xfId="0" applyFont="1" applyFill="1" applyBorder="1" applyAlignment="1" applyProtection="1"/>
    <xf numFmtId="0" fontId="30" fillId="2" borderId="67" xfId="0" applyFont="1" applyFill="1" applyBorder="1" applyAlignment="1" applyProtection="1">
      <alignment horizontal="right"/>
    </xf>
    <xf numFmtId="0" fontId="50" fillId="2" borderId="67" xfId="0" applyFont="1" applyFill="1" applyBorder="1" applyAlignment="1" applyProtection="1">
      <alignment horizontal="left"/>
    </xf>
    <xf numFmtId="0" fontId="39" fillId="2" borderId="83" xfId="0" applyFont="1" applyFill="1" applyBorder="1" applyProtection="1"/>
    <xf numFmtId="0" fontId="7" fillId="2" borderId="63" xfId="0" applyFont="1" applyFill="1" applyBorder="1" applyAlignment="1" applyProtection="1">
      <alignment vertical="center"/>
    </xf>
    <xf numFmtId="0" fontId="39" fillId="2" borderId="0" xfId="0" applyFont="1" applyFill="1" applyBorder="1" applyAlignment="1" applyProtection="1">
      <alignment horizontal="right" vertical="center"/>
    </xf>
    <xf numFmtId="0" fontId="30" fillId="2" borderId="0" xfId="0" quotePrefix="1" applyFont="1" applyFill="1" applyBorder="1" applyAlignment="1" applyProtection="1">
      <alignment vertical="center"/>
    </xf>
    <xf numFmtId="0" fontId="30" fillId="2" borderId="0" xfId="0" quotePrefix="1" applyFont="1" applyFill="1" applyBorder="1" applyAlignment="1" applyProtection="1">
      <alignment horizontal="right" vertical="center"/>
    </xf>
    <xf numFmtId="0" fontId="39" fillId="2" borderId="70" xfId="0" applyFont="1" applyFill="1" applyBorder="1" applyAlignment="1" applyProtection="1">
      <alignment vertical="center"/>
    </xf>
    <xf numFmtId="0" fontId="4" fillId="2" borderId="63" xfId="0" applyFont="1" applyFill="1" applyBorder="1" applyAlignment="1" applyProtection="1">
      <alignment horizontal="center"/>
    </xf>
    <xf numFmtId="0" fontId="39" fillId="2" borderId="89" xfId="0" applyFont="1" applyFill="1" applyBorder="1" applyAlignment="1" applyProtection="1">
      <alignment horizontal="right"/>
    </xf>
    <xf numFmtId="0" fontId="30" fillId="2" borderId="0" xfId="0" applyFont="1" applyFill="1" applyBorder="1" applyAlignment="1" applyProtection="1">
      <alignment horizontal="center"/>
    </xf>
    <xf numFmtId="0" fontId="39" fillId="2" borderId="0" xfId="0" applyFont="1" applyFill="1" applyBorder="1" applyProtection="1"/>
    <xf numFmtId="49" fontId="39" fillId="2" borderId="0" xfId="0" applyNumberFormat="1" applyFont="1" applyFill="1" applyBorder="1" applyAlignment="1">
      <alignment horizontal="left"/>
    </xf>
    <xf numFmtId="0" fontId="30" fillId="2" borderId="0" xfId="0" applyFont="1" applyFill="1" applyBorder="1" applyProtection="1"/>
    <xf numFmtId="0" fontId="30" fillId="2" borderId="70" xfId="0" applyFont="1" applyFill="1" applyBorder="1" applyAlignment="1" applyProtection="1">
      <alignment horizontal="center"/>
    </xf>
    <xf numFmtId="49" fontId="5" fillId="2" borderId="63" xfId="0" applyNumberFormat="1" applyFont="1" applyFill="1" applyBorder="1" applyAlignment="1">
      <alignment horizontal="left"/>
    </xf>
    <xf numFmtId="0" fontId="39" fillId="2" borderId="0" xfId="0" applyFont="1" applyFill="1" applyBorder="1" applyAlignment="1" applyProtection="1">
      <alignment horizontal="left"/>
    </xf>
    <xf numFmtId="49" fontId="39" fillId="2" borderId="70" xfId="0" applyNumberFormat="1" applyFont="1" applyFill="1" applyBorder="1" applyAlignment="1">
      <alignment horizontal="left"/>
    </xf>
    <xf numFmtId="49" fontId="5" fillId="2" borderId="50" xfId="0" applyNumberFormat="1" applyFont="1" applyFill="1" applyBorder="1" applyAlignment="1">
      <alignment horizontal="left"/>
    </xf>
    <xf numFmtId="167" fontId="30" fillId="2" borderId="20" xfId="0" applyNumberFormat="1" applyFont="1" applyFill="1" applyBorder="1" applyAlignment="1" applyProtection="1">
      <alignment horizontal="right"/>
    </xf>
    <xf numFmtId="49" fontId="39" fillId="2" borderId="20" xfId="0" applyNumberFormat="1" applyFont="1" applyFill="1" applyBorder="1" applyAlignment="1">
      <alignment horizontal="left"/>
    </xf>
    <xf numFmtId="49" fontId="39" fillId="2" borderId="20" xfId="0" applyNumberFormat="1" applyFont="1" applyFill="1" applyBorder="1" applyAlignment="1">
      <alignment horizontal="right" vertical="top"/>
    </xf>
    <xf numFmtId="49" fontId="39" fillId="2" borderId="20" xfId="0" applyNumberFormat="1" applyFont="1" applyFill="1" applyBorder="1" applyAlignment="1">
      <alignment horizontal="left" vertical="top"/>
    </xf>
    <xf numFmtId="0" fontId="30" fillId="2" borderId="20" xfId="0" applyFont="1" applyFill="1" applyBorder="1" applyAlignment="1" applyProtection="1"/>
    <xf numFmtId="49" fontId="39" fillId="2" borderId="84" xfId="0" applyNumberFormat="1" applyFont="1" applyFill="1" applyBorder="1" applyAlignment="1">
      <alignment horizontal="left"/>
    </xf>
    <xf numFmtId="0" fontId="19" fillId="3" borderId="74" xfId="0" applyFont="1" applyFill="1" applyBorder="1" applyProtection="1"/>
    <xf numFmtId="0" fontId="21" fillId="3" borderId="67" xfId="0" applyFont="1" applyFill="1" applyBorder="1" applyAlignment="1" applyProtection="1">
      <alignment horizontal="left" vertical="top"/>
    </xf>
    <xf numFmtId="0" fontId="19" fillId="3" borderId="83" xfId="0" applyFont="1" applyFill="1" applyBorder="1" applyProtection="1"/>
    <xf numFmtId="0" fontId="7" fillId="2" borderId="63" xfId="0" applyFont="1" applyFill="1" applyBorder="1" applyProtection="1"/>
    <xf numFmtId="0" fontId="39" fillId="2" borderId="0" xfId="0" applyFont="1" applyFill="1" applyBorder="1" applyAlignment="1" applyProtection="1">
      <alignment horizontal="right"/>
    </xf>
    <xf numFmtId="0" fontId="7" fillId="2" borderId="70" xfId="0" applyFont="1" applyFill="1" applyBorder="1" applyProtection="1"/>
    <xf numFmtId="0" fontId="7" fillId="2" borderId="50" xfId="0" applyFont="1" applyFill="1" applyBorder="1" applyProtection="1"/>
    <xf numFmtId="0" fontId="7" fillId="2" borderId="20" xfId="0" applyFont="1" applyFill="1" applyBorder="1" applyProtection="1"/>
    <xf numFmtId="0" fontId="7" fillId="2" borderId="84" xfId="0" applyFont="1" applyFill="1" applyBorder="1" applyProtection="1"/>
    <xf numFmtId="0" fontId="21" fillId="3" borderId="74" xfId="0" applyFont="1" applyFill="1" applyBorder="1" applyAlignment="1" applyProtection="1">
      <alignment horizontal="left"/>
    </xf>
    <xf numFmtId="0" fontId="21" fillId="3" borderId="67" xfId="0" applyFont="1" applyFill="1" applyBorder="1" applyAlignment="1" applyProtection="1">
      <alignment horizontal="left"/>
    </xf>
    <xf numFmtId="0" fontId="21" fillId="3" borderId="83" xfId="0" applyFont="1" applyFill="1" applyBorder="1" applyAlignment="1" applyProtection="1">
      <alignment horizontal="left"/>
    </xf>
    <xf numFmtId="0" fontId="7" fillId="2" borderId="63" xfId="0" applyFont="1" applyFill="1" applyBorder="1" applyAlignment="1" applyProtection="1">
      <alignment horizontal="center"/>
    </xf>
    <xf numFmtId="0" fontId="7" fillId="2" borderId="70" xfId="0" applyFont="1" applyFill="1" applyBorder="1" applyAlignment="1" applyProtection="1">
      <alignment horizontal="center"/>
    </xf>
    <xf numFmtId="1" fontId="7" fillId="0" borderId="0" xfId="0" applyNumberFormat="1" applyFont="1" applyBorder="1" applyAlignment="1">
      <alignment horizontal="left"/>
    </xf>
    <xf numFmtId="164" fontId="7" fillId="0" borderId="0" xfId="3" applyNumberFormat="1" applyFont="1" applyBorder="1" applyAlignment="1">
      <alignment horizontal="right"/>
    </xf>
    <xf numFmtId="1" fontId="7" fillId="0" borderId="0" xfId="0" applyNumberFormat="1" applyFont="1" applyBorder="1" applyAlignment="1">
      <alignment horizontal="right" vertical="center"/>
    </xf>
    <xf numFmtId="164" fontId="7" fillId="0" borderId="0" xfId="3" applyNumberFormat="1" applyFont="1" applyBorder="1" applyAlignment="1">
      <alignment horizontal="left"/>
    </xf>
    <xf numFmtId="49" fontId="17" fillId="2" borderId="50" xfId="0" applyNumberFormat="1" applyFont="1" applyFill="1" applyBorder="1"/>
    <xf numFmtId="49" fontId="17" fillId="2" borderId="20" xfId="0" applyNumberFormat="1" applyFont="1" applyFill="1" applyBorder="1"/>
    <xf numFmtId="49" fontId="17" fillId="2" borderId="84" xfId="0" applyNumberFormat="1" applyFont="1" applyFill="1" applyBorder="1"/>
    <xf numFmtId="0" fontId="0" fillId="0" borderId="0" xfId="0" applyFont="1" applyBorder="1" applyAlignment="1"/>
    <xf numFmtId="0" fontId="23" fillId="2" borderId="24" xfId="0" applyFont="1" applyFill="1" applyBorder="1" applyAlignment="1" applyProtection="1">
      <alignment horizontal="right" vertical="center"/>
    </xf>
    <xf numFmtId="0" fontId="23" fillId="2" borderId="20" xfId="0" applyFont="1" applyFill="1" applyBorder="1" applyAlignment="1" applyProtection="1">
      <alignment horizontal="right" vertical="center"/>
      <protection locked="0"/>
    </xf>
    <xf numFmtId="0" fontId="23" fillId="2" borderId="90" xfId="0" applyFont="1" applyFill="1" applyBorder="1" applyAlignment="1" applyProtection="1">
      <alignment horizontal="right" vertical="center"/>
    </xf>
    <xf numFmtId="0" fontId="23" fillId="2" borderId="18" xfId="0" applyFont="1" applyFill="1" applyBorder="1" applyAlignment="1" applyProtection="1">
      <alignment horizontal="right" vertical="center"/>
    </xf>
    <xf numFmtId="0" fontId="23" fillId="2" borderId="67" xfId="0" applyFont="1" applyFill="1" applyBorder="1" applyAlignment="1" applyProtection="1">
      <alignment horizontal="right" vertical="center"/>
      <protection locked="0"/>
    </xf>
    <xf numFmtId="0" fontId="23" fillId="2" borderId="18" xfId="0" applyFont="1" applyFill="1" applyBorder="1" applyAlignment="1" applyProtection="1">
      <alignment horizontal="right" vertical="center"/>
      <protection locked="0"/>
    </xf>
    <xf numFmtId="0" fontId="23" fillId="2" borderId="0" xfId="0" applyFont="1" applyFill="1" applyBorder="1" applyAlignment="1" applyProtection="1">
      <alignment horizontal="right" vertical="center"/>
      <protection locked="0"/>
    </xf>
    <xf numFmtId="0" fontId="23" fillId="2" borderId="24" xfId="0" applyFont="1" applyFill="1" applyBorder="1" applyAlignment="1" applyProtection="1">
      <alignment horizontal="right" vertical="center"/>
      <protection locked="0"/>
    </xf>
    <xf numFmtId="1" fontId="23" fillId="2" borderId="23" xfId="0" applyNumberFormat="1" applyFont="1" applyFill="1" applyBorder="1" applyAlignment="1" applyProtection="1">
      <alignment horizontal="right" vertical="center"/>
    </xf>
    <xf numFmtId="0" fontId="5" fillId="2" borderId="0" xfId="0" applyFont="1" applyFill="1" applyBorder="1" applyAlignment="1">
      <alignment horizontal="center"/>
    </xf>
    <xf numFmtId="3" fontId="7" fillId="2" borderId="1" xfId="0" applyNumberFormat="1" applyFont="1" applyFill="1" applyBorder="1" applyAlignment="1" applyProtection="1">
      <protection locked="0"/>
    </xf>
    <xf numFmtId="0" fontId="7" fillId="2" borderId="0" xfId="0" applyFont="1" applyFill="1" applyBorder="1" applyAlignment="1" applyProtection="1">
      <protection locked="0"/>
    </xf>
    <xf numFmtId="0" fontId="7" fillId="2" borderId="0" xfId="0" applyFont="1" applyFill="1" applyBorder="1" applyAlignment="1">
      <alignment horizontal="left"/>
    </xf>
    <xf numFmtId="3" fontId="7" fillId="0" borderId="1" xfId="0" applyNumberFormat="1" applyFont="1" applyBorder="1" applyAlignment="1" applyProtection="1">
      <protection locked="0"/>
    </xf>
    <xf numFmtId="0" fontId="7" fillId="2" borderId="85" xfId="0" applyFont="1" applyFill="1" applyBorder="1" applyAlignment="1" applyProtection="1">
      <protection locked="0"/>
    </xf>
    <xf numFmtId="0" fontId="4" fillId="0" borderId="0" xfId="0" applyFont="1" applyFill="1" applyBorder="1" applyAlignment="1"/>
    <xf numFmtId="0" fontId="5" fillId="0" borderId="0" xfId="0" applyFont="1" applyFill="1"/>
    <xf numFmtId="0" fontId="7" fillId="0" borderId="1" xfId="0" applyFont="1" applyBorder="1" applyAlignment="1" applyProtection="1">
      <protection locked="0"/>
    </xf>
    <xf numFmtId="3" fontId="7" fillId="0" borderId="0" xfId="0" applyNumberFormat="1" applyFont="1" applyBorder="1" applyAlignment="1" applyProtection="1">
      <protection locked="0"/>
    </xf>
    <xf numFmtId="49" fontId="5" fillId="0" borderId="0" xfId="0" applyNumberFormat="1" applyFont="1" applyFill="1" applyAlignment="1" applyProtection="1">
      <alignment vertical="top" wrapText="1"/>
    </xf>
    <xf numFmtId="1" fontId="23" fillId="0" borderId="0" xfId="0" applyNumberFormat="1" applyFont="1" applyFill="1" applyBorder="1" applyAlignment="1">
      <alignment horizontal="right"/>
    </xf>
    <xf numFmtId="3" fontId="7" fillId="2" borderId="1" xfId="0" applyNumberFormat="1" applyFont="1" applyFill="1" applyBorder="1" applyAlignment="1" applyProtection="1"/>
    <xf numFmtId="3" fontId="7" fillId="2" borderId="85" xfId="0" applyNumberFormat="1" applyFont="1" applyFill="1" applyBorder="1" applyAlignment="1" applyProtection="1"/>
    <xf numFmtId="3" fontId="7" fillId="2" borderId="0" xfId="0" applyNumberFormat="1" applyFont="1" applyFill="1" applyBorder="1" applyAlignment="1" applyProtection="1"/>
    <xf numFmtId="3" fontId="30" fillId="3" borderId="0" xfId="0" applyNumberFormat="1" applyFont="1" applyFill="1" applyBorder="1" applyAlignment="1" applyProtection="1">
      <alignment horizontal="center"/>
    </xf>
    <xf numFmtId="3" fontId="30" fillId="2" borderId="0" xfId="0" applyNumberFormat="1" applyFont="1" applyFill="1" applyBorder="1" applyAlignment="1" applyProtection="1">
      <alignment horizontal="center"/>
    </xf>
    <xf numFmtId="3" fontId="7" fillId="2" borderId="85" xfId="0" applyNumberFormat="1" applyFont="1" applyFill="1" applyBorder="1" applyAlignment="1" applyProtection="1">
      <protection locked="0"/>
    </xf>
    <xf numFmtId="3" fontId="19" fillId="3" borderId="0" xfId="0" applyNumberFormat="1" applyFont="1" applyFill="1" applyBorder="1" applyAlignment="1" applyProtection="1"/>
    <xf numFmtId="3" fontId="30" fillId="2" borderId="33" xfId="0" applyNumberFormat="1" applyFont="1" applyFill="1" applyBorder="1" applyAlignment="1" applyProtection="1">
      <alignment horizontal="center"/>
    </xf>
    <xf numFmtId="3" fontId="7" fillId="2" borderId="33" xfId="0" applyNumberFormat="1" applyFont="1" applyFill="1" applyBorder="1" applyAlignment="1" applyProtection="1"/>
    <xf numFmtId="3" fontId="19" fillId="0" borderId="17" xfId="0" applyNumberFormat="1" applyFont="1" applyBorder="1" applyAlignment="1" applyProtection="1"/>
    <xf numFmtId="3" fontId="19" fillId="0" borderId="34" xfId="0" applyNumberFormat="1" applyFont="1" applyBorder="1" applyAlignment="1" applyProtection="1"/>
    <xf numFmtId="3" fontId="7" fillId="0" borderId="0" xfId="0" applyNumberFormat="1" applyFont="1" applyProtection="1"/>
    <xf numFmtId="14" fontId="39" fillId="0" borderId="95" xfId="0" applyNumberFormat="1" applyFont="1" applyBorder="1" applyAlignment="1" applyProtection="1">
      <alignment horizontal="center"/>
      <protection locked="0"/>
    </xf>
    <xf numFmtId="0" fontId="7" fillId="0" borderId="88" xfId="0" applyFont="1" applyFill="1" applyBorder="1" applyAlignment="1" applyProtection="1">
      <alignment horizontal="left"/>
      <protection locked="0"/>
    </xf>
    <xf numFmtId="0" fontId="7" fillId="0" borderId="94" xfId="0" applyFont="1" applyFill="1" applyBorder="1" applyAlignment="1" applyProtection="1">
      <alignment horizontal="left"/>
      <protection locked="0"/>
    </xf>
    <xf numFmtId="0" fontId="18" fillId="4" borderId="67" xfId="0" applyNumberFormat="1" applyFont="1" applyFill="1" applyBorder="1" applyAlignment="1" applyProtection="1">
      <alignment horizontal="left" vertical="center" wrapText="1"/>
    </xf>
    <xf numFmtId="0" fontId="18" fillId="4" borderId="0" xfId="0" applyNumberFormat="1" applyFont="1" applyFill="1" applyBorder="1" applyAlignment="1" applyProtection="1">
      <alignment horizontal="left" vertical="center" wrapText="1"/>
    </xf>
    <xf numFmtId="0" fontId="18" fillId="4" borderId="20" xfId="0" applyNumberFormat="1" applyFont="1" applyFill="1" applyBorder="1" applyAlignment="1" applyProtection="1">
      <alignment horizontal="left" vertical="center" wrapText="1"/>
    </xf>
    <xf numFmtId="49" fontId="20" fillId="2" borderId="20" xfId="0" applyNumberFormat="1" applyFont="1" applyFill="1" applyBorder="1" applyAlignment="1">
      <alignment horizontal="right" vertical="center"/>
    </xf>
    <xf numFmtId="0" fontId="30" fillId="0" borderId="91" xfId="0" applyFont="1" applyFill="1" applyBorder="1" applyAlignment="1" applyProtection="1">
      <alignment horizontal="right"/>
      <protection locked="0"/>
    </xf>
    <xf numFmtId="0" fontId="30" fillId="0" borderId="92" xfId="0" applyFont="1" applyFill="1" applyBorder="1" applyAlignment="1" applyProtection="1">
      <alignment horizontal="right"/>
      <protection locked="0"/>
    </xf>
    <xf numFmtId="49" fontId="30" fillId="0" borderId="93" xfId="0" applyNumberFormat="1" applyFont="1" applyFill="1" applyBorder="1" applyAlignment="1" applyProtection="1">
      <alignment horizontal="right"/>
      <protection locked="0"/>
    </xf>
    <xf numFmtId="49" fontId="30" fillId="0" borderId="88" xfId="0" applyNumberFormat="1" applyFont="1" applyFill="1" applyBorder="1" applyAlignment="1" applyProtection="1">
      <alignment horizontal="right"/>
      <protection locked="0"/>
    </xf>
    <xf numFmtId="0" fontId="30" fillId="0" borderId="93" xfId="0" applyFont="1" applyFill="1" applyBorder="1" applyAlignment="1" applyProtection="1">
      <alignment horizontal="right"/>
      <protection locked="0"/>
    </xf>
    <xf numFmtId="0" fontId="30" fillId="0" borderId="88" xfId="0" applyFont="1" applyFill="1" applyBorder="1" applyAlignment="1" applyProtection="1">
      <alignment horizontal="right"/>
      <protection locked="0"/>
    </xf>
    <xf numFmtId="0" fontId="51" fillId="0" borderId="93" xfId="0" applyFont="1" applyFill="1" applyBorder="1" applyAlignment="1" applyProtection="1">
      <alignment horizontal="right"/>
      <protection locked="0"/>
    </xf>
    <xf numFmtId="0" fontId="51" fillId="0" borderId="88" xfId="0" applyFont="1" applyFill="1" applyBorder="1" applyAlignment="1" applyProtection="1">
      <alignment horizontal="right"/>
      <protection locked="0"/>
    </xf>
    <xf numFmtId="0" fontId="39" fillId="2" borderId="67" xfId="0" applyFont="1" applyFill="1" applyBorder="1" applyAlignment="1" applyProtection="1">
      <alignment horizontal="left" vertical="top" wrapText="1"/>
    </xf>
    <xf numFmtId="0" fontId="5" fillId="2" borderId="67" xfId="0" applyFont="1" applyFill="1" applyBorder="1" applyAlignment="1">
      <alignment horizontal="left" vertical="top" wrapText="1"/>
    </xf>
    <xf numFmtId="0" fontId="2" fillId="0" borderId="10" xfId="0" applyFont="1" applyBorder="1" applyAlignment="1">
      <alignment vertical="center"/>
    </xf>
    <xf numFmtId="0" fontId="23" fillId="0" borderId="11" xfId="0" applyFont="1" applyBorder="1" applyAlignment="1">
      <alignmen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2" fillId="0" borderId="12" xfId="0" applyFont="1" applyBorder="1" applyAlignment="1">
      <alignment vertical="center"/>
    </xf>
    <xf numFmtId="0" fontId="17" fillId="0" borderId="13" xfId="0" applyFont="1" applyBorder="1" applyAlignment="1">
      <alignment vertical="center"/>
    </xf>
    <xf numFmtId="0" fontId="22" fillId="0" borderId="9" xfId="0" applyFont="1" applyBorder="1" applyAlignment="1">
      <alignment vertical="center"/>
    </xf>
    <xf numFmtId="0" fontId="17" fillId="0" borderId="14" xfId="0" applyFont="1" applyBorder="1" applyAlignment="1">
      <alignment vertical="center"/>
    </xf>
    <xf numFmtId="0" fontId="2" fillId="0" borderId="24" xfId="0" applyFont="1" applyBorder="1" applyAlignment="1">
      <alignment vertical="center"/>
    </xf>
    <xf numFmtId="0" fontId="2" fillId="0" borderId="32" xfId="0" applyFont="1" applyBorder="1" applyAlignment="1">
      <alignment vertical="center"/>
    </xf>
    <xf numFmtId="0" fontId="2" fillId="2" borderId="24" xfId="0" applyFont="1" applyFill="1" applyBorder="1" applyAlignment="1">
      <alignment horizontal="center" vertical="center"/>
    </xf>
    <xf numFmtId="0" fontId="2" fillId="2" borderId="32" xfId="0" applyFont="1" applyFill="1" applyBorder="1" applyAlignment="1">
      <alignment horizontal="center" vertical="center"/>
    </xf>
    <xf numFmtId="0" fontId="2" fillId="0" borderId="12" xfId="0" applyFont="1" applyBorder="1" applyAlignment="1">
      <alignment vertical="center"/>
    </xf>
    <xf numFmtId="0" fontId="23" fillId="0" borderId="13" xfId="0" applyFont="1" applyBorder="1" applyAlignment="1">
      <alignment vertical="center"/>
    </xf>
    <xf numFmtId="0" fontId="2" fillId="2" borderId="7" xfId="0" applyFont="1" applyFill="1" applyBorder="1" applyAlignment="1">
      <alignment horizontal="center" vertical="center"/>
    </xf>
    <xf numFmtId="0" fontId="2" fillId="2" borderId="96"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4" fillId="0" borderId="9" xfId="0" applyFont="1" applyFill="1" applyBorder="1" applyAlignment="1">
      <alignment vertical="center"/>
    </xf>
    <xf numFmtId="0" fontId="24" fillId="0" borderId="14" xfId="0" applyFont="1" applyFill="1" applyBorder="1" applyAlignment="1">
      <alignment vertical="center"/>
    </xf>
    <xf numFmtId="3" fontId="26" fillId="0" borderId="10" xfId="4" applyNumberFormat="1" applyFont="1" applyFill="1" applyBorder="1" applyAlignment="1">
      <alignment horizontal="left"/>
    </xf>
    <xf numFmtId="3" fontId="26" fillId="0" borderId="11" xfId="4" applyNumberFormat="1" applyFont="1" applyFill="1" applyBorder="1" applyAlignment="1">
      <alignment horizontal="left"/>
    </xf>
    <xf numFmtId="0" fontId="29" fillId="4" borderId="0" xfId="0" applyNumberFormat="1" applyFont="1" applyFill="1" applyAlignment="1" applyProtection="1">
      <alignment horizontal="left" vertical="center"/>
    </xf>
    <xf numFmtId="0" fontId="5" fillId="0" borderId="0" xfId="0" applyFont="1" applyAlignment="1">
      <alignment horizontal="justify" wrapText="1"/>
    </xf>
    <xf numFmtId="0" fontId="24" fillId="0" borderId="0" xfId="0" applyFont="1" applyAlignment="1">
      <alignment horizontal="left" wrapText="1"/>
    </xf>
    <xf numFmtId="0" fontId="44" fillId="0" borderId="0" xfId="0" applyFont="1" applyAlignment="1"/>
    <xf numFmtId="0" fontId="0" fillId="0" borderId="0" xfId="0" applyAlignment="1"/>
    <xf numFmtId="0" fontId="5" fillId="0" borderId="0" xfId="0" applyFont="1" applyAlignment="1">
      <alignment horizontal="left" wrapText="1"/>
    </xf>
    <xf numFmtId="0" fontId="5" fillId="0" borderId="0" xfId="0" applyFont="1" applyAlignment="1">
      <alignment horizontal="justify"/>
    </xf>
    <xf numFmtId="0" fontId="5" fillId="0" borderId="0" xfId="0" applyFont="1" applyAlignment="1">
      <alignment horizontal="justify" vertical="top" wrapText="1"/>
    </xf>
    <xf numFmtId="49" fontId="5" fillId="0" borderId="0" xfId="0" applyNumberFormat="1" applyFont="1" applyAlignment="1" applyProtection="1">
      <alignment horizontal="left" vertical="center" wrapText="1"/>
    </xf>
    <xf numFmtId="0" fontId="4" fillId="7" borderId="0" xfId="0" applyFont="1" applyFill="1" applyAlignment="1">
      <alignment horizontal="justify"/>
    </xf>
    <xf numFmtId="0" fontId="4" fillId="2" borderId="0" xfId="0" applyNumberFormat="1" applyFont="1" applyFill="1" applyBorder="1" applyAlignment="1" applyProtection="1">
      <alignment horizontal="center" wrapText="1"/>
    </xf>
    <xf numFmtId="0" fontId="7" fillId="0" borderId="94" xfId="0" applyFont="1" applyBorder="1" applyAlignment="1" applyProtection="1">
      <alignment horizontal="center"/>
      <protection locked="0"/>
    </xf>
    <xf numFmtId="0" fontId="7" fillId="0" borderId="88" xfId="0" applyFont="1" applyBorder="1" applyAlignment="1" applyProtection="1">
      <alignment horizontal="center"/>
      <protection locked="0"/>
    </xf>
    <xf numFmtId="0" fontId="3" fillId="0" borderId="88" xfId="2" applyBorder="1" applyAlignment="1" applyProtection="1">
      <alignment horizontal="center"/>
      <protection locked="0"/>
    </xf>
  </cellXfs>
  <cellStyles count="5">
    <cellStyle name="Euro" xfId="1"/>
    <cellStyle name="Hyperlink" xfId="2" builtinId="8"/>
    <cellStyle name="Procent" xfId="3" builtinId="5"/>
    <cellStyle name="Standaard" xfId="0" builtinId="0"/>
    <cellStyle name="Standaard_Blad1" xfId="4"/>
  </cellStyles>
  <dxfs count="8">
    <dxf>
      <fill>
        <patternFill>
          <bgColor indexed="43"/>
        </patternFill>
      </fill>
    </dxf>
    <dxf>
      <fill>
        <patternFill>
          <bgColor indexed="10"/>
        </patternFill>
      </fill>
    </dxf>
    <dxf>
      <font>
        <b/>
        <i val="0"/>
        <condense val="0"/>
        <extend val="0"/>
        <color indexed="10"/>
      </font>
    </dxf>
    <dxf>
      <fill>
        <patternFill>
          <bgColor indexed="43"/>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28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47625</xdr:rowOff>
    </xdr:from>
    <xdr:to>
      <xdr:col>0</xdr:col>
      <xdr:colOff>514350</xdr:colOff>
      <xdr:row>3</xdr:row>
      <xdr:rowOff>9525</xdr:rowOff>
    </xdr:to>
    <xdr:pic>
      <xdr:nvPicPr>
        <xdr:cNvPr id="828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30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a.veldman.perdok@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B34"/>
  <sheetViews>
    <sheetView showGridLines="0" zoomScaleNormal="100" zoomScaleSheetLayoutView="100" workbookViewId="0">
      <selection activeCell="D19" sqref="D19"/>
    </sheetView>
  </sheetViews>
  <sheetFormatPr defaultRowHeight="12.75"/>
  <cols>
    <col min="1" max="1" width="10.7109375" style="6" customWidth="1"/>
    <col min="2" max="2" width="80.7109375" style="6" customWidth="1"/>
    <col min="3" max="16384" width="9.140625" style="6"/>
  </cols>
  <sheetData>
    <row r="2" spans="1:2" ht="16.5">
      <c r="A2" s="5"/>
      <c r="B2" s="245" t="s">
        <v>493</v>
      </c>
    </row>
    <row r="3" spans="1:2">
      <c r="A3" s="5"/>
      <c r="B3" s="381" t="s">
        <v>513</v>
      </c>
    </row>
    <row r="4" spans="1:2">
      <c r="A4" s="5"/>
      <c r="B4" s="7"/>
    </row>
    <row r="6" spans="1:2">
      <c r="A6" s="175" t="s">
        <v>4</v>
      </c>
      <c r="B6" s="8" t="s">
        <v>515</v>
      </c>
    </row>
    <row r="7" spans="1:2" ht="9" customHeight="1">
      <c r="A7" s="230"/>
    </row>
    <row r="8" spans="1:2" ht="13.5" customHeight="1">
      <c r="B8" s="9" t="s">
        <v>570</v>
      </c>
    </row>
    <row r="9" spans="1:2">
      <c r="B9" s="13"/>
    </row>
    <row r="10" spans="1:2" s="12" customFormat="1">
      <c r="B10" s="10" t="s">
        <v>3</v>
      </c>
    </row>
    <row r="11" spans="1:2" s="12" customFormat="1" ht="8.25" customHeight="1">
      <c r="B11" s="10"/>
    </row>
    <row r="12" spans="1:2" ht="8.25" customHeight="1">
      <c r="B12" s="10"/>
    </row>
    <row r="13" spans="1:2" ht="51">
      <c r="B13" s="11" t="s">
        <v>476</v>
      </c>
    </row>
    <row r="14" spans="1:2">
      <c r="B14" s="11"/>
    </row>
    <row r="15" spans="1:2" ht="63" customHeight="1">
      <c r="B15" s="387" t="s">
        <v>517</v>
      </c>
    </row>
    <row r="16" spans="1:2" s="12" customFormat="1" ht="6" customHeight="1">
      <c r="B16" s="10"/>
    </row>
    <row r="17" spans="2:2" ht="51">
      <c r="B17" s="388" t="s">
        <v>571</v>
      </c>
    </row>
    <row r="18" spans="2:2" ht="6" customHeight="1"/>
    <row r="19" spans="2:2" s="12" customFormat="1" ht="40.5" customHeight="1">
      <c r="B19" s="11" t="s">
        <v>494</v>
      </c>
    </row>
    <row r="20" spans="2:2" s="12" customFormat="1" ht="4.5" customHeight="1">
      <c r="B20" s="10"/>
    </row>
    <row r="21" spans="2:2" ht="15.75" customHeight="1">
      <c r="B21" s="10" t="s">
        <v>492</v>
      </c>
    </row>
    <row r="22" spans="2:2">
      <c r="B22" s="231" t="s">
        <v>1</v>
      </c>
    </row>
    <row r="23" spans="2:2">
      <c r="B23" s="231" t="s">
        <v>2</v>
      </c>
    </row>
    <row r="24" spans="2:2">
      <c r="B24" s="14" t="s">
        <v>6</v>
      </c>
    </row>
    <row r="25" spans="2:2" s="12" customFormat="1">
      <c r="B25" s="14" t="s">
        <v>7</v>
      </c>
    </row>
    <row r="26" spans="2:2" s="12" customFormat="1" ht="10.5" customHeight="1">
      <c r="B26" s="10"/>
    </row>
    <row r="27" spans="2:2" s="12" customFormat="1" ht="76.5">
      <c r="B27" s="11" t="s">
        <v>498</v>
      </c>
    </row>
    <row r="28" spans="2:2" s="12" customFormat="1">
      <c r="B28" s="10"/>
    </row>
    <row r="29" spans="2:2" s="12" customFormat="1">
      <c r="B29" s="10" t="s">
        <v>5</v>
      </c>
    </row>
    <row r="30" spans="2:2" s="12" customFormat="1" ht="8.25"/>
    <row r="32" spans="2:2">
      <c r="B32" s="10" t="s">
        <v>523</v>
      </c>
    </row>
    <row r="33" spans="2:2">
      <c r="B33" s="385" t="s">
        <v>541</v>
      </c>
    </row>
    <row r="34" spans="2:2">
      <c r="B34" s="13"/>
    </row>
  </sheetData>
  <phoneticPr fontId="0" type="noConversion"/>
  <hyperlinks>
    <hyperlink ref="B24" r:id="rId1"/>
    <hyperlink ref="B25" r:id="rId2"/>
  </hyperlinks>
  <pageMargins left="0.39370078740157483" right="0.78740157480314965" top="0.9055118110236221" bottom="0.55118110236220474" header="0.51181102362204722" footer="0.51181102362204722"/>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8"/>
  <sheetViews>
    <sheetView showGridLines="0" zoomScaleNormal="100" workbookViewId="0"/>
  </sheetViews>
  <sheetFormatPr defaultRowHeight="12.75"/>
  <cols>
    <col min="1" max="1" width="104.85546875" style="3" customWidth="1"/>
    <col min="2" max="2" width="15.7109375" style="16" customWidth="1"/>
    <col min="3" max="16384" width="9.140625" style="16"/>
  </cols>
  <sheetData>
    <row r="1" spans="1:2" ht="15">
      <c r="A1" s="174" t="s">
        <v>229</v>
      </c>
    </row>
    <row r="2" spans="1:2">
      <c r="A2" s="243"/>
    </row>
    <row r="3" spans="1:2" ht="25.5">
      <c r="A3" s="243" t="s">
        <v>500</v>
      </c>
    </row>
    <row r="4" spans="1:2">
      <c r="A4" s="243"/>
    </row>
    <row r="5" spans="1:2">
      <c r="A5" s="243" t="s">
        <v>414</v>
      </c>
    </row>
    <row r="6" spans="1:2">
      <c r="A6" s="21"/>
    </row>
    <row r="7" spans="1:2">
      <c r="A7" s="171" t="s">
        <v>413</v>
      </c>
    </row>
    <row r="8" spans="1:2">
      <c r="A8" s="171"/>
    </row>
    <row r="9" spans="1:2">
      <c r="A9" s="18" t="s">
        <v>477</v>
      </c>
    </row>
    <row r="10" spans="1:2">
      <c r="A10" s="18" t="s">
        <v>478</v>
      </c>
    </row>
    <row r="11" spans="1:2">
      <c r="A11" s="176" t="s">
        <v>415</v>
      </c>
    </row>
    <row r="12" spans="1:2">
      <c r="A12" s="171"/>
    </row>
    <row r="13" spans="1:2" ht="25.5">
      <c r="A13" s="238" t="s">
        <v>516</v>
      </c>
      <c r="B13" s="232"/>
    </row>
    <row r="14" spans="1:2">
      <c r="A14" s="16"/>
    </row>
    <row r="15" spans="1:2" ht="38.25">
      <c r="A15" s="242" t="s">
        <v>537</v>
      </c>
    </row>
    <row r="16" spans="1:2">
      <c r="A16" s="242"/>
    </row>
    <row r="17" spans="1:1" ht="38.25">
      <c r="A17" s="244" t="s">
        <v>416</v>
      </c>
    </row>
    <row r="18" spans="1:1">
      <c r="A18" s="178" t="s">
        <v>230</v>
      </c>
    </row>
    <row r="19" spans="1:1">
      <c r="A19" s="178"/>
    </row>
    <row r="20" spans="1:1" ht="15">
      <c r="A20" s="174" t="s">
        <v>10</v>
      </c>
    </row>
    <row r="21" spans="1:1">
      <c r="A21" s="171"/>
    </row>
    <row r="22" spans="1:1">
      <c r="A22" s="21" t="s">
        <v>495</v>
      </c>
    </row>
    <row r="23" spans="1:1">
      <c r="A23" s="21"/>
    </row>
    <row r="24" spans="1:1">
      <c r="A24" s="179" t="s">
        <v>542</v>
      </c>
    </row>
    <row r="25" spans="1:1">
      <c r="A25" s="179" t="s">
        <v>543</v>
      </c>
    </row>
    <row r="26" spans="1:1">
      <c r="A26" s="179" t="s">
        <v>544</v>
      </c>
    </row>
    <row r="27" spans="1:1">
      <c r="A27" s="172" t="s">
        <v>545</v>
      </c>
    </row>
    <row r="28" spans="1:1">
      <c r="A28" s="172"/>
    </row>
    <row r="29" spans="1:1">
      <c r="A29" s="16" t="s">
        <v>417</v>
      </c>
    </row>
    <row r="30" spans="1:1">
      <c r="A30" s="16" t="s">
        <v>479</v>
      </c>
    </row>
    <row r="31" spans="1:1">
      <c r="A31" s="3" t="s">
        <v>546</v>
      </c>
    </row>
    <row r="32" spans="1:1">
      <c r="A32" s="3" t="s">
        <v>480</v>
      </c>
    </row>
    <row r="33" spans="1:1">
      <c r="A33" s="3" t="s">
        <v>499</v>
      </c>
    </row>
    <row r="34" spans="1:1">
      <c r="A34" s="3" t="s">
        <v>497</v>
      </c>
    </row>
    <row r="35" spans="1:1">
      <c r="A35" s="3" t="s">
        <v>418</v>
      </c>
    </row>
    <row r="37" spans="1:1" ht="9" customHeight="1"/>
    <row r="38" spans="1:1">
      <c r="A38" s="173"/>
    </row>
    <row r="39" spans="1:1">
      <c r="A39" s="17"/>
    </row>
    <row r="40" spans="1:1">
      <c r="A40" s="22"/>
    </row>
    <row r="41" spans="1:1">
      <c r="A41" s="15"/>
    </row>
    <row r="42" spans="1:1">
      <c r="A42" s="4"/>
    </row>
    <row r="43" spans="1:1" ht="13.5" customHeight="1">
      <c r="A43" s="22"/>
    </row>
    <row r="45" spans="1:1">
      <c r="A45" s="22"/>
    </row>
    <row r="46" spans="1:1">
      <c r="A46" s="4"/>
    </row>
    <row r="47" spans="1:1" ht="53.25" customHeight="1"/>
    <row r="48" spans="1:1" s="23" customFormat="1">
      <c r="A48" s="16"/>
    </row>
    <row r="49" spans="1:1" ht="25.5" customHeight="1">
      <c r="A49" s="18"/>
    </row>
    <row r="50" spans="1:1" s="23" customFormat="1">
      <c r="A50" s="16"/>
    </row>
    <row r="51" spans="1:1">
      <c r="A51" s="18"/>
    </row>
    <row r="52" spans="1:1" s="23" customFormat="1">
      <c r="A52" s="16"/>
    </row>
    <row r="53" spans="1:1">
      <c r="A53" s="23"/>
    </row>
    <row r="54" spans="1:1">
      <c r="A54" s="18"/>
    </row>
    <row r="55" spans="1:1">
      <c r="A55" s="18"/>
    </row>
    <row r="56" spans="1:1">
      <c r="A56" s="18"/>
    </row>
    <row r="63" spans="1:1">
      <c r="A63" s="18"/>
    </row>
    <row r="64" spans="1:1">
      <c r="A64" s="20"/>
    </row>
    <row r="65" spans="1:1">
      <c r="A65" s="24"/>
    </row>
    <row r="68" spans="1:1">
      <c r="A68" s="25"/>
    </row>
  </sheetData>
  <phoneticPr fontId="0" type="noConversion"/>
  <hyperlinks>
    <hyperlink ref="A18" r:id="rId1"/>
    <hyperlink ref="A11"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42"/>
  <sheetViews>
    <sheetView showGridLines="0" zoomScaleNormal="100" zoomScaleSheetLayoutView="79" workbookViewId="0"/>
  </sheetViews>
  <sheetFormatPr defaultRowHeight="8.25"/>
  <cols>
    <col min="1" max="1" width="98.42578125" style="2" customWidth="1"/>
    <col min="2" max="16384" width="9.140625" style="1"/>
  </cols>
  <sheetData>
    <row r="1" spans="1:1" s="233" customFormat="1" ht="15">
      <c r="A1" s="236" t="s">
        <v>231</v>
      </c>
    </row>
    <row r="2" spans="1:1" s="233" customFormat="1" ht="35.25" customHeight="1">
      <c r="A2" s="237" t="s">
        <v>462</v>
      </c>
    </row>
    <row r="3" spans="1:1" s="233" customFormat="1" ht="15" customHeight="1">
      <c r="A3" s="237" t="s">
        <v>463</v>
      </c>
    </row>
    <row r="4" spans="1:1" s="233" customFormat="1" ht="15.75" customHeight="1">
      <c r="A4" s="237" t="s">
        <v>464</v>
      </c>
    </row>
    <row r="5" spans="1:1" s="233" customFormat="1" ht="32.25" customHeight="1">
      <c r="A5" s="238" t="s">
        <v>465</v>
      </c>
    </row>
    <row r="6" spans="1:1" s="233" customFormat="1" ht="54.75" customHeight="1">
      <c r="A6" s="238" t="s">
        <v>527</v>
      </c>
    </row>
    <row r="7" spans="1:1" s="233" customFormat="1" ht="6.75" customHeight="1">
      <c r="A7" s="238"/>
    </row>
    <row r="8" spans="1:1" s="235" customFormat="1" ht="12.75">
      <c r="A8" s="21" t="s">
        <v>547</v>
      </c>
    </row>
    <row r="9" spans="1:1" s="233" customFormat="1" ht="12.75" customHeight="1">
      <c r="A9" s="238" t="s">
        <v>466</v>
      </c>
    </row>
    <row r="10" spans="1:1" s="234" customFormat="1" ht="16.5" customHeight="1">
      <c r="A10" s="237" t="s">
        <v>467</v>
      </c>
    </row>
    <row r="11" spans="1:1" s="234" customFormat="1" ht="12.75">
      <c r="A11" s="382" t="s">
        <v>514</v>
      </c>
    </row>
    <row r="12" spans="1:1" s="234" customFormat="1" ht="12.75">
      <c r="A12" s="237"/>
    </row>
    <row r="13" spans="1:1" s="233" customFormat="1" ht="25.5">
      <c r="A13" s="237" t="s">
        <v>468</v>
      </c>
    </row>
    <row r="14" spans="1:1" s="16" customFormat="1" ht="10.5" customHeight="1">
      <c r="A14" s="3"/>
    </row>
    <row r="15" spans="1:1" s="233" customFormat="1" ht="25.5">
      <c r="A15" s="237" t="s">
        <v>528</v>
      </c>
    </row>
    <row r="16" spans="1:1" s="233" customFormat="1" ht="38.25">
      <c r="A16" s="237" t="s">
        <v>529</v>
      </c>
    </row>
    <row r="17" spans="1:1" s="233" customFormat="1" ht="8.25" customHeight="1">
      <c r="A17" s="239"/>
    </row>
    <row r="18" spans="1:1" s="233" customFormat="1" ht="15">
      <c r="A18" s="236" t="s">
        <v>234</v>
      </c>
    </row>
    <row r="19" spans="1:1" s="233" customFormat="1" ht="33" customHeight="1">
      <c r="A19" s="21" t="s">
        <v>496</v>
      </c>
    </row>
    <row r="20" spans="1:1" s="233" customFormat="1" ht="26.25" customHeight="1">
      <c r="A20" s="238" t="s">
        <v>469</v>
      </c>
    </row>
    <row r="21" spans="1:1" s="233" customFormat="1" ht="89.25">
      <c r="A21" s="241" t="s">
        <v>538</v>
      </c>
    </row>
    <row r="22" spans="1:1" s="233" customFormat="1" ht="12.75">
      <c r="A22" s="237" t="s">
        <v>232</v>
      </c>
    </row>
    <row r="23" spans="1:1" s="234" customFormat="1" ht="12.75">
      <c r="A23" s="377"/>
    </row>
    <row r="24" spans="1:1" s="233" customFormat="1" ht="15">
      <c r="A24" s="236" t="s">
        <v>228</v>
      </c>
    </row>
    <row r="25" spans="1:1" s="233" customFormat="1" ht="55.5" customHeight="1">
      <c r="A25" s="238" t="s">
        <v>470</v>
      </c>
    </row>
    <row r="26" spans="1:1" s="233" customFormat="1" ht="32.25" customHeight="1">
      <c r="A26" s="238" t="s">
        <v>471</v>
      </c>
    </row>
    <row r="27" spans="1:1" s="233" customFormat="1" ht="30.75" customHeight="1">
      <c r="A27" s="238" t="s">
        <v>233</v>
      </c>
    </row>
    <row r="28" spans="1:1" s="233" customFormat="1" ht="18" customHeight="1">
      <c r="A28" s="240" t="s">
        <v>472</v>
      </c>
    </row>
    <row r="29" spans="1:1" s="234" customFormat="1" ht="12.75">
      <c r="A29" s="237"/>
    </row>
    <row r="30" spans="1:1" s="233" customFormat="1" ht="15">
      <c r="A30" s="236" t="s">
        <v>473</v>
      </c>
    </row>
    <row r="31" spans="1:1" s="233" customFormat="1" ht="18" customHeight="1">
      <c r="A31" s="237" t="s">
        <v>474</v>
      </c>
    </row>
    <row r="32" spans="1:1" s="233" customFormat="1" ht="18" customHeight="1">
      <c r="A32" s="237" t="s">
        <v>475</v>
      </c>
    </row>
    <row r="33" spans="1:1" s="233" customFormat="1" ht="38.25">
      <c r="A33" s="237" t="s">
        <v>484</v>
      </c>
    </row>
    <row r="34" spans="1:1" s="16" customFormat="1" ht="12.75">
      <c r="A34" s="3"/>
    </row>
    <row r="35" spans="1:1" s="16" customFormat="1" ht="15">
      <c r="A35" s="389" t="s">
        <v>548</v>
      </c>
    </row>
    <row r="36" spans="1:1" s="16" customFormat="1" ht="12.75">
      <c r="A36" s="3"/>
    </row>
    <row r="37" spans="1:1" s="16" customFormat="1" ht="114.75">
      <c r="A37" s="470" t="s">
        <v>572</v>
      </c>
    </row>
    <row r="38" spans="1:1" s="16" customFormat="1" ht="12.75">
      <c r="A38" s="3"/>
    </row>
    <row r="39" spans="1:1" ht="15.75" customHeight="1">
      <c r="A39" s="389" t="s">
        <v>532</v>
      </c>
    </row>
    <row r="40" spans="1:1" ht="38.25">
      <c r="A40" s="4" t="s">
        <v>536</v>
      </c>
    </row>
    <row r="41" spans="1:1" ht="51">
      <c r="A41" s="238" t="s">
        <v>530</v>
      </c>
    </row>
    <row r="42" spans="1:1" ht="38.25">
      <c r="A42" s="390" t="s">
        <v>531</v>
      </c>
    </row>
  </sheetData>
  <phoneticPr fontId="0" type="noConversion"/>
  <pageMargins left="0.75" right="0.75" top="0.54" bottom="0.51" header="0.5" footer="0.5"/>
  <pageSetup paperSize="9"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dimension ref="A1:V60"/>
  <sheetViews>
    <sheetView showGridLines="0" zoomScaleNormal="100" workbookViewId="0">
      <selection activeCell="O19" sqref="O19"/>
    </sheetView>
  </sheetViews>
  <sheetFormatPr defaultRowHeight="18"/>
  <cols>
    <col min="1" max="1" width="3.140625" style="26" customWidth="1"/>
    <col min="2" max="2" width="12.5703125" style="26" customWidth="1"/>
    <col min="3" max="4" width="15.28515625" style="26" customWidth="1"/>
    <col min="5" max="8" width="10.85546875" style="26" customWidth="1"/>
    <col min="9" max="9" width="13.5703125" style="26" customWidth="1"/>
    <col min="10" max="10" width="3" style="26" customWidth="1"/>
    <col min="11" max="11" width="3.42578125" style="26" customWidth="1"/>
    <col min="12" max="13" width="5.42578125" style="26" customWidth="1"/>
    <col min="14" max="15" width="8.28515625" style="26" customWidth="1"/>
    <col min="16" max="16" width="27" style="26" customWidth="1"/>
    <col min="17" max="17" width="33.5703125" style="26" customWidth="1"/>
    <col min="18" max="16384" width="9.140625" style="26"/>
  </cols>
  <sheetData>
    <row r="1" spans="1:22" ht="14.25" customHeight="1">
      <c r="A1" s="393"/>
      <c r="B1" s="487" t="s">
        <v>11</v>
      </c>
      <c r="C1" s="487"/>
      <c r="D1" s="487"/>
      <c r="E1" s="487"/>
      <c r="F1" s="487"/>
      <c r="G1" s="487"/>
      <c r="H1" s="487"/>
      <c r="I1" s="487"/>
      <c r="J1" s="394"/>
      <c r="R1" s="395"/>
      <c r="S1" s="395"/>
    </row>
    <row r="2" spans="1:22" ht="14.25" customHeight="1">
      <c r="A2" s="396"/>
      <c r="B2" s="488" t="s">
        <v>12</v>
      </c>
      <c r="C2" s="488"/>
      <c r="D2" s="488"/>
      <c r="E2" s="488"/>
      <c r="F2" s="488"/>
      <c r="G2" s="488"/>
      <c r="H2" s="488"/>
      <c r="I2" s="488"/>
      <c r="J2" s="397"/>
      <c r="R2" s="395"/>
      <c r="S2" s="395"/>
    </row>
    <row r="3" spans="1:22" ht="14.25" customHeight="1">
      <c r="A3" s="398"/>
      <c r="B3" s="489" t="str">
        <f>"Provincie "&amp;C5</f>
        <v>Provincie provincie Groningen</v>
      </c>
      <c r="C3" s="489"/>
      <c r="D3" s="489"/>
      <c r="E3" s="489"/>
      <c r="F3" s="489"/>
      <c r="G3" s="489"/>
      <c r="H3" s="489"/>
      <c r="I3" s="489"/>
      <c r="J3" s="399"/>
      <c r="V3" s="400"/>
    </row>
    <row r="4" spans="1:22" ht="14.25" customHeight="1">
      <c r="A4" s="5"/>
      <c r="B4" s="5"/>
      <c r="C4" s="5"/>
      <c r="D4" s="5"/>
      <c r="E4" s="5"/>
      <c r="F4" s="5"/>
      <c r="G4" s="5"/>
      <c r="H4" s="5"/>
      <c r="I4" s="5"/>
      <c r="J4" s="5"/>
      <c r="V4" s="400"/>
    </row>
    <row r="5" spans="1:22" ht="14.25" customHeight="1">
      <c r="A5" s="401"/>
      <c r="B5" s="402" t="s">
        <v>235</v>
      </c>
      <c r="C5" s="491" t="s">
        <v>573</v>
      </c>
      <c r="D5" s="492"/>
      <c r="E5" s="403"/>
      <c r="F5" s="403"/>
      <c r="G5" s="404"/>
      <c r="H5" s="404" t="s">
        <v>379</v>
      </c>
      <c r="I5" s="405" t="str">
        <f>IF(OR(C5 = "aaaa",C6="xxxx"),"Gegevens invullen!","KRD"&amp;RIGHT(C7,2)&amp;C8&amp;"03"&amp;C6&amp;".XLS")</f>
        <v>KRD145030001.XLS</v>
      </c>
      <c r="J5" s="406"/>
      <c r="V5" s="400"/>
    </row>
    <row r="6" spans="1:22" s="29" customFormat="1" ht="14.25" customHeight="1">
      <c r="A6" s="407"/>
      <c r="B6" s="408" t="s">
        <v>236</v>
      </c>
      <c r="C6" s="493" t="s">
        <v>574</v>
      </c>
      <c r="D6" s="494"/>
      <c r="E6" s="409"/>
      <c r="F6" s="409"/>
      <c r="G6" s="410"/>
      <c r="H6" s="410"/>
      <c r="I6" s="410"/>
      <c r="J6" s="411"/>
      <c r="V6" s="400"/>
    </row>
    <row r="7" spans="1:22" ht="14.25" customHeight="1">
      <c r="A7" s="412"/>
      <c r="B7" s="413" t="s">
        <v>13</v>
      </c>
      <c r="C7" s="495">
        <v>2014</v>
      </c>
      <c r="D7" s="496"/>
      <c r="E7" s="414"/>
      <c r="F7" s="415"/>
      <c r="G7" s="415"/>
      <c r="H7" s="416"/>
      <c r="I7" s="417"/>
      <c r="J7" s="418"/>
      <c r="V7" s="400"/>
    </row>
    <row r="8" spans="1:22" ht="14.25" customHeight="1">
      <c r="A8" s="419"/>
      <c r="B8" s="413" t="s">
        <v>14</v>
      </c>
      <c r="C8" s="497">
        <v>5</v>
      </c>
      <c r="D8" s="498"/>
      <c r="E8" s="416"/>
      <c r="F8" s="420" t="s">
        <v>482</v>
      </c>
      <c r="G8" s="415"/>
      <c r="H8" s="415"/>
      <c r="I8" s="415"/>
      <c r="J8" s="421"/>
      <c r="V8" s="400"/>
    </row>
    <row r="9" spans="1:22" s="30" customFormat="1" ht="14.25" customHeight="1">
      <c r="A9" s="422"/>
      <c r="B9" s="423"/>
      <c r="C9" s="490" t="s">
        <v>15</v>
      </c>
      <c r="D9" s="490"/>
      <c r="E9" s="424"/>
      <c r="F9" s="425"/>
      <c r="G9" s="426"/>
      <c r="H9" s="426"/>
      <c r="I9" s="427"/>
      <c r="J9" s="428"/>
      <c r="V9" s="400"/>
    </row>
    <row r="10" spans="1:22" ht="14.25" customHeight="1">
      <c r="A10" s="31"/>
      <c r="B10" s="31"/>
      <c r="C10" s="31"/>
      <c r="D10" s="31"/>
      <c r="E10" s="31"/>
      <c r="F10" s="31"/>
      <c r="G10" s="31"/>
      <c r="H10" s="31"/>
      <c r="I10" s="31"/>
      <c r="J10" s="31"/>
      <c r="V10" s="400"/>
    </row>
    <row r="11" spans="1:22" s="5" customFormat="1" ht="28.5" customHeight="1">
      <c r="A11" s="429"/>
      <c r="B11" s="430" t="s">
        <v>0</v>
      </c>
      <c r="C11" s="499" t="s">
        <v>481</v>
      </c>
      <c r="D11" s="500"/>
      <c r="E11" s="500"/>
      <c r="F11" s="500"/>
      <c r="G11" s="500"/>
      <c r="H11" s="500"/>
      <c r="I11" s="500"/>
      <c r="J11" s="431"/>
      <c r="V11" s="400"/>
    </row>
    <row r="12" spans="1:22" s="34" customFormat="1" ht="14.25" customHeight="1">
      <c r="A12" s="432"/>
      <c r="B12" s="433" t="s">
        <v>16</v>
      </c>
      <c r="C12" s="536" t="s">
        <v>575</v>
      </c>
      <c r="D12" s="536"/>
      <c r="E12" s="536"/>
      <c r="F12" s="536"/>
      <c r="G12" s="536"/>
      <c r="H12" s="536"/>
      <c r="I12" s="536"/>
      <c r="J12" s="434"/>
      <c r="V12" s="400"/>
    </row>
    <row r="13" spans="1:22" s="5" customFormat="1" ht="14.25" customHeight="1">
      <c r="A13" s="432"/>
      <c r="B13" s="433" t="s">
        <v>17</v>
      </c>
      <c r="C13" s="537" t="s">
        <v>576</v>
      </c>
      <c r="D13" s="537"/>
      <c r="E13" s="537"/>
      <c r="F13" s="537"/>
      <c r="G13" s="537"/>
      <c r="H13" s="537"/>
      <c r="I13" s="537"/>
      <c r="J13" s="434"/>
      <c r="V13" s="400"/>
    </row>
    <row r="14" spans="1:22" s="5" customFormat="1" ht="14.25" customHeight="1">
      <c r="A14" s="432"/>
      <c r="B14" s="433" t="s">
        <v>18</v>
      </c>
      <c r="C14" s="537" t="s">
        <v>577</v>
      </c>
      <c r="D14" s="537"/>
      <c r="E14" s="537"/>
      <c r="F14" s="537"/>
      <c r="G14" s="537"/>
      <c r="H14" s="537"/>
      <c r="I14" s="537"/>
      <c r="J14" s="434"/>
      <c r="V14" s="400"/>
    </row>
    <row r="15" spans="1:22" s="5" customFormat="1" ht="14.25" customHeight="1">
      <c r="A15" s="432"/>
      <c r="B15" s="433" t="s">
        <v>19</v>
      </c>
      <c r="C15" s="537" t="s">
        <v>578</v>
      </c>
      <c r="D15" s="537"/>
      <c r="E15" s="537"/>
      <c r="F15" s="537"/>
      <c r="G15" s="537"/>
      <c r="H15" s="537"/>
      <c r="I15" s="537"/>
      <c r="J15" s="434"/>
      <c r="V15" s="400"/>
    </row>
    <row r="16" spans="1:22" s="5" customFormat="1" ht="14.25" customHeight="1">
      <c r="A16" s="432"/>
      <c r="B16" s="433" t="s">
        <v>20</v>
      </c>
      <c r="C16" s="538" t="s">
        <v>579</v>
      </c>
      <c r="D16" s="537"/>
      <c r="E16" s="537"/>
      <c r="F16" s="537"/>
      <c r="G16" s="537"/>
      <c r="H16" s="537"/>
      <c r="I16" s="537"/>
      <c r="J16" s="434"/>
    </row>
    <row r="17" spans="1:17" s="5" customFormat="1" ht="14.25" customHeight="1">
      <c r="A17" s="432"/>
      <c r="B17" s="433" t="s">
        <v>21</v>
      </c>
      <c r="C17" s="484">
        <v>42170</v>
      </c>
      <c r="D17" s="484"/>
      <c r="E17" s="484"/>
      <c r="F17" s="484"/>
      <c r="G17" s="484"/>
      <c r="H17" s="484"/>
      <c r="I17" s="484"/>
      <c r="J17" s="434"/>
    </row>
    <row r="18" spans="1:17" s="5" customFormat="1" ht="14.25" customHeight="1">
      <c r="A18" s="435"/>
      <c r="B18" s="436"/>
      <c r="C18" s="436"/>
      <c r="D18" s="436"/>
      <c r="E18" s="436"/>
      <c r="F18" s="436"/>
      <c r="G18" s="436"/>
      <c r="H18" s="436"/>
      <c r="I18" s="436"/>
      <c r="J18" s="437"/>
    </row>
    <row r="19" spans="1:17" ht="14.25" customHeight="1"/>
    <row r="20" spans="1:17" ht="14.25" customHeight="1">
      <c r="A20" s="438"/>
      <c r="B20" s="439" t="s">
        <v>22</v>
      </c>
      <c r="C20" s="439"/>
      <c r="D20" s="439"/>
      <c r="E20" s="439"/>
      <c r="F20" s="439"/>
      <c r="G20" s="439"/>
      <c r="H20" s="439"/>
      <c r="I20" s="439"/>
      <c r="J20" s="440"/>
      <c r="K20" s="27"/>
    </row>
    <row r="21" spans="1:17" ht="14.25" customHeight="1">
      <c r="A21" s="441"/>
      <c r="B21" s="36"/>
      <c r="C21" s="36"/>
      <c r="D21" s="36"/>
      <c r="E21" s="36"/>
      <c r="F21" s="36"/>
      <c r="G21" s="36"/>
      <c r="H21" s="36"/>
      <c r="I21" s="36"/>
      <c r="J21" s="442"/>
      <c r="K21" s="27"/>
      <c r="L21" s="443"/>
      <c r="M21" s="444"/>
      <c r="N21" s="445"/>
      <c r="O21" s="445"/>
      <c r="P21" s="446"/>
      <c r="Q21" s="446"/>
    </row>
    <row r="22" spans="1:17" ht="14.25" customHeight="1">
      <c r="A22" s="441"/>
      <c r="B22" s="486"/>
      <c r="C22" s="486"/>
      <c r="D22" s="486"/>
      <c r="E22" s="486"/>
      <c r="F22" s="486"/>
      <c r="G22" s="486"/>
      <c r="H22" s="486"/>
      <c r="I22" s="486"/>
      <c r="J22" s="442"/>
      <c r="K22" s="27"/>
      <c r="L22" s="443"/>
      <c r="M22" s="444"/>
      <c r="N22" s="445"/>
      <c r="O22" s="445"/>
      <c r="P22" s="446"/>
      <c r="Q22" s="446"/>
    </row>
    <row r="23" spans="1:17" ht="14.25" customHeight="1">
      <c r="A23" s="441"/>
      <c r="B23" s="485"/>
      <c r="C23" s="485"/>
      <c r="D23" s="485"/>
      <c r="E23" s="485"/>
      <c r="F23" s="485"/>
      <c r="G23" s="485"/>
      <c r="H23" s="485"/>
      <c r="I23" s="485"/>
      <c r="J23" s="442"/>
      <c r="K23" s="27"/>
      <c r="L23" s="443"/>
      <c r="M23" s="444"/>
      <c r="N23" s="445"/>
      <c r="O23" s="445"/>
      <c r="P23" s="446"/>
      <c r="Q23" s="446"/>
    </row>
    <row r="24" spans="1:17" ht="14.25" customHeight="1">
      <c r="A24" s="441"/>
      <c r="B24" s="485"/>
      <c r="C24" s="485"/>
      <c r="D24" s="485"/>
      <c r="E24" s="485"/>
      <c r="F24" s="485"/>
      <c r="G24" s="485"/>
      <c r="H24" s="485"/>
      <c r="I24" s="485"/>
      <c r="J24" s="442"/>
      <c r="K24" s="27"/>
      <c r="L24" s="443"/>
      <c r="M24" s="444"/>
      <c r="N24" s="445"/>
      <c r="O24" s="445"/>
      <c r="P24" s="446"/>
      <c r="Q24" s="446"/>
    </row>
    <row r="25" spans="1:17" ht="14.25" customHeight="1">
      <c r="A25" s="441"/>
      <c r="B25" s="485"/>
      <c r="C25" s="485"/>
      <c r="D25" s="485"/>
      <c r="E25" s="485"/>
      <c r="F25" s="485"/>
      <c r="G25" s="485"/>
      <c r="H25" s="485"/>
      <c r="I25" s="485"/>
      <c r="J25" s="442"/>
      <c r="K25" s="27"/>
      <c r="L25" s="443"/>
      <c r="M25" s="444"/>
      <c r="N25" s="445"/>
      <c r="O25" s="445"/>
      <c r="P25" s="446"/>
      <c r="Q25" s="446"/>
    </row>
    <row r="26" spans="1:17" ht="14.25" customHeight="1">
      <c r="A26" s="441"/>
      <c r="B26" s="485"/>
      <c r="C26" s="485"/>
      <c r="D26" s="485"/>
      <c r="E26" s="485"/>
      <c r="F26" s="485"/>
      <c r="G26" s="485"/>
      <c r="H26" s="485"/>
      <c r="I26" s="485"/>
      <c r="J26" s="442"/>
    </row>
    <row r="27" spans="1:17" ht="14.25" customHeight="1">
      <c r="A27" s="441"/>
      <c r="B27" s="392"/>
      <c r="C27" s="392"/>
      <c r="D27" s="392"/>
      <c r="E27" s="392"/>
      <c r="F27" s="392"/>
      <c r="G27" s="392"/>
      <c r="H27" s="392"/>
      <c r="I27" s="392"/>
      <c r="J27" s="442"/>
    </row>
    <row r="28" spans="1:17" ht="14.25" customHeight="1">
      <c r="A28" s="441"/>
      <c r="B28" s="392"/>
      <c r="C28" s="392"/>
      <c r="D28" s="392"/>
      <c r="E28" s="392"/>
      <c r="F28" s="392"/>
      <c r="G28" s="392"/>
      <c r="H28" s="392"/>
      <c r="I28" s="392"/>
      <c r="J28" s="442"/>
    </row>
    <row r="29" spans="1:17" ht="14.25" customHeight="1">
      <c r="A29" s="441"/>
      <c r="B29" s="392"/>
      <c r="C29" s="392"/>
      <c r="D29" s="392"/>
      <c r="E29" s="392"/>
      <c r="F29" s="392"/>
      <c r="G29" s="392"/>
      <c r="H29" s="392"/>
      <c r="I29" s="392"/>
      <c r="J29" s="442"/>
    </row>
    <row r="30" spans="1:17" ht="14.25" customHeight="1">
      <c r="A30" s="441"/>
      <c r="B30" s="392"/>
      <c r="C30" s="392"/>
      <c r="D30" s="392"/>
      <c r="E30" s="392"/>
      <c r="F30" s="392"/>
      <c r="G30" s="392"/>
      <c r="H30" s="392"/>
      <c r="I30" s="392"/>
      <c r="J30" s="442"/>
    </row>
    <row r="31" spans="1:17" ht="14.25" customHeight="1">
      <c r="A31" s="441"/>
      <c r="B31" s="485"/>
      <c r="C31" s="485"/>
      <c r="D31" s="485"/>
      <c r="E31" s="485"/>
      <c r="F31" s="485"/>
      <c r="G31" s="485"/>
      <c r="H31" s="485"/>
      <c r="I31" s="485"/>
      <c r="J31" s="442"/>
    </row>
    <row r="32" spans="1:17" ht="14.25" customHeight="1">
      <c r="A32" s="441"/>
      <c r="B32" s="485"/>
      <c r="C32" s="485"/>
      <c r="D32" s="485"/>
      <c r="E32" s="485"/>
      <c r="F32" s="485"/>
      <c r="G32" s="485"/>
      <c r="H32" s="485"/>
      <c r="I32" s="485"/>
      <c r="J32" s="442"/>
    </row>
    <row r="33" spans="1:10" ht="14.25" customHeight="1">
      <c r="A33" s="441"/>
      <c r="B33" s="485"/>
      <c r="C33" s="485"/>
      <c r="D33" s="485"/>
      <c r="E33" s="485"/>
      <c r="F33" s="485"/>
      <c r="G33" s="485"/>
      <c r="H33" s="485"/>
      <c r="I33" s="485"/>
      <c r="J33" s="442"/>
    </row>
    <row r="34" spans="1:10" ht="14.25" customHeight="1">
      <c r="A34" s="441"/>
      <c r="B34" s="485"/>
      <c r="C34" s="485"/>
      <c r="D34" s="485"/>
      <c r="E34" s="485"/>
      <c r="F34" s="485"/>
      <c r="G34" s="485"/>
      <c r="H34" s="485"/>
      <c r="I34" s="485"/>
      <c r="J34" s="442"/>
    </row>
    <row r="35" spans="1:10" ht="14.25" customHeight="1">
      <c r="A35" s="441"/>
      <c r="B35" s="485"/>
      <c r="C35" s="485"/>
      <c r="D35" s="485"/>
      <c r="E35" s="485"/>
      <c r="F35" s="485"/>
      <c r="G35" s="485"/>
      <c r="H35" s="485"/>
      <c r="I35" s="485"/>
      <c r="J35" s="442"/>
    </row>
    <row r="36" spans="1:10" ht="14.25" customHeight="1">
      <c r="A36" s="441"/>
      <c r="B36" s="485"/>
      <c r="C36" s="485"/>
      <c r="D36" s="485"/>
      <c r="E36" s="485"/>
      <c r="F36" s="485"/>
      <c r="G36" s="485"/>
      <c r="H36" s="485"/>
      <c r="I36" s="485"/>
      <c r="J36" s="442"/>
    </row>
    <row r="37" spans="1:10" ht="14.25" customHeight="1">
      <c r="A37" s="441"/>
      <c r="B37" s="485"/>
      <c r="C37" s="485"/>
      <c r="D37" s="485"/>
      <c r="E37" s="485"/>
      <c r="F37" s="485"/>
      <c r="G37" s="485"/>
      <c r="H37" s="485"/>
      <c r="I37" s="485"/>
      <c r="J37" s="442"/>
    </row>
    <row r="38" spans="1:10" ht="14.25" customHeight="1">
      <c r="A38" s="447"/>
      <c r="B38" s="448"/>
      <c r="C38" s="448"/>
      <c r="D38" s="448"/>
      <c r="E38" s="448"/>
      <c r="F38" s="448"/>
      <c r="G38" s="448"/>
      <c r="H38" s="448"/>
      <c r="I38" s="448"/>
      <c r="J38" s="449"/>
    </row>
    <row r="39" spans="1:10" ht="14.25" customHeight="1"/>
    <row r="40" spans="1:10" ht="14.25" customHeight="1"/>
    <row r="41" spans="1:10" ht="14.25" customHeight="1"/>
    <row r="42" spans="1:10" ht="14.25" customHeight="1"/>
    <row r="43" spans="1:10" ht="14.25" customHeight="1"/>
    <row r="44" spans="1:10" ht="14.25" customHeight="1"/>
    <row r="45" spans="1:10" ht="14.25" customHeight="1"/>
    <row r="46" spans="1:10" ht="14.25" customHeight="1"/>
    <row r="47" spans="1:10" ht="14.25" customHeight="1"/>
    <row r="48" spans="1: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sheetData>
  <mergeCells count="27">
    <mergeCell ref="B1:I1"/>
    <mergeCell ref="B2:I2"/>
    <mergeCell ref="B3:I3"/>
    <mergeCell ref="C9:D9"/>
    <mergeCell ref="B32:I32"/>
    <mergeCell ref="B31:I31"/>
    <mergeCell ref="C13:I13"/>
    <mergeCell ref="C15:I15"/>
    <mergeCell ref="C16:I16"/>
    <mergeCell ref="C5:D5"/>
    <mergeCell ref="C6:D6"/>
    <mergeCell ref="C7:D7"/>
    <mergeCell ref="C8:D8"/>
    <mergeCell ref="C14:I14"/>
    <mergeCell ref="C11:I11"/>
    <mergeCell ref="C12:I12"/>
    <mergeCell ref="C17:I17"/>
    <mergeCell ref="B23:I23"/>
    <mergeCell ref="B22:I22"/>
    <mergeCell ref="B37:I37"/>
    <mergeCell ref="B34:I34"/>
    <mergeCell ref="B36:I36"/>
    <mergeCell ref="B24:I24"/>
    <mergeCell ref="B25:I25"/>
    <mergeCell ref="B35:I35"/>
    <mergeCell ref="B33:I33"/>
    <mergeCell ref="B26:I26"/>
  </mergeCells>
  <phoneticPr fontId="0" type="noConversion"/>
  <conditionalFormatting sqref="E23:E24 E25:G25 P21:P25">
    <cfRule type="expression" dxfId="7" priority="1" stopIfTrue="1">
      <formula>AND(B21&gt;=On2n,E21="")</formula>
    </cfRule>
  </conditionalFormatting>
  <conditionalFormatting sqref="H23:H25">
    <cfRule type="expression" dxfId="6" priority="2" stopIfTrue="1">
      <formula>AND(E23="anders:",H23="")</formula>
    </cfRule>
  </conditionalFormatting>
  <conditionalFormatting sqref="Q21:Q25">
    <cfRule type="expression" dxfId="5" priority="3" stopIfTrue="1">
      <formula>P21="anders:"</formula>
    </cfRule>
  </conditionalFormatting>
  <conditionalFormatting sqref="M21:M25">
    <cfRule type="cellIs" dxfId="4" priority="4" stopIfTrue="1" operator="greaterThanOrEqual">
      <formula>On2n</formula>
    </cfRule>
    <cfRule type="cellIs" dxfId="3" priority="5" stopIfTrue="1" operator="greaterThanOrEqual">
      <formula>Tw2n</formula>
    </cfRule>
  </conditionalFormatting>
  <conditionalFormatting sqref="I5">
    <cfRule type="cellIs" dxfId="2" priority="6" stopIfTrue="1" operator="equal">
      <formula>"Gegevens invullen!"</formula>
    </cfRule>
  </conditionalFormatting>
  <conditionalFormatting sqref="B23:B25">
    <cfRule type="cellIs" dxfId="1" priority="7" stopIfTrue="1" operator="equal">
      <formula>"o"</formula>
    </cfRule>
    <cfRule type="cellIs" dxfId="0" priority="8" stopIfTrue="1" operator="equal">
      <formula>"t"</formula>
    </cfRule>
  </conditionalFormatting>
  <hyperlinks>
    <hyperlink ref="C16" r:id="rId1"/>
  </hyperlinks>
  <printOptions horizontalCentered="1"/>
  <pageMargins left="0.15748031496062992" right="0.15748031496062992" top="0.6692913385826772" bottom="0.39370078740157483" header="0.51181102362204722" footer="0.39370078740157483"/>
  <pageSetup paperSize="9" scale="82"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72"/>
  <sheetViews>
    <sheetView showGridLines="0" showZeros="0" zoomScale="75" zoomScaleNormal="75" workbookViewId="0">
      <pane xSplit="2" ySplit="4" topLeftCell="AC137" activePane="bottomRight" state="frozen"/>
      <selection activeCell="I10" sqref="I10"/>
      <selection pane="topRight" activeCell="I10" sqref="I10"/>
      <selection pane="bottomLeft" activeCell="I10" sqref="I10"/>
      <selection pane="bottomRight" activeCell="AE172" sqref="AE172"/>
    </sheetView>
  </sheetViews>
  <sheetFormatPr defaultRowHeight="14.25"/>
  <cols>
    <col min="1" max="1" width="13.140625" style="49" customWidth="1"/>
    <col min="2" max="2" width="72.85546875" style="49" customWidth="1"/>
    <col min="3" max="29" width="8.7109375" style="49" customWidth="1"/>
    <col min="30" max="30" width="11.5703125" style="49" customWidth="1"/>
    <col min="31" max="16384" width="9.140625" style="117"/>
  </cols>
  <sheetData>
    <row r="1" spans="1:31" s="93" customFormat="1" ht="18">
      <c r="A1" s="37" t="str">
        <f>"Verdelingsmatrix provincie "&amp;+'4.Informatie'!C5&amp;" ("&amp;'4.Informatie'!C6&amp;"): "&amp;'4.Informatie'!C7&amp;" periode "&amp;'4.Informatie'!C8&amp;", lasten"</f>
        <v>Verdelingsmatrix provincie provincie Groningen (0001): 2014 periode 5, lasten</v>
      </c>
      <c r="B1" s="38"/>
      <c r="C1" s="127" t="s">
        <v>23</v>
      </c>
      <c r="D1" s="127" t="s">
        <v>24</v>
      </c>
      <c r="E1" s="39" t="s">
        <v>25</v>
      </c>
      <c r="F1" s="39" t="s">
        <v>238</v>
      </c>
      <c r="G1" s="39" t="s">
        <v>239</v>
      </c>
      <c r="H1" s="39" t="s">
        <v>26</v>
      </c>
      <c r="I1" s="39" t="s">
        <v>27</v>
      </c>
      <c r="J1" s="39" t="s">
        <v>240</v>
      </c>
      <c r="K1" s="39" t="s">
        <v>241</v>
      </c>
      <c r="L1" s="39" t="s">
        <v>29</v>
      </c>
      <c r="M1" s="39" t="s">
        <v>192</v>
      </c>
      <c r="N1" s="39" t="s">
        <v>193</v>
      </c>
      <c r="O1" s="39" t="s">
        <v>194</v>
      </c>
      <c r="P1" s="39" t="s">
        <v>31</v>
      </c>
      <c r="Q1" s="39" t="s">
        <v>32</v>
      </c>
      <c r="R1" s="39" t="s">
        <v>242</v>
      </c>
      <c r="S1" s="39" t="s">
        <v>39</v>
      </c>
      <c r="T1" s="39" t="s">
        <v>243</v>
      </c>
      <c r="U1" s="39" t="s">
        <v>244</v>
      </c>
      <c r="V1" s="39" t="s">
        <v>245</v>
      </c>
      <c r="W1" s="39" t="s">
        <v>246</v>
      </c>
      <c r="X1" s="39" t="s">
        <v>247</v>
      </c>
      <c r="Y1" s="39" t="s">
        <v>248</v>
      </c>
      <c r="Z1" s="39" t="s">
        <v>249</v>
      </c>
      <c r="AA1" s="39" t="s">
        <v>250</v>
      </c>
      <c r="AB1" s="39" t="s">
        <v>251</v>
      </c>
      <c r="AC1" s="40" t="s">
        <v>252</v>
      </c>
      <c r="AD1" s="41"/>
      <c r="AE1" s="92"/>
    </row>
    <row r="2" spans="1:31" s="94" customFormat="1" ht="125.25" customHeight="1" thickBot="1">
      <c r="A2" s="42" t="s">
        <v>41</v>
      </c>
      <c r="B2" s="43" t="s">
        <v>42</v>
      </c>
      <c r="C2" s="161" t="s">
        <v>411</v>
      </c>
      <c r="D2" s="163" t="s">
        <v>43</v>
      </c>
      <c r="E2" s="164" t="s">
        <v>44</v>
      </c>
      <c r="F2" s="164" t="s">
        <v>253</v>
      </c>
      <c r="G2" s="164" t="s">
        <v>254</v>
      </c>
      <c r="H2" s="164" t="s">
        <v>255</v>
      </c>
      <c r="I2" s="164" t="s">
        <v>256</v>
      </c>
      <c r="J2" s="164" t="s">
        <v>46</v>
      </c>
      <c r="K2" s="164" t="s">
        <v>45</v>
      </c>
      <c r="L2" s="164" t="s">
        <v>257</v>
      </c>
      <c r="M2" s="164" t="s">
        <v>258</v>
      </c>
      <c r="N2" s="164" t="s">
        <v>259</v>
      </c>
      <c r="O2" s="164" t="s">
        <v>524</v>
      </c>
      <c r="P2" s="164" t="s">
        <v>260</v>
      </c>
      <c r="Q2" s="164" t="s">
        <v>381</v>
      </c>
      <c r="R2" s="164" t="s">
        <v>261</v>
      </c>
      <c r="S2" s="164" t="s">
        <v>262</v>
      </c>
      <c r="T2" s="164" t="s">
        <v>263</v>
      </c>
      <c r="U2" s="164" t="s">
        <v>47</v>
      </c>
      <c r="V2" s="164" t="s">
        <v>264</v>
      </c>
      <c r="W2" s="164" t="s">
        <v>48</v>
      </c>
      <c r="X2" s="164" t="s">
        <v>49</v>
      </c>
      <c r="Y2" s="164" t="s">
        <v>50</v>
      </c>
      <c r="Z2" s="164" t="s">
        <v>51</v>
      </c>
      <c r="AA2" s="164" t="s">
        <v>52</v>
      </c>
      <c r="AB2" s="164" t="s">
        <v>265</v>
      </c>
      <c r="AC2" s="165" t="s">
        <v>53</v>
      </c>
      <c r="AD2" s="166" t="s">
        <v>382</v>
      </c>
    </row>
    <row r="3" spans="1:31" s="94" customFormat="1" ht="2.25" customHeight="1">
      <c r="A3" s="95"/>
      <c r="B3" s="128"/>
      <c r="C3" s="122"/>
      <c r="D3" s="98"/>
      <c r="E3" s="98"/>
      <c r="F3" s="98"/>
      <c r="G3" s="98"/>
      <c r="H3" s="98"/>
      <c r="I3" s="98"/>
      <c r="J3" s="98"/>
      <c r="K3" s="98"/>
      <c r="L3" s="98"/>
      <c r="M3" s="98"/>
      <c r="N3" s="98"/>
      <c r="O3" s="98"/>
      <c r="P3" s="98"/>
      <c r="Q3" s="98"/>
      <c r="R3" s="98"/>
      <c r="S3" s="98"/>
      <c r="T3" s="98"/>
      <c r="U3" s="98"/>
      <c r="V3" s="98"/>
      <c r="W3" s="98"/>
      <c r="X3" s="98"/>
      <c r="Y3" s="98"/>
      <c r="Z3" s="98"/>
      <c r="AA3" s="98"/>
      <c r="AB3" s="98"/>
      <c r="AC3" s="98"/>
      <c r="AD3" s="162"/>
    </row>
    <row r="4" spans="1:31" s="94" customFormat="1" ht="2.25" customHeight="1">
      <c r="A4" s="96"/>
      <c r="B4" s="129"/>
      <c r="C4" s="121"/>
      <c r="D4" s="97"/>
      <c r="E4" s="97"/>
      <c r="F4" s="97"/>
      <c r="G4" s="97"/>
      <c r="H4" s="97"/>
      <c r="I4" s="97"/>
      <c r="J4" s="97"/>
      <c r="K4" s="97"/>
      <c r="L4" s="97"/>
      <c r="M4" s="98"/>
      <c r="N4" s="97"/>
      <c r="O4" s="97"/>
      <c r="P4" s="97"/>
      <c r="Q4" s="97"/>
      <c r="R4" s="98"/>
      <c r="S4" s="97"/>
      <c r="T4" s="98"/>
      <c r="U4" s="98"/>
      <c r="V4" s="98"/>
      <c r="W4" s="98"/>
      <c r="X4" s="98"/>
      <c r="Y4" s="98"/>
      <c r="Z4" s="97"/>
      <c r="AA4" s="98"/>
      <c r="AB4" s="97"/>
      <c r="AC4" s="97"/>
      <c r="AD4" s="99"/>
    </row>
    <row r="5" spans="1:31" s="46" customFormat="1" ht="15">
      <c r="A5" s="91" t="s">
        <v>57</v>
      </c>
      <c r="B5" s="130" t="s">
        <v>55</v>
      </c>
      <c r="C5" s="459"/>
      <c r="D5" s="332"/>
      <c r="E5" s="332"/>
      <c r="F5" s="332"/>
      <c r="G5" s="332"/>
      <c r="H5" s="332"/>
      <c r="I5" s="332"/>
      <c r="J5" s="332"/>
      <c r="K5" s="332"/>
      <c r="L5" s="332"/>
      <c r="M5" s="364"/>
      <c r="N5" s="332"/>
      <c r="O5" s="332"/>
      <c r="P5" s="332"/>
      <c r="Q5" s="332"/>
      <c r="R5" s="364"/>
      <c r="S5" s="332"/>
      <c r="T5" s="364"/>
      <c r="U5" s="364"/>
      <c r="V5" s="364"/>
      <c r="W5" s="364"/>
      <c r="X5" s="364"/>
      <c r="Y5" s="364"/>
      <c r="Z5" s="332"/>
      <c r="AA5" s="364"/>
      <c r="AB5" s="332"/>
      <c r="AC5" s="332"/>
      <c r="AD5" s="333"/>
    </row>
    <row r="6" spans="1:31" s="46" customFormat="1">
      <c r="A6" s="100" t="s">
        <v>266</v>
      </c>
      <c r="B6" s="131" t="s">
        <v>267</v>
      </c>
      <c r="C6" s="454"/>
      <c r="D6" s="339">
        <f>129983.05/1000</f>
        <v>129.98304999999999</v>
      </c>
      <c r="E6" s="339"/>
      <c r="F6" s="339"/>
      <c r="G6" s="339"/>
      <c r="H6" s="339"/>
      <c r="I6" s="339"/>
      <c r="J6" s="339">
        <f>993568.16/1000</f>
        <v>993.56816000000003</v>
      </c>
      <c r="K6" s="339"/>
      <c r="L6" s="339"/>
      <c r="M6" s="348"/>
      <c r="N6" s="339"/>
      <c r="O6" s="339">
        <f>331870.25/1000</f>
        <v>331.87025</v>
      </c>
      <c r="P6" s="339"/>
      <c r="Q6" s="339"/>
      <c r="R6" s="339"/>
      <c r="S6" s="339">
        <f>1163.42/1000</f>
        <v>1.1634200000000001</v>
      </c>
      <c r="T6" s="347"/>
      <c r="U6" s="335"/>
      <c r="V6" s="335"/>
      <c r="W6" s="335"/>
      <c r="X6" s="335"/>
      <c r="Y6" s="336"/>
      <c r="Z6" s="339"/>
      <c r="AA6" s="339"/>
      <c r="AB6" s="339"/>
      <c r="AC6" s="337">
        <f>1137040.52/1000</f>
        <v>1137.04052</v>
      </c>
      <c r="AD6" s="338">
        <f t="shared" ref="AD6:AD14" si="0">SUM(C6:AC6)</f>
        <v>2593.6253999999999</v>
      </c>
      <c r="AE6" s="101"/>
    </row>
    <row r="7" spans="1:31" s="46" customFormat="1">
      <c r="A7" s="100" t="s">
        <v>24</v>
      </c>
      <c r="B7" s="131" t="s">
        <v>268</v>
      </c>
      <c r="C7" s="454"/>
      <c r="D7" s="339"/>
      <c r="E7" s="339"/>
      <c r="F7" s="339"/>
      <c r="G7" s="339"/>
      <c r="H7" s="339"/>
      <c r="I7" s="339"/>
      <c r="J7" s="339">
        <f>292427.8/1000</f>
        <v>292.42779999999999</v>
      </c>
      <c r="K7" s="339"/>
      <c r="L7" s="339"/>
      <c r="M7" s="348"/>
      <c r="N7" s="339">
        <f>154132.07/1000</f>
        <v>154.13207</v>
      </c>
      <c r="O7" s="339"/>
      <c r="P7" s="339"/>
      <c r="Q7" s="339"/>
      <c r="R7" s="339"/>
      <c r="S7" s="339">
        <f>308947.74/1000</f>
        <v>308.94774000000001</v>
      </c>
      <c r="T7" s="347"/>
      <c r="U7" s="335"/>
      <c r="V7" s="335"/>
      <c r="W7" s="335"/>
      <c r="X7" s="335"/>
      <c r="Y7" s="336"/>
      <c r="Z7" s="339"/>
      <c r="AA7" s="339"/>
      <c r="AB7" s="339"/>
      <c r="AC7" s="337">
        <f>3416040.46/1000</f>
        <v>3416.0404600000002</v>
      </c>
      <c r="AD7" s="338">
        <f t="shared" si="0"/>
        <v>4171.5480699999998</v>
      </c>
      <c r="AE7" s="101"/>
    </row>
    <row r="8" spans="1:31" s="46" customFormat="1">
      <c r="A8" s="100" t="s">
        <v>25</v>
      </c>
      <c r="B8" s="131" t="s">
        <v>269</v>
      </c>
      <c r="C8" s="454"/>
      <c r="D8" s="346"/>
      <c r="E8" s="365"/>
      <c r="F8" s="339"/>
      <c r="G8" s="339"/>
      <c r="H8" s="339"/>
      <c r="I8" s="339"/>
      <c r="J8" s="339"/>
      <c r="K8" s="339"/>
      <c r="L8" s="339"/>
      <c r="M8" s="348"/>
      <c r="N8" s="339"/>
      <c r="O8" s="339">
        <f>14775/1000</f>
        <v>14.775</v>
      </c>
      <c r="P8" s="339"/>
      <c r="Q8" s="339"/>
      <c r="R8" s="339"/>
      <c r="S8" s="339"/>
      <c r="T8" s="347"/>
      <c r="U8" s="335"/>
      <c r="V8" s="335"/>
      <c r="W8" s="335"/>
      <c r="X8" s="335"/>
      <c r="Y8" s="336"/>
      <c r="Z8" s="339"/>
      <c r="AA8" s="339"/>
      <c r="AB8" s="339"/>
      <c r="AC8" s="337">
        <f>1008425.37/1000</f>
        <v>1008.42537</v>
      </c>
      <c r="AD8" s="338">
        <f t="shared" si="0"/>
        <v>1023.20037</v>
      </c>
      <c r="AE8" s="101"/>
    </row>
    <row r="9" spans="1:31" s="46" customFormat="1">
      <c r="A9" s="100" t="s">
        <v>270</v>
      </c>
      <c r="B9" s="131" t="s">
        <v>271</v>
      </c>
      <c r="C9" s="454"/>
      <c r="D9" s="335"/>
      <c r="E9" s="336"/>
      <c r="F9" s="339"/>
      <c r="G9" s="339"/>
      <c r="H9" s="339"/>
      <c r="I9" s="339"/>
      <c r="J9" s="339">
        <f>191362.67/1000</f>
        <v>191.36267000000001</v>
      </c>
      <c r="K9" s="339"/>
      <c r="L9" s="339"/>
      <c r="M9" s="348"/>
      <c r="N9" s="339">
        <f>98126/1000</f>
        <v>98.126000000000005</v>
      </c>
      <c r="O9" s="339"/>
      <c r="P9" s="339"/>
      <c r="Q9" s="339"/>
      <c r="R9" s="339"/>
      <c r="S9" s="339">
        <f>5000/1000</f>
        <v>5</v>
      </c>
      <c r="T9" s="347"/>
      <c r="U9" s="335"/>
      <c r="V9" s="335"/>
      <c r="W9" s="335"/>
      <c r="X9" s="335"/>
      <c r="Y9" s="336"/>
      <c r="Z9" s="339"/>
      <c r="AA9" s="339"/>
      <c r="AB9" s="339"/>
      <c r="AC9" s="337">
        <f>728330.43/1000</f>
        <v>728.33043000000009</v>
      </c>
      <c r="AD9" s="338">
        <f t="shared" si="0"/>
        <v>1022.8191000000002</v>
      </c>
      <c r="AE9" s="101"/>
    </row>
    <row r="10" spans="1:31" s="46" customFormat="1">
      <c r="A10" s="100" t="s">
        <v>272</v>
      </c>
      <c r="B10" s="131" t="s">
        <v>273</v>
      </c>
      <c r="C10" s="454"/>
      <c r="D10" s="335"/>
      <c r="E10" s="336"/>
      <c r="F10" s="339"/>
      <c r="G10" s="339"/>
      <c r="H10" s="339"/>
      <c r="I10" s="339"/>
      <c r="J10" s="339">
        <f>418.28/1000</f>
        <v>0.41827999999999999</v>
      </c>
      <c r="K10" s="339"/>
      <c r="L10" s="339"/>
      <c r="M10" s="348"/>
      <c r="N10" s="339"/>
      <c r="O10" s="339"/>
      <c r="P10" s="339"/>
      <c r="Q10" s="339"/>
      <c r="R10" s="339"/>
      <c r="S10" s="339"/>
      <c r="T10" s="347"/>
      <c r="U10" s="335"/>
      <c r="V10" s="335"/>
      <c r="W10" s="335"/>
      <c r="X10" s="335"/>
      <c r="Y10" s="336"/>
      <c r="Z10" s="339"/>
      <c r="AA10" s="339"/>
      <c r="AB10" s="339"/>
      <c r="AC10" s="337">
        <f>552171.31/1000</f>
        <v>552.17131000000006</v>
      </c>
      <c r="AD10" s="338">
        <f t="shared" si="0"/>
        <v>552.58959000000004</v>
      </c>
      <c r="AE10" s="101"/>
    </row>
    <row r="11" spans="1:31" s="46" customFormat="1">
      <c r="A11" s="100" t="s">
        <v>274</v>
      </c>
      <c r="B11" s="131" t="s">
        <v>275</v>
      </c>
      <c r="C11" s="454"/>
      <c r="D11" s="335"/>
      <c r="E11" s="336"/>
      <c r="F11" s="339"/>
      <c r="G11" s="339"/>
      <c r="H11" s="339"/>
      <c r="I11" s="339"/>
      <c r="J11" s="339">
        <f>487536.86/1000</f>
        <v>487.53685999999999</v>
      </c>
      <c r="K11" s="339"/>
      <c r="L11" s="339"/>
      <c r="M11" s="348"/>
      <c r="N11" s="339"/>
      <c r="O11" s="339"/>
      <c r="P11" s="339"/>
      <c r="Q11" s="339"/>
      <c r="R11" s="339"/>
      <c r="S11" s="339"/>
      <c r="T11" s="347"/>
      <c r="U11" s="335"/>
      <c r="V11" s="335"/>
      <c r="W11" s="335"/>
      <c r="X11" s="335"/>
      <c r="Y11" s="336"/>
      <c r="Z11" s="339"/>
      <c r="AA11" s="339"/>
      <c r="AB11" s="339"/>
      <c r="AC11" s="337">
        <f>1386697.37/1000</f>
        <v>1386.6973700000001</v>
      </c>
      <c r="AD11" s="338">
        <f t="shared" si="0"/>
        <v>1874.23423</v>
      </c>
      <c r="AE11" s="101"/>
    </row>
    <row r="12" spans="1:31" s="46" customFormat="1">
      <c r="A12" s="100" t="s">
        <v>276</v>
      </c>
      <c r="B12" s="131" t="s">
        <v>277</v>
      </c>
      <c r="C12" s="454"/>
      <c r="D12" s="335"/>
      <c r="E12" s="336"/>
      <c r="F12" s="339"/>
      <c r="G12" s="339"/>
      <c r="H12" s="339"/>
      <c r="I12" s="339"/>
      <c r="J12" s="339">
        <f>1224868.77/1000</f>
        <v>1224.86877</v>
      </c>
      <c r="K12" s="339"/>
      <c r="L12" s="339"/>
      <c r="M12" s="348"/>
      <c r="N12" s="339">
        <f>50000/1000</f>
        <v>50</v>
      </c>
      <c r="O12" s="339">
        <f>999078.06/1000</f>
        <v>999.07806000000005</v>
      </c>
      <c r="P12" s="339"/>
      <c r="Q12" s="339"/>
      <c r="R12" s="339"/>
      <c r="S12" s="339">
        <f>(700.57+1627.54)/1000</f>
        <v>2.3281100000000001</v>
      </c>
      <c r="T12" s="347"/>
      <c r="U12" s="335"/>
      <c r="V12" s="335"/>
      <c r="W12" s="335"/>
      <c r="X12" s="335"/>
      <c r="Y12" s="336"/>
      <c r="Z12" s="339"/>
      <c r="AA12" s="339"/>
      <c r="AB12" s="339"/>
      <c r="AC12" s="337">
        <f>3452976.48/1000</f>
        <v>3452.9764799999998</v>
      </c>
      <c r="AD12" s="338">
        <f t="shared" si="0"/>
        <v>5729.2514199999996</v>
      </c>
      <c r="AE12" s="101"/>
    </row>
    <row r="13" spans="1:31" s="46" customFormat="1">
      <c r="A13" s="102" t="s">
        <v>278</v>
      </c>
      <c r="B13" s="132" t="s">
        <v>279</v>
      </c>
      <c r="C13" s="454"/>
      <c r="D13" s="335"/>
      <c r="E13" s="336"/>
      <c r="F13" s="340"/>
      <c r="G13" s="340"/>
      <c r="H13" s="340"/>
      <c r="I13" s="340">
        <f>4066.41/1000</f>
        <v>4.0664099999999994</v>
      </c>
      <c r="J13" s="340">
        <f>854089.89/1000</f>
        <v>854.08988999999997</v>
      </c>
      <c r="K13" s="340"/>
      <c r="L13" s="340">
        <f>4188.94/1000</f>
        <v>4.1889399999999997</v>
      </c>
      <c r="M13" s="348"/>
      <c r="N13" s="340">
        <f>121363.96/1000</f>
        <v>121.36396000000001</v>
      </c>
      <c r="O13" s="340"/>
      <c r="P13" s="340"/>
      <c r="Q13" s="340"/>
      <c r="R13" s="340"/>
      <c r="S13" s="340">
        <f>(29199.19+10732.15+67622.46)/1000</f>
        <v>107.55380000000001</v>
      </c>
      <c r="T13" s="347"/>
      <c r="U13" s="335"/>
      <c r="V13" s="335"/>
      <c r="W13" s="335"/>
      <c r="X13" s="335"/>
      <c r="Y13" s="336"/>
      <c r="Z13" s="340"/>
      <c r="AA13" s="340"/>
      <c r="AB13" s="340"/>
      <c r="AC13" s="341">
        <f>10041274.02/1000</f>
        <v>10041.274019999999</v>
      </c>
      <c r="AD13" s="342">
        <f t="shared" si="0"/>
        <v>11132.53702</v>
      </c>
      <c r="AE13" s="101"/>
    </row>
    <row r="14" spans="1:31" s="46" customFormat="1" ht="15" collapsed="1">
      <c r="A14" s="501" t="s">
        <v>60</v>
      </c>
      <c r="B14" s="502"/>
      <c r="C14" s="453">
        <f>SUM(C6:C13)</f>
        <v>0</v>
      </c>
      <c r="D14" s="349">
        <f t="shared" ref="D14:AC14" si="1">SUM(D6:D13)</f>
        <v>129.98304999999999</v>
      </c>
      <c r="E14" s="339">
        <f t="shared" si="1"/>
        <v>0</v>
      </c>
      <c r="F14" s="339">
        <f t="shared" si="1"/>
        <v>0</v>
      </c>
      <c r="G14" s="339">
        <f t="shared" si="1"/>
        <v>0</v>
      </c>
      <c r="H14" s="339">
        <f t="shared" si="1"/>
        <v>0</v>
      </c>
      <c r="I14" s="339">
        <f t="shared" si="1"/>
        <v>4.0664099999999994</v>
      </c>
      <c r="J14" s="339">
        <f t="shared" si="1"/>
        <v>4044.27243</v>
      </c>
      <c r="K14" s="339">
        <f t="shared" si="1"/>
        <v>0</v>
      </c>
      <c r="L14" s="339">
        <f t="shared" si="1"/>
        <v>4.1889399999999997</v>
      </c>
      <c r="M14" s="348">
        <f t="shared" si="1"/>
        <v>0</v>
      </c>
      <c r="N14" s="339">
        <f t="shared" si="1"/>
        <v>423.62203</v>
      </c>
      <c r="O14" s="339">
        <f t="shared" si="1"/>
        <v>1345.7233100000001</v>
      </c>
      <c r="P14" s="339">
        <f t="shared" si="1"/>
        <v>0</v>
      </c>
      <c r="Q14" s="339">
        <f t="shared" si="1"/>
        <v>0</v>
      </c>
      <c r="R14" s="339">
        <f t="shared" si="1"/>
        <v>0</v>
      </c>
      <c r="S14" s="339">
        <f t="shared" si="1"/>
        <v>424.99306999999999</v>
      </c>
      <c r="T14" s="347">
        <f t="shared" si="1"/>
        <v>0</v>
      </c>
      <c r="U14" s="335">
        <f t="shared" si="1"/>
        <v>0</v>
      </c>
      <c r="V14" s="335">
        <f t="shared" si="1"/>
        <v>0</v>
      </c>
      <c r="W14" s="335">
        <f t="shared" si="1"/>
        <v>0</v>
      </c>
      <c r="X14" s="335">
        <f t="shared" si="1"/>
        <v>0</v>
      </c>
      <c r="Y14" s="336">
        <f t="shared" si="1"/>
        <v>0</v>
      </c>
      <c r="Z14" s="339">
        <f t="shared" si="1"/>
        <v>0</v>
      </c>
      <c r="AA14" s="339">
        <f t="shared" si="1"/>
        <v>0</v>
      </c>
      <c r="AB14" s="339">
        <f t="shared" si="1"/>
        <v>0</v>
      </c>
      <c r="AC14" s="337">
        <f t="shared" si="1"/>
        <v>21722.955959999999</v>
      </c>
      <c r="AD14" s="338">
        <f t="shared" si="0"/>
        <v>28099.805199999999</v>
      </c>
      <c r="AE14" s="101"/>
    </row>
    <row r="15" spans="1:31" s="46" customFormat="1">
      <c r="A15" s="103"/>
      <c r="B15" s="48"/>
      <c r="C15" s="452"/>
      <c r="D15" s="343"/>
      <c r="E15" s="343"/>
      <c r="F15" s="343"/>
      <c r="G15" s="343"/>
      <c r="H15" s="343"/>
      <c r="I15" s="343"/>
      <c r="J15" s="343"/>
      <c r="K15" s="343"/>
      <c r="L15" s="343"/>
      <c r="M15" s="344"/>
      <c r="N15" s="343"/>
      <c r="O15" s="343"/>
      <c r="P15" s="343"/>
      <c r="Q15" s="343"/>
      <c r="R15" s="343"/>
      <c r="S15" s="343"/>
      <c r="T15" s="344"/>
      <c r="U15" s="344"/>
      <c r="V15" s="344"/>
      <c r="W15" s="344"/>
      <c r="X15" s="344"/>
      <c r="Y15" s="344"/>
      <c r="Z15" s="343"/>
      <c r="AA15" s="343"/>
      <c r="AB15" s="343"/>
      <c r="AC15" s="343"/>
      <c r="AD15" s="345"/>
      <c r="AE15" s="101"/>
    </row>
    <row r="16" spans="1:31" s="46" customFormat="1" ht="15">
      <c r="A16" s="104" t="s">
        <v>61</v>
      </c>
      <c r="B16" s="133" t="s">
        <v>58</v>
      </c>
      <c r="C16" s="454"/>
      <c r="D16" s="346"/>
      <c r="E16" s="346"/>
      <c r="F16" s="343"/>
      <c r="G16" s="343"/>
      <c r="H16" s="343"/>
      <c r="I16" s="343"/>
      <c r="J16" s="343"/>
      <c r="K16" s="343"/>
      <c r="L16" s="343"/>
      <c r="M16" s="346"/>
      <c r="N16" s="343"/>
      <c r="O16" s="343"/>
      <c r="P16" s="343"/>
      <c r="Q16" s="343"/>
      <c r="R16" s="343"/>
      <c r="S16" s="343"/>
      <c r="T16" s="346"/>
      <c r="U16" s="346"/>
      <c r="V16" s="346"/>
      <c r="W16" s="346"/>
      <c r="X16" s="346"/>
      <c r="Y16" s="346"/>
      <c r="Z16" s="343"/>
      <c r="AA16" s="343"/>
      <c r="AB16" s="343"/>
      <c r="AC16" s="343"/>
      <c r="AD16" s="345"/>
      <c r="AE16" s="101"/>
    </row>
    <row r="17" spans="1:31" s="46" customFormat="1">
      <c r="A17" s="100" t="s">
        <v>280</v>
      </c>
      <c r="B17" s="131" t="s">
        <v>281</v>
      </c>
      <c r="C17" s="454"/>
      <c r="D17" s="335"/>
      <c r="E17" s="336"/>
      <c r="F17" s="339"/>
      <c r="G17" s="339"/>
      <c r="H17" s="339"/>
      <c r="I17" s="339"/>
      <c r="J17" s="339">
        <f>11826.72/1000</f>
        <v>11.82672</v>
      </c>
      <c r="K17" s="339"/>
      <c r="L17" s="339"/>
      <c r="M17" s="348"/>
      <c r="N17" s="339">
        <f>385920/1000</f>
        <v>385.92</v>
      </c>
      <c r="O17" s="339">
        <f>99800/1000</f>
        <v>99.8</v>
      </c>
      <c r="P17" s="339"/>
      <c r="Q17" s="339"/>
      <c r="R17" s="339"/>
      <c r="S17" s="339"/>
      <c r="T17" s="347"/>
      <c r="U17" s="335"/>
      <c r="V17" s="335"/>
      <c r="W17" s="335"/>
      <c r="X17" s="335"/>
      <c r="Y17" s="336"/>
      <c r="Z17" s="339"/>
      <c r="AA17" s="339"/>
      <c r="AB17" s="339"/>
      <c r="AC17" s="337">
        <f>291314.11/1000</f>
        <v>291.31410999999997</v>
      </c>
      <c r="AD17" s="338">
        <f>SUM(C17:AC17)</f>
        <v>788.86083000000008</v>
      </c>
      <c r="AE17" s="101"/>
    </row>
    <row r="18" spans="1:31" s="46" customFormat="1">
      <c r="A18" s="100" t="s">
        <v>26</v>
      </c>
      <c r="B18" s="131" t="s">
        <v>59</v>
      </c>
      <c r="C18" s="454"/>
      <c r="D18" s="335"/>
      <c r="E18" s="336"/>
      <c r="F18" s="339"/>
      <c r="G18" s="339"/>
      <c r="H18" s="339"/>
      <c r="I18" s="339"/>
      <c r="J18" s="339"/>
      <c r="K18" s="339"/>
      <c r="L18" s="339"/>
      <c r="M18" s="348"/>
      <c r="N18" s="339"/>
      <c r="O18" s="339"/>
      <c r="P18" s="339"/>
      <c r="Q18" s="339"/>
      <c r="R18" s="339"/>
      <c r="S18" s="339"/>
      <c r="T18" s="347"/>
      <c r="U18" s="335"/>
      <c r="V18" s="335"/>
      <c r="W18" s="335"/>
      <c r="X18" s="335"/>
      <c r="Y18" s="336"/>
      <c r="Z18" s="339"/>
      <c r="AA18" s="339"/>
      <c r="AB18" s="339"/>
      <c r="AC18" s="337"/>
      <c r="AD18" s="338">
        <f>SUM(C18:AC18)</f>
        <v>0</v>
      </c>
      <c r="AE18" s="101"/>
    </row>
    <row r="19" spans="1:31" s="46" customFormat="1">
      <c r="A19" s="102" t="s">
        <v>27</v>
      </c>
      <c r="B19" s="132" t="s">
        <v>282</v>
      </c>
      <c r="C19" s="454"/>
      <c r="D19" s="335"/>
      <c r="E19" s="336"/>
      <c r="F19" s="340"/>
      <c r="G19" s="340"/>
      <c r="H19" s="340"/>
      <c r="I19" s="340"/>
      <c r="J19" s="340"/>
      <c r="K19" s="340"/>
      <c r="L19" s="340"/>
      <c r="M19" s="348"/>
      <c r="N19" s="340"/>
      <c r="O19" s="340"/>
      <c r="P19" s="340"/>
      <c r="Q19" s="340"/>
      <c r="R19" s="340"/>
      <c r="S19" s="340"/>
      <c r="T19" s="347"/>
      <c r="U19" s="335"/>
      <c r="V19" s="335"/>
      <c r="W19" s="335"/>
      <c r="X19" s="335"/>
      <c r="Y19" s="336"/>
      <c r="Z19" s="340"/>
      <c r="AA19" s="340"/>
      <c r="AB19" s="340"/>
      <c r="AC19" s="341"/>
      <c r="AD19" s="342">
        <f>SUM(C19:AC19)</f>
        <v>0</v>
      </c>
      <c r="AE19" s="101"/>
    </row>
    <row r="20" spans="1:31" s="46" customFormat="1" ht="15" collapsed="1">
      <c r="A20" s="501" t="s">
        <v>62</v>
      </c>
      <c r="B20" s="502"/>
      <c r="C20" s="454">
        <f>SUM(C17:C19)</f>
        <v>0</v>
      </c>
      <c r="D20" s="335">
        <f t="shared" ref="D20:AC20" si="2">SUM(D17:D19)</f>
        <v>0</v>
      </c>
      <c r="E20" s="336">
        <f t="shared" si="2"/>
        <v>0</v>
      </c>
      <c r="F20" s="339">
        <f t="shared" si="2"/>
        <v>0</v>
      </c>
      <c r="G20" s="339">
        <f t="shared" si="2"/>
        <v>0</v>
      </c>
      <c r="H20" s="339">
        <f t="shared" si="2"/>
        <v>0</v>
      </c>
      <c r="I20" s="339">
        <f t="shared" si="2"/>
        <v>0</v>
      </c>
      <c r="J20" s="339">
        <f t="shared" si="2"/>
        <v>11.82672</v>
      </c>
      <c r="K20" s="339">
        <f t="shared" si="2"/>
        <v>0</v>
      </c>
      <c r="L20" s="339">
        <f t="shared" si="2"/>
        <v>0</v>
      </c>
      <c r="M20" s="348">
        <f t="shared" si="2"/>
        <v>0</v>
      </c>
      <c r="N20" s="339">
        <f t="shared" si="2"/>
        <v>385.92</v>
      </c>
      <c r="O20" s="339">
        <f t="shared" si="2"/>
        <v>99.8</v>
      </c>
      <c r="P20" s="339">
        <f t="shared" si="2"/>
        <v>0</v>
      </c>
      <c r="Q20" s="339">
        <f t="shared" si="2"/>
        <v>0</v>
      </c>
      <c r="R20" s="339">
        <f t="shared" si="2"/>
        <v>0</v>
      </c>
      <c r="S20" s="339">
        <f t="shared" si="2"/>
        <v>0</v>
      </c>
      <c r="T20" s="347">
        <f t="shared" si="2"/>
        <v>0</v>
      </c>
      <c r="U20" s="335">
        <f t="shared" si="2"/>
        <v>0</v>
      </c>
      <c r="V20" s="335">
        <f t="shared" si="2"/>
        <v>0</v>
      </c>
      <c r="W20" s="335">
        <f t="shared" si="2"/>
        <v>0</v>
      </c>
      <c r="X20" s="335">
        <f t="shared" si="2"/>
        <v>0</v>
      </c>
      <c r="Y20" s="336">
        <f t="shared" si="2"/>
        <v>0</v>
      </c>
      <c r="Z20" s="339">
        <f t="shared" si="2"/>
        <v>0</v>
      </c>
      <c r="AA20" s="339">
        <f t="shared" si="2"/>
        <v>0</v>
      </c>
      <c r="AB20" s="339">
        <f t="shared" si="2"/>
        <v>0</v>
      </c>
      <c r="AC20" s="337">
        <f t="shared" si="2"/>
        <v>291.31410999999997</v>
      </c>
      <c r="AD20" s="338">
        <f>SUM(C20:AC20)</f>
        <v>788.86083000000008</v>
      </c>
      <c r="AE20" s="101"/>
    </row>
    <row r="21" spans="1:31" s="46" customFormat="1">
      <c r="A21" s="103"/>
      <c r="B21" s="48"/>
      <c r="C21" s="454"/>
      <c r="D21" s="344"/>
      <c r="E21" s="344"/>
      <c r="F21" s="343"/>
      <c r="G21" s="343"/>
      <c r="H21" s="343"/>
      <c r="I21" s="343"/>
      <c r="J21" s="343"/>
      <c r="K21" s="343"/>
      <c r="L21" s="343"/>
      <c r="M21" s="344"/>
      <c r="N21" s="343"/>
      <c r="O21" s="343"/>
      <c r="P21" s="343"/>
      <c r="Q21" s="343"/>
      <c r="R21" s="343"/>
      <c r="S21" s="343"/>
      <c r="T21" s="344"/>
      <c r="U21" s="344"/>
      <c r="V21" s="344"/>
      <c r="W21" s="344"/>
      <c r="X21" s="344"/>
      <c r="Y21" s="344"/>
      <c r="Z21" s="343"/>
      <c r="AA21" s="343"/>
      <c r="AB21" s="343"/>
      <c r="AC21" s="343"/>
      <c r="AD21" s="345"/>
      <c r="AE21" s="101"/>
    </row>
    <row r="22" spans="1:31" s="46" customFormat="1" ht="15">
      <c r="A22" s="104" t="s">
        <v>63</v>
      </c>
      <c r="B22" s="133" t="s">
        <v>283</v>
      </c>
      <c r="C22" s="455"/>
      <c r="D22" s="346"/>
      <c r="E22" s="346"/>
      <c r="F22" s="343"/>
      <c r="G22" s="343"/>
      <c r="H22" s="343"/>
      <c r="I22" s="343"/>
      <c r="J22" s="343"/>
      <c r="K22" s="343"/>
      <c r="L22" s="343"/>
      <c r="M22" s="343"/>
      <c r="N22" s="343"/>
      <c r="O22" s="343"/>
      <c r="P22" s="343"/>
      <c r="Q22" s="343"/>
      <c r="R22" s="343"/>
      <c r="S22" s="343"/>
      <c r="T22" s="346"/>
      <c r="U22" s="346"/>
      <c r="V22" s="346"/>
      <c r="W22" s="346"/>
      <c r="X22" s="346"/>
      <c r="Y22" s="346"/>
      <c r="Z22" s="343"/>
      <c r="AA22" s="343"/>
      <c r="AB22" s="343"/>
      <c r="AC22" s="343"/>
      <c r="AD22" s="345"/>
      <c r="AE22" s="101"/>
    </row>
    <row r="23" spans="1:31" s="46" customFormat="1">
      <c r="A23" s="100" t="s">
        <v>29</v>
      </c>
      <c r="B23" s="131" t="s">
        <v>284</v>
      </c>
      <c r="C23" s="454"/>
      <c r="D23" s="335"/>
      <c r="E23" s="336"/>
      <c r="F23" s="339"/>
      <c r="G23" s="339"/>
      <c r="H23" s="339"/>
      <c r="I23" s="339"/>
      <c r="J23" s="339">
        <f>781616.57/1000</f>
        <v>781.61656999999991</v>
      </c>
      <c r="K23" s="339"/>
      <c r="L23" s="339"/>
      <c r="M23" s="339"/>
      <c r="N23" s="339">
        <f>134470.24/1000</f>
        <v>134.47023999999999</v>
      </c>
      <c r="O23" s="339">
        <f>11000/1000</f>
        <v>11</v>
      </c>
      <c r="P23" s="339">
        <f>5555598/1000</f>
        <v>5555.598</v>
      </c>
      <c r="Q23" s="339"/>
      <c r="R23" s="339"/>
      <c r="S23" s="339">
        <f>2708938.24/1000</f>
        <v>2708.9382400000004</v>
      </c>
      <c r="T23" s="347"/>
      <c r="U23" s="335"/>
      <c r="V23" s="335"/>
      <c r="W23" s="335"/>
      <c r="X23" s="335"/>
      <c r="Y23" s="336"/>
      <c r="Z23" s="339"/>
      <c r="AA23" s="339"/>
      <c r="AB23" s="339"/>
      <c r="AC23" s="337">
        <f>1647329.19/1000</f>
        <v>1647.3291899999999</v>
      </c>
      <c r="AD23" s="338">
        <f t="shared" ref="AD23:AD28" si="3">SUM(C23:AC23)</f>
        <v>10838.952240000001</v>
      </c>
      <c r="AE23" s="101"/>
    </row>
    <row r="24" spans="1:31" s="46" customFormat="1">
      <c r="A24" s="100" t="s">
        <v>30</v>
      </c>
      <c r="B24" s="131" t="s">
        <v>285</v>
      </c>
      <c r="C24" s="454"/>
      <c r="D24" s="335"/>
      <c r="E24" s="336"/>
      <c r="F24" s="339"/>
      <c r="G24" s="339"/>
      <c r="H24" s="339">
        <f>85832.17/1000</f>
        <v>85.832170000000005</v>
      </c>
      <c r="I24" s="339">
        <f>-42062.97/1000</f>
        <v>-42.06297</v>
      </c>
      <c r="J24" s="339">
        <f>9174161.61/1000</f>
        <v>9174.1616099999992</v>
      </c>
      <c r="K24" s="339">
        <f>182576.6/1000</f>
        <v>182.57660000000001</v>
      </c>
      <c r="L24" s="339">
        <f>156879.48/1000</f>
        <v>156.87948</v>
      </c>
      <c r="M24" s="366"/>
      <c r="N24" s="339">
        <f>111331.25/1000</f>
        <v>111.33125</v>
      </c>
      <c r="O24" s="339"/>
      <c r="P24" s="339">
        <f>2423170/1000</f>
        <v>2423.17</v>
      </c>
      <c r="Q24" s="339"/>
      <c r="R24" s="339"/>
      <c r="S24" s="339">
        <f>(2219959.27+1708339.64+14677377.6)/1000</f>
        <v>18605.676509999998</v>
      </c>
      <c r="T24" s="347"/>
      <c r="U24" s="335"/>
      <c r="V24" s="335"/>
      <c r="W24" s="335"/>
      <c r="X24" s="335"/>
      <c r="Y24" s="336"/>
      <c r="Z24" s="339"/>
      <c r="AA24" s="339"/>
      <c r="AB24" s="339"/>
      <c r="AC24" s="337">
        <f>11041816.08/1000</f>
        <v>11041.816080000001</v>
      </c>
      <c r="AD24" s="338">
        <f t="shared" si="3"/>
        <v>41739.380729999997</v>
      </c>
      <c r="AE24" s="101"/>
    </row>
    <row r="25" spans="1:31" s="46" customFormat="1">
      <c r="A25" s="100" t="s">
        <v>286</v>
      </c>
      <c r="B25" s="131" t="s">
        <v>287</v>
      </c>
      <c r="C25" s="454"/>
      <c r="D25" s="335"/>
      <c r="E25" s="336"/>
      <c r="F25" s="339"/>
      <c r="G25" s="339"/>
      <c r="H25" s="339"/>
      <c r="I25" s="339"/>
      <c r="J25" s="339"/>
      <c r="K25" s="339"/>
      <c r="L25" s="339"/>
      <c r="M25" s="348"/>
      <c r="N25" s="339"/>
      <c r="O25" s="339"/>
      <c r="P25" s="339"/>
      <c r="Q25" s="339"/>
      <c r="R25" s="339"/>
      <c r="S25" s="339"/>
      <c r="T25" s="347"/>
      <c r="U25" s="335"/>
      <c r="V25" s="335"/>
      <c r="W25" s="335"/>
      <c r="X25" s="335"/>
      <c r="Y25" s="336"/>
      <c r="Z25" s="339"/>
      <c r="AA25" s="339"/>
      <c r="AB25" s="339"/>
      <c r="AC25" s="337"/>
      <c r="AD25" s="338">
        <f t="shared" si="3"/>
        <v>0</v>
      </c>
      <c r="AE25" s="101"/>
    </row>
    <row r="26" spans="1:31" s="46" customFormat="1">
      <c r="A26" s="100" t="s">
        <v>288</v>
      </c>
      <c r="B26" s="131" t="s">
        <v>289</v>
      </c>
      <c r="C26" s="454"/>
      <c r="D26" s="335"/>
      <c r="E26" s="336"/>
      <c r="F26" s="339"/>
      <c r="G26" s="339"/>
      <c r="H26" s="339"/>
      <c r="I26" s="339"/>
      <c r="J26" s="339">
        <f>2291223.82/1000</f>
        <v>2291.2238199999997</v>
      </c>
      <c r="K26" s="339">
        <f>18438.47/1000</f>
        <v>18.438470000000002</v>
      </c>
      <c r="L26" s="339">
        <f>69450.13/1000</f>
        <v>69.450130000000001</v>
      </c>
      <c r="M26" s="367"/>
      <c r="N26" s="339">
        <f>112537/1000</f>
        <v>112.53700000000001</v>
      </c>
      <c r="O26" s="339"/>
      <c r="P26" s="339"/>
      <c r="Q26" s="339"/>
      <c r="R26" s="339"/>
      <c r="S26" s="339">
        <f>(1960327.08+1656576.29+10122506.95)/1000</f>
        <v>13739.410320000001</v>
      </c>
      <c r="T26" s="347"/>
      <c r="U26" s="335"/>
      <c r="V26" s="335"/>
      <c r="W26" s="335"/>
      <c r="X26" s="335"/>
      <c r="Y26" s="336"/>
      <c r="Z26" s="339"/>
      <c r="AA26" s="339"/>
      <c r="AB26" s="339"/>
      <c r="AC26" s="337">
        <f>6223246.48/1000</f>
        <v>6223.2464800000007</v>
      </c>
      <c r="AD26" s="338">
        <f t="shared" si="3"/>
        <v>22454.306220000002</v>
      </c>
      <c r="AE26" s="101"/>
    </row>
    <row r="27" spans="1:31" s="46" customFormat="1">
      <c r="A27" s="102" t="s">
        <v>191</v>
      </c>
      <c r="B27" s="132" t="s">
        <v>290</v>
      </c>
      <c r="C27" s="454"/>
      <c r="D27" s="335"/>
      <c r="E27" s="336"/>
      <c r="F27" s="340"/>
      <c r="G27" s="340"/>
      <c r="H27" s="340"/>
      <c r="I27" s="340"/>
      <c r="J27" s="340">
        <f>926992.21/1000</f>
        <v>926.99221</v>
      </c>
      <c r="K27" s="340"/>
      <c r="L27" s="340"/>
      <c r="M27" s="340">
        <f>16162396.68/1000</f>
        <v>16162.39668</v>
      </c>
      <c r="N27" s="340">
        <f>39312377/1000</f>
        <v>39312.377</v>
      </c>
      <c r="O27" s="340">
        <f>2132981.46/1000</f>
        <v>2132.98146</v>
      </c>
      <c r="P27" s="340">
        <f>1209949/1000</f>
        <v>1209.9490000000001</v>
      </c>
      <c r="Q27" s="340"/>
      <c r="R27" s="340"/>
      <c r="S27" s="340">
        <f>3985400/1000</f>
        <v>3985.4</v>
      </c>
      <c r="T27" s="347"/>
      <c r="U27" s="335"/>
      <c r="V27" s="335"/>
      <c r="W27" s="335"/>
      <c r="X27" s="335"/>
      <c r="Y27" s="336"/>
      <c r="Z27" s="340"/>
      <c r="AA27" s="340"/>
      <c r="AB27" s="340"/>
      <c r="AC27" s="341">
        <f>822453.15/1000</f>
        <v>822.45315000000005</v>
      </c>
      <c r="AD27" s="342">
        <f t="shared" si="3"/>
        <v>64552.549500000001</v>
      </c>
      <c r="AE27" s="101"/>
    </row>
    <row r="28" spans="1:31" s="46" customFormat="1" ht="15" collapsed="1">
      <c r="A28" s="501" t="s">
        <v>64</v>
      </c>
      <c r="B28" s="502"/>
      <c r="C28" s="454">
        <f>SUM(C23:C27)</f>
        <v>0</v>
      </c>
      <c r="D28" s="335">
        <f t="shared" ref="D28:AC28" si="4">SUM(D23:D27)</f>
        <v>0</v>
      </c>
      <c r="E28" s="336">
        <f t="shared" si="4"/>
        <v>0</v>
      </c>
      <c r="F28" s="339">
        <f t="shared" si="4"/>
        <v>0</v>
      </c>
      <c r="G28" s="339">
        <f t="shared" si="4"/>
        <v>0</v>
      </c>
      <c r="H28" s="339">
        <f t="shared" si="4"/>
        <v>85.832170000000005</v>
      </c>
      <c r="I28" s="339">
        <f t="shared" si="4"/>
        <v>-42.06297</v>
      </c>
      <c r="J28" s="339">
        <f t="shared" si="4"/>
        <v>13173.994209999999</v>
      </c>
      <c r="K28" s="339">
        <f t="shared" si="4"/>
        <v>201.01507000000001</v>
      </c>
      <c r="L28" s="339">
        <f t="shared" si="4"/>
        <v>226.32961</v>
      </c>
      <c r="M28" s="339">
        <f t="shared" si="4"/>
        <v>16162.39668</v>
      </c>
      <c r="N28" s="339">
        <f t="shared" si="4"/>
        <v>39670.715490000002</v>
      </c>
      <c r="O28" s="339">
        <f t="shared" si="4"/>
        <v>2143.98146</v>
      </c>
      <c r="P28" s="339">
        <f t="shared" si="4"/>
        <v>9188.7170000000006</v>
      </c>
      <c r="Q28" s="339">
        <f t="shared" si="4"/>
        <v>0</v>
      </c>
      <c r="R28" s="339">
        <f t="shared" si="4"/>
        <v>0</v>
      </c>
      <c r="S28" s="339">
        <f t="shared" si="4"/>
        <v>39039.425069999998</v>
      </c>
      <c r="T28" s="347">
        <f t="shared" si="4"/>
        <v>0</v>
      </c>
      <c r="U28" s="335">
        <f t="shared" si="4"/>
        <v>0</v>
      </c>
      <c r="V28" s="335">
        <f t="shared" si="4"/>
        <v>0</v>
      </c>
      <c r="W28" s="335">
        <f t="shared" si="4"/>
        <v>0</v>
      </c>
      <c r="X28" s="335">
        <f t="shared" si="4"/>
        <v>0</v>
      </c>
      <c r="Y28" s="336">
        <f t="shared" si="4"/>
        <v>0</v>
      </c>
      <c r="Z28" s="339">
        <f t="shared" si="4"/>
        <v>0</v>
      </c>
      <c r="AA28" s="339">
        <f t="shared" si="4"/>
        <v>0</v>
      </c>
      <c r="AB28" s="339">
        <f t="shared" si="4"/>
        <v>0</v>
      </c>
      <c r="AC28" s="337">
        <f t="shared" si="4"/>
        <v>19734.844900000004</v>
      </c>
      <c r="AD28" s="338">
        <f t="shared" si="3"/>
        <v>139585.18869000001</v>
      </c>
      <c r="AE28" s="101"/>
    </row>
    <row r="29" spans="1:31" s="46" customFormat="1">
      <c r="A29" s="103"/>
      <c r="B29" s="48"/>
      <c r="C29" s="452"/>
      <c r="D29" s="344"/>
      <c r="E29" s="344"/>
      <c r="F29" s="343"/>
      <c r="G29" s="343"/>
      <c r="H29" s="343"/>
      <c r="I29" s="343"/>
      <c r="J29" s="343"/>
      <c r="K29" s="343"/>
      <c r="L29" s="343"/>
      <c r="M29" s="343"/>
      <c r="N29" s="343"/>
      <c r="O29" s="343"/>
      <c r="P29" s="343"/>
      <c r="Q29" s="343"/>
      <c r="R29" s="343"/>
      <c r="S29" s="343"/>
      <c r="T29" s="344"/>
      <c r="U29" s="344"/>
      <c r="V29" s="344"/>
      <c r="W29" s="344"/>
      <c r="X29" s="344"/>
      <c r="Y29" s="344"/>
      <c r="Z29" s="343"/>
      <c r="AA29" s="343"/>
      <c r="AB29" s="343"/>
      <c r="AC29" s="343"/>
      <c r="AD29" s="345"/>
      <c r="AE29" s="101"/>
    </row>
    <row r="30" spans="1:31" s="46" customFormat="1" ht="15">
      <c r="A30" s="104" t="s">
        <v>65</v>
      </c>
      <c r="B30" s="133" t="s">
        <v>291</v>
      </c>
      <c r="C30" s="455"/>
      <c r="D30" s="346"/>
      <c r="E30" s="346"/>
      <c r="F30" s="343"/>
      <c r="G30" s="343"/>
      <c r="H30" s="343"/>
      <c r="I30" s="343"/>
      <c r="J30" s="343"/>
      <c r="K30" s="343"/>
      <c r="L30" s="343"/>
      <c r="M30" s="346"/>
      <c r="N30" s="343"/>
      <c r="O30" s="343"/>
      <c r="P30" s="343"/>
      <c r="Q30" s="343"/>
      <c r="R30" s="343"/>
      <c r="S30" s="343"/>
      <c r="T30" s="346"/>
      <c r="U30" s="346"/>
      <c r="V30" s="346"/>
      <c r="W30" s="346"/>
      <c r="X30" s="346"/>
      <c r="Y30" s="346"/>
      <c r="Z30" s="343"/>
      <c r="AA30" s="343"/>
      <c r="AB30" s="343"/>
      <c r="AC30" s="343"/>
      <c r="AD30" s="345"/>
      <c r="AE30" s="101"/>
    </row>
    <row r="31" spans="1:31" s="46" customFormat="1">
      <c r="A31" s="100" t="s">
        <v>292</v>
      </c>
      <c r="B31" s="131" t="s">
        <v>293</v>
      </c>
      <c r="C31" s="454"/>
      <c r="D31" s="335"/>
      <c r="E31" s="336"/>
      <c r="F31" s="339"/>
      <c r="G31" s="339"/>
      <c r="H31" s="339"/>
      <c r="I31" s="339">
        <f>20151.92/1000</f>
        <v>20.151919999999997</v>
      </c>
      <c r="J31" s="339">
        <f>384516.04/1000</f>
        <v>384.51603999999998</v>
      </c>
      <c r="K31" s="339"/>
      <c r="L31" s="339">
        <f>391.05/1000</f>
        <v>0.39105000000000001</v>
      </c>
      <c r="M31" s="348"/>
      <c r="N31" s="339">
        <f>174517.35/1000</f>
        <v>174.51734999999999</v>
      </c>
      <c r="O31" s="339">
        <f>92000/1000</f>
        <v>92</v>
      </c>
      <c r="P31" s="339">
        <f>77957.61/1000</f>
        <v>77.957610000000003</v>
      </c>
      <c r="Q31" s="339">
        <f>97999.99/1000</f>
        <v>97.999990000000011</v>
      </c>
      <c r="R31" s="339"/>
      <c r="S31" s="339">
        <f>(180815.1+9466.84)/1000</f>
        <v>190.28193999999999</v>
      </c>
      <c r="T31" s="347"/>
      <c r="U31" s="335"/>
      <c r="V31" s="335"/>
      <c r="W31" s="335"/>
      <c r="X31" s="335"/>
      <c r="Y31" s="336"/>
      <c r="Z31" s="339"/>
      <c r="AA31" s="339"/>
      <c r="AB31" s="339"/>
      <c r="AC31" s="337">
        <f>1166510.73/1000</f>
        <v>1166.51073</v>
      </c>
      <c r="AD31" s="338">
        <f t="shared" ref="AD31:AD37" si="5">SUM(C31:AC31)</f>
        <v>2204.32663</v>
      </c>
      <c r="AE31" s="101"/>
    </row>
    <row r="32" spans="1:31" s="46" customFormat="1">
      <c r="A32" s="100" t="s">
        <v>294</v>
      </c>
      <c r="B32" s="131" t="s">
        <v>295</v>
      </c>
      <c r="C32" s="454"/>
      <c r="D32" s="335"/>
      <c r="E32" s="336"/>
      <c r="F32" s="339"/>
      <c r="G32" s="339"/>
      <c r="H32" s="339"/>
      <c r="I32" s="339"/>
      <c r="J32" s="339">
        <f>420672/1000</f>
        <v>420.67200000000003</v>
      </c>
      <c r="K32" s="339"/>
      <c r="L32" s="339"/>
      <c r="M32" s="348"/>
      <c r="N32" s="339"/>
      <c r="O32" s="339"/>
      <c r="P32" s="339"/>
      <c r="Q32" s="339"/>
      <c r="R32" s="339"/>
      <c r="S32" s="339"/>
      <c r="T32" s="347"/>
      <c r="U32" s="335"/>
      <c r="V32" s="335"/>
      <c r="W32" s="335"/>
      <c r="X32" s="335"/>
      <c r="Y32" s="336"/>
      <c r="Z32" s="339"/>
      <c r="AA32" s="339"/>
      <c r="AB32" s="339"/>
      <c r="AC32" s="337">
        <f>85351.77/1000</f>
        <v>85.351770000000002</v>
      </c>
      <c r="AD32" s="338">
        <f t="shared" si="5"/>
        <v>506.02377000000001</v>
      </c>
      <c r="AE32" s="101"/>
    </row>
    <row r="33" spans="1:31" s="46" customFormat="1">
      <c r="A33" s="100" t="s">
        <v>296</v>
      </c>
      <c r="B33" s="131" t="s">
        <v>297</v>
      </c>
      <c r="C33" s="454"/>
      <c r="D33" s="335"/>
      <c r="E33" s="336"/>
      <c r="F33" s="339"/>
      <c r="G33" s="339"/>
      <c r="H33" s="339"/>
      <c r="I33" s="339"/>
      <c r="J33" s="339"/>
      <c r="K33" s="339"/>
      <c r="L33" s="339"/>
      <c r="M33" s="348"/>
      <c r="N33" s="339"/>
      <c r="O33" s="339"/>
      <c r="P33" s="339"/>
      <c r="Q33" s="339"/>
      <c r="R33" s="339"/>
      <c r="S33" s="339"/>
      <c r="T33" s="347"/>
      <c r="U33" s="335"/>
      <c r="V33" s="335"/>
      <c r="W33" s="335"/>
      <c r="X33" s="335"/>
      <c r="Y33" s="336"/>
      <c r="Z33" s="339"/>
      <c r="AA33" s="339"/>
      <c r="AB33" s="339"/>
      <c r="AC33" s="337"/>
      <c r="AD33" s="338">
        <f t="shared" si="5"/>
        <v>0</v>
      </c>
      <c r="AE33" s="101"/>
    </row>
    <row r="34" spans="1:31" s="46" customFormat="1">
      <c r="A34" s="100" t="s">
        <v>298</v>
      </c>
      <c r="B34" s="131" t="s">
        <v>299</v>
      </c>
      <c r="C34" s="454"/>
      <c r="D34" s="335"/>
      <c r="E34" s="336"/>
      <c r="F34" s="339"/>
      <c r="G34" s="339"/>
      <c r="H34" s="339"/>
      <c r="I34" s="339"/>
      <c r="J34" s="339"/>
      <c r="K34" s="339"/>
      <c r="L34" s="339"/>
      <c r="M34" s="348"/>
      <c r="N34" s="339"/>
      <c r="O34" s="339"/>
      <c r="P34" s="339"/>
      <c r="Q34" s="339"/>
      <c r="R34" s="339"/>
      <c r="S34" s="339"/>
      <c r="T34" s="347"/>
      <c r="U34" s="335"/>
      <c r="V34" s="335"/>
      <c r="W34" s="335"/>
      <c r="X34" s="335"/>
      <c r="Y34" s="336"/>
      <c r="Z34" s="339"/>
      <c r="AA34" s="339"/>
      <c r="AB34" s="339"/>
      <c r="AC34" s="337"/>
      <c r="AD34" s="338">
        <f t="shared" si="5"/>
        <v>0</v>
      </c>
      <c r="AE34" s="101"/>
    </row>
    <row r="35" spans="1:31" s="46" customFormat="1">
      <c r="A35" s="100" t="s">
        <v>300</v>
      </c>
      <c r="B35" s="131" t="s">
        <v>301</v>
      </c>
      <c r="C35" s="454"/>
      <c r="D35" s="335"/>
      <c r="E35" s="336"/>
      <c r="F35" s="339"/>
      <c r="G35" s="339"/>
      <c r="H35" s="339"/>
      <c r="I35" s="339"/>
      <c r="J35" s="339"/>
      <c r="K35" s="339"/>
      <c r="L35" s="339"/>
      <c r="M35" s="348"/>
      <c r="N35" s="339"/>
      <c r="O35" s="339"/>
      <c r="P35" s="339"/>
      <c r="Q35" s="339"/>
      <c r="R35" s="339"/>
      <c r="S35" s="339"/>
      <c r="T35" s="347"/>
      <c r="U35" s="335"/>
      <c r="V35" s="335"/>
      <c r="W35" s="335"/>
      <c r="X35" s="335"/>
      <c r="Y35" s="336"/>
      <c r="Z35" s="339"/>
      <c r="AA35" s="339"/>
      <c r="AB35" s="339"/>
      <c r="AC35" s="337"/>
      <c r="AD35" s="338">
        <f t="shared" si="5"/>
        <v>0</v>
      </c>
      <c r="AE35" s="101"/>
    </row>
    <row r="36" spans="1:31" s="46" customFormat="1">
      <c r="A36" s="102" t="s">
        <v>302</v>
      </c>
      <c r="B36" s="132" t="s">
        <v>303</v>
      </c>
      <c r="C36" s="454"/>
      <c r="D36" s="335"/>
      <c r="E36" s="336"/>
      <c r="F36" s="340"/>
      <c r="G36" s="340"/>
      <c r="H36" s="340"/>
      <c r="I36" s="340"/>
      <c r="J36" s="340"/>
      <c r="K36" s="340"/>
      <c r="L36" s="340"/>
      <c r="M36" s="348"/>
      <c r="N36" s="340"/>
      <c r="O36" s="340"/>
      <c r="P36" s="340"/>
      <c r="Q36" s="340"/>
      <c r="R36" s="340"/>
      <c r="S36" s="340"/>
      <c r="T36" s="347"/>
      <c r="U36" s="335"/>
      <c r="V36" s="335"/>
      <c r="W36" s="335"/>
      <c r="X36" s="335"/>
      <c r="Y36" s="336"/>
      <c r="Z36" s="340"/>
      <c r="AA36" s="340"/>
      <c r="AB36" s="340"/>
      <c r="AC36" s="341"/>
      <c r="AD36" s="342">
        <f t="shared" si="5"/>
        <v>0</v>
      </c>
      <c r="AE36" s="101"/>
    </row>
    <row r="37" spans="1:31" s="46" customFormat="1" ht="15" collapsed="1">
      <c r="A37" s="503" t="s">
        <v>66</v>
      </c>
      <c r="B37" s="504"/>
      <c r="C37" s="454">
        <f>SUM(C31:C36)</f>
        <v>0</v>
      </c>
      <c r="D37" s="335">
        <f t="shared" ref="D37:AC37" si="6">SUM(D31:D36)</f>
        <v>0</v>
      </c>
      <c r="E37" s="336">
        <f t="shared" si="6"/>
        <v>0</v>
      </c>
      <c r="F37" s="339">
        <f t="shared" si="6"/>
        <v>0</v>
      </c>
      <c r="G37" s="339">
        <f t="shared" si="6"/>
        <v>0</v>
      </c>
      <c r="H37" s="339">
        <f t="shared" si="6"/>
        <v>0</v>
      </c>
      <c r="I37" s="339">
        <f t="shared" si="6"/>
        <v>20.151919999999997</v>
      </c>
      <c r="J37" s="339">
        <f t="shared" si="6"/>
        <v>805.18804</v>
      </c>
      <c r="K37" s="339">
        <f t="shared" si="6"/>
        <v>0</v>
      </c>
      <c r="L37" s="339">
        <f t="shared" si="6"/>
        <v>0.39105000000000001</v>
      </c>
      <c r="M37" s="348">
        <f t="shared" si="6"/>
        <v>0</v>
      </c>
      <c r="N37" s="339">
        <f t="shared" si="6"/>
        <v>174.51734999999999</v>
      </c>
      <c r="O37" s="339">
        <f t="shared" si="6"/>
        <v>92</v>
      </c>
      <c r="P37" s="339">
        <f t="shared" si="6"/>
        <v>77.957610000000003</v>
      </c>
      <c r="Q37" s="339">
        <f t="shared" si="6"/>
        <v>97.999990000000011</v>
      </c>
      <c r="R37" s="339">
        <f t="shared" si="6"/>
        <v>0</v>
      </c>
      <c r="S37" s="339">
        <f t="shared" si="6"/>
        <v>190.28193999999999</v>
      </c>
      <c r="T37" s="347">
        <f t="shared" si="6"/>
        <v>0</v>
      </c>
      <c r="U37" s="335">
        <f t="shared" si="6"/>
        <v>0</v>
      </c>
      <c r="V37" s="335">
        <f t="shared" si="6"/>
        <v>0</v>
      </c>
      <c r="W37" s="335">
        <f t="shared" si="6"/>
        <v>0</v>
      </c>
      <c r="X37" s="335">
        <f t="shared" si="6"/>
        <v>0</v>
      </c>
      <c r="Y37" s="336">
        <f t="shared" si="6"/>
        <v>0</v>
      </c>
      <c r="Z37" s="339">
        <f t="shared" si="6"/>
        <v>0</v>
      </c>
      <c r="AA37" s="339">
        <f t="shared" si="6"/>
        <v>0</v>
      </c>
      <c r="AB37" s="339">
        <f t="shared" si="6"/>
        <v>0</v>
      </c>
      <c r="AC37" s="337">
        <f t="shared" si="6"/>
        <v>1251.8625</v>
      </c>
      <c r="AD37" s="338">
        <f t="shared" si="5"/>
        <v>2710.3504000000003</v>
      </c>
      <c r="AE37" s="101"/>
    </row>
    <row r="38" spans="1:31" s="46" customFormat="1">
      <c r="A38" s="103"/>
      <c r="B38" s="48"/>
      <c r="C38" s="452"/>
      <c r="D38" s="344"/>
      <c r="E38" s="344"/>
      <c r="F38" s="343"/>
      <c r="G38" s="343"/>
      <c r="H38" s="343"/>
      <c r="I38" s="343"/>
      <c r="J38" s="343"/>
      <c r="K38" s="343"/>
      <c r="L38" s="343"/>
      <c r="M38" s="344"/>
      <c r="N38" s="343"/>
      <c r="O38" s="343"/>
      <c r="P38" s="343"/>
      <c r="Q38" s="343"/>
      <c r="R38" s="343"/>
      <c r="S38" s="343"/>
      <c r="T38" s="344"/>
      <c r="U38" s="344"/>
      <c r="V38" s="344"/>
      <c r="W38" s="344"/>
      <c r="X38" s="344"/>
      <c r="Y38" s="344"/>
      <c r="Z38" s="343"/>
      <c r="AA38" s="343"/>
      <c r="AB38" s="343"/>
      <c r="AC38" s="343"/>
      <c r="AD38" s="345"/>
      <c r="AE38" s="101"/>
    </row>
    <row r="39" spans="1:31" s="46" customFormat="1" ht="15">
      <c r="A39" s="104" t="s">
        <v>67</v>
      </c>
      <c r="B39" s="133" t="s">
        <v>304</v>
      </c>
      <c r="C39" s="455"/>
      <c r="D39" s="346"/>
      <c r="E39" s="346"/>
      <c r="F39" s="343"/>
      <c r="G39" s="343"/>
      <c r="H39" s="343"/>
      <c r="I39" s="343"/>
      <c r="J39" s="343"/>
      <c r="K39" s="343"/>
      <c r="L39" s="343"/>
      <c r="M39" s="343"/>
      <c r="N39" s="343"/>
      <c r="O39" s="343"/>
      <c r="P39" s="343"/>
      <c r="Q39" s="343"/>
      <c r="R39" s="343"/>
      <c r="S39" s="343"/>
      <c r="T39" s="346"/>
      <c r="U39" s="346"/>
      <c r="V39" s="346"/>
      <c r="W39" s="346"/>
      <c r="X39" s="346"/>
      <c r="Y39" s="346"/>
      <c r="Z39" s="343"/>
      <c r="AA39" s="343"/>
      <c r="AB39" s="343"/>
      <c r="AC39" s="343"/>
      <c r="AD39" s="345"/>
      <c r="AE39" s="101"/>
    </row>
    <row r="40" spans="1:31" s="46" customFormat="1">
      <c r="A40" s="100" t="s">
        <v>242</v>
      </c>
      <c r="B40" s="131" t="s">
        <v>305</v>
      </c>
      <c r="C40" s="454"/>
      <c r="D40" s="335"/>
      <c r="E40" s="336"/>
      <c r="F40" s="339"/>
      <c r="G40" s="339"/>
      <c r="H40" s="339"/>
      <c r="I40" s="339">
        <f>81.09/1000</f>
        <v>8.1090000000000009E-2</v>
      </c>
      <c r="J40" s="339">
        <f>1195089.14/1000</f>
        <v>1195.0891399999998</v>
      </c>
      <c r="K40" s="339"/>
      <c r="L40" s="339"/>
      <c r="M40" s="339"/>
      <c r="N40" s="339">
        <f>3538326.59/1000</f>
        <v>3538.3265899999997</v>
      </c>
      <c r="O40" s="339">
        <f>3188974.5/1000</f>
        <v>3188.9744999999998</v>
      </c>
      <c r="P40" s="339"/>
      <c r="Q40" s="339"/>
      <c r="R40" s="339"/>
      <c r="S40" s="339">
        <f>780.69/1000</f>
        <v>0.78069000000000011</v>
      </c>
      <c r="T40" s="347"/>
      <c r="U40" s="335"/>
      <c r="V40" s="335"/>
      <c r="W40" s="335"/>
      <c r="X40" s="335"/>
      <c r="Y40" s="336"/>
      <c r="Z40" s="339"/>
      <c r="AA40" s="339"/>
      <c r="AB40" s="339"/>
      <c r="AC40" s="337">
        <f>2934568.77/1000</f>
        <v>2934.5687699999999</v>
      </c>
      <c r="AD40" s="338">
        <f t="shared" ref="AD40:AD47" si="7">SUM(C40:AC40)</f>
        <v>10857.820779999998</v>
      </c>
      <c r="AE40" s="101"/>
    </row>
    <row r="41" spans="1:31" s="46" customFormat="1">
      <c r="A41" s="100" t="s">
        <v>33</v>
      </c>
      <c r="B41" s="131" t="s">
        <v>306</v>
      </c>
      <c r="C41" s="454"/>
      <c r="D41" s="335"/>
      <c r="E41" s="336"/>
      <c r="F41" s="339"/>
      <c r="G41" s="339"/>
      <c r="H41" s="339"/>
      <c r="I41" s="339"/>
      <c r="J41" s="339"/>
      <c r="K41" s="339"/>
      <c r="L41" s="339"/>
      <c r="M41" s="366"/>
      <c r="N41" s="339"/>
      <c r="O41" s="339"/>
      <c r="P41" s="339"/>
      <c r="Q41" s="339"/>
      <c r="R41" s="339"/>
      <c r="S41" s="339"/>
      <c r="T41" s="347"/>
      <c r="U41" s="335"/>
      <c r="V41" s="335"/>
      <c r="W41" s="335"/>
      <c r="X41" s="335"/>
      <c r="Y41" s="336"/>
      <c r="Z41" s="339"/>
      <c r="AA41" s="339"/>
      <c r="AB41" s="339"/>
      <c r="AC41" s="337"/>
      <c r="AD41" s="338">
        <f t="shared" si="7"/>
        <v>0</v>
      </c>
      <c r="AE41" s="101"/>
    </row>
    <row r="42" spans="1:31" s="46" customFormat="1">
      <c r="A42" s="100" t="s">
        <v>34</v>
      </c>
      <c r="B42" s="131" t="s">
        <v>307</v>
      </c>
      <c r="C42" s="454"/>
      <c r="D42" s="335"/>
      <c r="E42" s="336"/>
      <c r="F42" s="339"/>
      <c r="G42" s="339"/>
      <c r="H42" s="339"/>
      <c r="I42" s="339"/>
      <c r="J42" s="339">
        <f>1019228.22/1000</f>
        <v>1019.22822</v>
      </c>
      <c r="K42" s="339"/>
      <c r="L42" s="339"/>
      <c r="M42" s="348"/>
      <c r="N42" s="339">
        <f>1719365.09/1000</f>
        <v>1719.36509</v>
      </c>
      <c r="O42" s="339">
        <f>7000/1000</f>
        <v>7</v>
      </c>
      <c r="P42" s="339"/>
      <c r="Q42" s="339"/>
      <c r="R42" s="339"/>
      <c r="S42" s="339">
        <f>(152454.74+719292.35)/1000</f>
        <v>871.74708999999996</v>
      </c>
      <c r="T42" s="347"/>
      <c r="U42" s="335"/>
      <c r="V42" s="335"/>
      <c r="W42" s="335"/>
      <c r="X42" s="335"/>
      <c r="Y42" s="336"/>
      <c r="Z42" s="339"/>
      <c r="AA42" s="339"/>
      <c r="AB42" s="339"/>
      <c r="AC42" s="337">
        <f>1659842.38/1000</f>
        <v>1659.8423799999998</v>
      </c>
      <c r="AD42" s="338">
        <f t="shared" si="7"/>
        <v>5277.1827800000001</v>
      </c>
      <c r="AE42" s="101"/>
    </row>
    <row r="43" spans="1:31" s="46" customFormat="1">
      <c r="A43" s="100" t="s">
        <v>35</v>
      </c>
      <c r="B43" s="131" t="s">
        <v>308</v>
      </c>
      <c r="C43" s="454"/>
      <c r="D43" s="335"/>
      <c r="E43" s="336"/>
      <c r="F43" s="339"/>
      <c r="G43" s="339"/>
      <c r="H43" s="339"/>
      <c r="I43" s="339"/>
      <c r="J43" s="339"/>
      <c r="K43" s="339"/>
      <c r="L43" s="339"/>
      <c r="M43" s="348"/>
      <c r="N43" s="339"/>
      <c r="O43" s="339"/>
      <c r="P43" s="339"/>
      <c r="Q43" s="339"/>
      <c r="R43" s="339"/>
      <c r="S43" s="339"/>
      <c r="T43" s="347"/>
      <c r="U43" s="335"/>
      <c r="V43" s="335"/>
      <c r="W43" s="335"/>
      <c r="X43" s="335"/>
      <c r="Y43" s="336"/>
      <c r="Z43" s="339"/>
      <c r="AA43" s="339"/>
      <c r="AB43" s="339"/>
      <c r="AC43" s="337"/>
      <c r="AD43" s="338">
        <f t="shared" si="7"/>
        <v>0</v>
      </c>
      <c r="AE43" s="101"/>
    </row>
    <row r="44" spans="1:31" s="46" customFormat="1">
      <c r="A44" s="100" t="s">
        <v>36</v>
      </c>
      <c r="B44" s="131" t="s">
        <v>309</v>
      </c>
      <c r="C44" s="454"/>
      <c r="D44" s="335"/>
      <c r="E44" s="336"/>
      <c r="F44" s="339"/>
      <c r="G44" s="339"/>
      <c r="H44" s="339"/>
      <c r="I44" s="339"/>
      <c r="J44" s="339"/>
      <c r="K44" s="339"/>
      <c r="L44" s="339"/>
      <c r="M44" s="348"/>
      <c r="N44" s="339"/>
      <c r="O44" s="339"/>
      <c r="P44" s="339"/>
      <c r="Q44" s="339"/>
      <c r="R44" s="339"/>
      <c r="S44" s="339"/>
      <c r="T44" s="347"/>
      <c r="U44" s="335"/>
      <c r="V44" s="335"/>
      <c r="W44" s="335"/>
      <c r="X44" s="335"/>
      <c r="Y44" s="336"/>
      <c r="Z44" s="339"/>
      <c r="AA44" s="339"/>
      <c r="AB44" s="339"/>
      <c r="AC44" s="337"/>
      <c r="AD44" s="338">
        <f t="shared" si="7"/>
        <v>0</v>
      </c>
      <c r="AE44" s="101"/>
    </row>
    <row r="45" spans="1:31" s="46" customFormat="1">
      <c r="A45" s="100" t="s">
        <v>37</v>
      </c>
      <c r="B45" s="131" t="s">
        <v>310</v>
      </c>
      <c r="C45" s="454"/>
      <c r="D45" s="335"/>
      <c r="E45" s="336"/>
      <c r="F45" s="339"/>
      <c r="G45" s="339"/>
      <c r="H45" s="339"/>
      <c r="I45" s="339">
        <f>5114.83/1000</f>
        <v>5.1148299999999995</v>
      </c>
      <c r="J45" s="339">
        <f>4763874.73/1000</f>
        <v>4763.8747300000005</v>
      </c>
      <c r="K45" s="339"/>
      <c r="L45" s="339"/>
      <c r="M45" s="348"/>
      <c r="N45" s="339"/>
      <c r="O45" s="339"/>
      <c r="P45" s="339"/>
      <c r="Q45" s="339"/>
      <c r="R45" s="339"/>
      <c r="S45" s="339">
        <f>6596.31/1000</f>
        <v>6.5963100000000008</v>
      </c>
      <c r="T45" s="347"/>
      <c r="U45" s="335"/>
      <c r="V45" s="335"/>
      <c r="W45" s="335"/>
      <c r="X45" s="335"/>
      <c r="Y45" s="336"/>
      <c r="Z45" s="339"/>
      <c r="AA45" s="339"/>
      <c r="AB45" s="339"/>
      <c r="AC45" s="337">
        <f>3075347.94/1000</f>
        <v>3075.3479400000001</v>
      </c>
      <c r="AD45" s="338">
        <f t="shared" si="7"/>
        <v>7850.9338100000004</v>
      </c>
      <c r="AE45" s="101"/>
    </row>
    <row r="46" spans="1:31" s="46" customFormat="1">
      <c r="A46" s="102" t="s">
        <v>38</v>
      </c>
      <c r="B46" s="132" t="s">
        <v>311</v>
      </c>
      <c r="C46" s="454"/>
      <c r="D46" s="335"/>
      <c r="E46" s="336"/>
      <c r="F46" s="340"/>
      <c r="G46" s="340"/>
      <c r="H46" s="340"/>
      <c r="I46" s="340"/>
      <c r="J46" s="340"/>
      <c r="K46" s="340"/>
      <c r="L46" s="340"/>
      <c r="M46" s="348"/>
      <c r="N46" s="340"/>
      <c r="O46" s="340"/>
      <c r="P46" s="340"/>
      <c r="Q46" s="340"/>
      <c r="R46" s="340"/>
      <c r="S46" s="340"/>
      <c r="T46" s="347"/>
      <c r="U46" s="335"/>
      <c r="V46" s="335"/>
      <c r="W46" s="335"/>
      <c r="X46" s="335"/>
      <c r="Y46" s="336"/>
      <c r="Z46" s="340"/>
      <c r="AA46" s="340"/>
      <c r="AB46" s="340"/>
      <c r="AC46" s="341">
        <f>273959.02/1000</f>
        <v>273.95902000000001</v>
      </c>
      <c r="AD46" s="342">
        <f t="shared" si="7"/>
        <v>273.95902000000001</v>
      </c>
      <c r="AE46" s="101"/>
    </row>
    <row r="47" spans="1:31" s="46" customFormat="1" ht="15" collapsed="1">
      <c r="A47" s="501" t="s">
        <v>68</v>
      </c>
      <c r="B47" s="502"/>
      <c r="C47" s="454">
        <f>SUM(C40:C46)</f>
        <v>0</v>
      </c>
      <c r="D47" s="335">
        <f t="shared" ref="D47:AC47" si="8">SUM(D40:D46)</f>
        <v>0</v>
      </c>
      <c r="E47" s="336">
        <f t="shared" si="8"/>
        <v>0</v>
      </c>
      <c r="F47" s="339">
        <f t="shared" si="8"/>
        <v>0</v>
      </c>
      <c r="G47" s="339">
        <f t="shared" si="8"/>
        <v>0</v>
      </c>
      <c r="H47" s="339">
        <f t="shared" si="8"/>
        <v>0</v>
      </c>
      <c r="I47" s="339">
        <f t="shared" si="8"/>
        <v>5.1959199999999992</v>
      </c>
      <c r="J47" s="339">
        <f t="shared" si="8"/>
        <v>6978.1920900000005</v>
      </c>
      <c r="K47" s="339">
        <f t="shared" si="8"/>
        <v>0</v>
      </c>
      <c r="L47" s="339">
        <f t="shared" si="8"/>
        <v>0</v>
      </c>
      <c r="M47" s="339">
        <f t="shared" si="8"/>
        <v>0</v>
      </c>
      <c r="N47" s="339">
        <f t="shared" si="8"/>
        <v>5257.6916799999999</v>
      </c>
      <c r="O47" s="339">
        <f t="shared" si="8"/>
        <v>3195.9744999999998</v>
      </c>
      <c r="P47" s="339">
        <f t="shared" si="8"/>
        <v>0</v>
      </c>
      <c r="Q47" s="339">
        <f t="shared" si="8"/>
        <v>0</v>
      </c>
      <c r="R47" s="339">
        <f t="shared" si="8"/>
        <v>0</v>
      </c>
      <c r="S47" s="339">
        <f t="shared" si="8"/>
        <v>879.12409000000002</v>
      </c>
      <c r="T47" s="347">
        <f t="shared" si="8"/>
        <v>0</v>
      </c>
      <c r="U47" s="335">
        <f t="shared" si="8"/>
        <v>0</v>
      </c>
      <c r="V47" s="335">
        <f t="shared" si="8"/>
        <v>0</v>
      </c>
      <c r="W47" s="335">
        <f t="shared" si="8"/>
        <v>0</v>
      </c>
      <c r="X47" s="335">
        <f t="shared" si="8"/>
        <v>0</v>
      </c>
      <c r="Y47" s="336">
        <f t="shared" si="8"/>
        <v>0</v>
      </c>
      <c r="Z47" s="339">
        <f t="shared" si="8"/>
        <v>0</v>
      </c>
      <c r="AA47" s="339">
        <f t="shared" si="8"/>
        <v>0</v>
      </c>
      <c r="AB47" s="339">
        <f t="shared" si="8"/>
        <v>0</v>
      </c>
      <c r="AC47" s="337">
        <f t="shared" si="8"/>
        <v>7943.7181099999998</v>
      </c>
      <c r="AD47" s="338">
        <f t="shared" si="7"/>
        <v>24259.896390000002</v>
      </c>
      <c r="AE47" s="101"/>
    </row>
    <row r="48" spans="1:31" s="46" customFormat="1">
      <c r="A48" s="103"/>
      <c r="B48" s="48"/>
      <c r="C48" s="452"/>
      <c r="D48" s="344"/>
      <c r="E48" s="344"/>
      <c r="F48" s="343"/>
      <c r="G48" s="343"/>
      <c r="H48" s="343"/>
      <c r="I48" s="343"/>
      <c r="J48" s="343"/>
      <c r="K48" s="343"/>
      <c r="L48" s="343"/>
      <c r="M48" s="343"/>
      <c r="N48" s="343"/>
      <c r="O48" s="343"/>
      <c r="P48" s="343"/>
      <c r="Q48" s="343"/>
      <c r="R48" s="343"/>
      <c r="S48" s="343"/>
      <c r="T48" s="344"/>
      <c r="U48" s="344"/>
      <c r="V48" s="344"/>
      <c r="W48" s="344"/>
      <c r="X48" s="344"/>
      <c r="Y48" s="344"/>
      <c r="Z48" s="343"/>
      <c r="AA48" s="343"/>
      <c r="AB48" s="343"/>
      <c r="AC48" s="343"/>
      <c r="AD48" s="345"/>
      <c r="AE48" s="101"/>
    </row>
    <row r="49" spans="1:31" s="46" customFormat="1" ht="15">
      <c r="A49" s="104" t="s">
        <v>69</v>
      </c>
      <c r="B49" s="133" t="s">
        <v>312</v>
      </c>
      <c r="C49" s="455"/>
      <c r="D49" s="346"/>
      <c r="E49" s="346"/>
      <c r="F49" s="343"/>
      <c r="G49" s="343"/>
      <c r="H49" s="343"/>
      <c r="I49" s="343"/>
      <c r="J49" s="343"/>
      <c r="K49" s="343"/>
      <c r="L49" s="343"/>
      <c r="M49" s="346"/>
      <c r="N49" s="343"/>
      <c r="O49" s="343"/>
      <c r="P49" s="343"/>
      <c r="Q49" s="343"/>
      <c r="R49" s="343"/>
      <c r="S49" s="343"/>
      <c r="T49" s="346"/>
      <c r="U49" s="346"/>
      <c r="V49" s="346"/>
      <c r="W49" s="346"/>
      <c r="X49" s="346"/>
      <c r="Y49" s="346"/>
      <c r="Z49" s="343"/>
      <c r="AA49" s="343"/>
      <c r="AB49" s="343"/>
      <c r="AC49" s="343"/>
      <c r="AD49" s="345"/>
      <c r="AE49" s="101"/>
    </row>
    <row r="50" spans="1:31" s="46" customFormat="1">
      <c r="A50" s="100" t="s">
        <v>39</v>
      </c>
      <c r="B50" s="131" t="s">
        <v>313</v>
      </c>
      <c r="C50" s="454"/>
      <c r="D50" s="335"/>
      <c r="E50" s="336"/>
      <c r="F50" s="339"/>
      <c r="G50" s="339"/>
      <c r="H50" s="339"/>
      <c r="I50" s="339"/>
      <c r="J50" s="339"/>
      <c r="K50" s="339"/>
      <c r="L50" s="339"/>
      <c r="M50" s="348"/>
      <c r="N50" s="339"/>
      <c r="O50" s="339"/>
      <c r="P50" s="339"/>
      <c r="Q50" s="339"/>
      <c r="R50" s="339"/>
      <c r="S50" s="339"/>
      <c r="T50" s="347"/>
      <c r="U50" s="335"/>
      <c r="V50" s="335"/>
      <c r="W50" s="335"/>
      <c r="X50" s="335"/>
      <c r="Y50" s="336"/>
      <c r="Z50" s="339"/>
      <c r="AA50" s="339"/>
      <c r="AB50" s="339"/>
      <c r="AC50" s="337"/>
      <c r="AD50" s="338">
        <f>SUM(C50:AC50)</f>
        <v>0</v>
      </c>
      <c r="AE50" s="101"/>
    </row>
    <row r="51" spans="1:31" s="46" customFormat="1">
      <c r="A51" s="100" t="s">
        <v>40</v>
      </c>
      <c r="B51" s="131" t="s">
        <v>314</v>
      </c>
      <c r="C51" s="454"/>
      <c r="D51" s="335"/>
      <c r="E51" s="336"/>
      <c r="F51" s="339"/>
      <c r="G51" s="339"/>
      <c r="H51" s="339"/>
      <c r="I51" s="339"/>
      <c r="J51" s="339">
        <f>917835.03/1000</f>
        <v>917.83503000000007</v>
      </c>
      <c r="K51" s="339"/>
      <c r="L51" s="339"/>
      <c r="M51" s="348"/>
      <c r="N51" s="339">
        <f>12016/1000</f>
        <v>12.016</v>
      </c>
      <c r="O51" s="339">
        <f>250923.61/1000</f>
        <v>250.92361</v>
      </c>
      <c r="P51" s="339">
        <f>2978862.79/1000</f>
        <v>2978.8627900000001</v>
      </c>
      <c r="Q51" s="339">
        <f>254200/1000</f>
        <v>254.2</v>
      </c>
      <c r="R51" s="339"/>
      <c r="S51" s="339">
        <f>263181.87/1000</f>
        <v>263.18187</v>
      </c>
      <c r="T51" s="347"/>
      <c r="U51" s="335"/>
      <c r="V51" s="335"/>
      <c r="W51" s="335"/>
      <c r="X51" s="335"/>
      <c r="Y51" s="336"/>
      <c r="Z51" s="339"/>
      <c r="AA51" s="339"/>
      <c r="AB51" s="339"/>
      <c r="AC51" s="337">
        <f>410060.71/1000</f>
        <v>410.06071000000003</v>
      </c>
      <c r="AD51" s="338">
        <f>SUM(C51:AC51)</f>
        <v>5087.0800100000006</v>
      </c>
      <c r="AE51" s="101"/>
    </row>
    <row r="52" spans="1:31" s="46" customFormat="1">
      <c r="A52" s="102" t="s">
        <v>315</v>
      </c>
      <c r="B52" s="132" t="s">
        <v>316</v>
      </c>
      <c r="C52" s="454"/>
      <c r="D52" s="335"/>
      <c r="E52" s="336"/>
      <c r="F52" s="340">
        <f>775000/1000</f>
        <v>775</v>
      </c>
      <c r="G52" s="340"/>
      <c r="H52" s="340"/>
      <c r="I52" s="340">
        <f>56/1000</f>
        <v>5.6000000000000001E-2</v>
      </c>
      <c r="J52" s="340">
        <f>1848907.84/1000</f>
        <v>1848.9078400000001</v>
      </c>
      <c r="K52" s="340"/>
      <c r="L52" s="340">
        <f>29791.84/1000</f>
        <v>29.791840000000001</v>
      </c>
      <c r="M52" s="348"/>
      <c r="N52" s="340">
        <f>14838791.28/1000</f>
        <v>14838.791279999999</v>
      </c>
      <c r="O52" s="340">
        <f>2721007.78/1000</f>
        <v>2721.0077799999999</v>
      </c>
      <c r="P52" s="340">
        <f>1797074.97/1000</f>
        <v>1797.0749699999999</v>
      </c>
      <c r="Q52" s="340">
        <f>2644039.66/1000</f>
        <v>2644.0396600000004</v>
      </c>
      <c r="R52" s="340"/>
      <c r="S52" s="340">
        <f>145338.46/1000</f>
        <v>145.33846</v>
      </c>
      <c r="T52" s="347"/>
      <c r="U52" s="335"/>
      <c r="V52" s="335"/>
      <c r="W52" s="335"/>
      <c r="X52" s="335"/>
      <c r="Y52" s="336"/>
      <c r="Z52" s="340"/>
      <c r="AA52" s="340"/>
      <c r="AB52" s="340"/>
      <c r="AC52" s="341">
        <f>3767327.18/1000</f>
        <v>3767.3271800000002</v>
      </c>
      <c r="AD52" s="342">
        <f>SUM(C52:AC52)</f>
        <v>28567.335010000003</v>
      </c>
      <c r="AE52" s="101"/>
    </row>
    <row r="53" spans="1:31" s="46" customFormat="1" ht="15" collapsed="1">
      <c r="A53" s="501" t="s">
        <v>70</v>
      </c>
      <c r="B53" s="502"/>
      <c r="C53" s="454">
        <f>+SUM(C50:C52)</f>
        <v>0</v>
      </c>
      <c r="D53" s="335">
        <f t="shared" ref="D53:AC53" si="9">+SUM(D50:D52)</f>
        <v>0</v>
      </c>
      <c r="E53" s="336">
        <f t="shared" si="9"/>
        <v>0</v>
      </c>
      <c r="F53" s="339">
        <f t="shared" si="9"/>
        <v>775</v>
      </c>
      <c r="G53" s="339">
        <f t="shared" si="9"/>
        <v>0</v>
      </c>
      <c r="H53" s="339">
        <f t="shared" si="9"/>
        <v>0</v>
      </c>
      <c r="I53" s="339">
        <f t="shared" si="9"/>
        <v>5.6000000000000001E-2</v>
      </c>
      <c r="J53" s="339">
        <f t="shared" si="9"/>
        <v>2766.74287</v>
      </c>
      <c r="K53" s="339">
        <f t="shared" si="9"/>
        <v>0</v>
      </c>
      <c r="L53" s="339">
        <f t="shared" si="9"/>
        <v>29.791840000000001</v>
      </c>
      <c r="M53" s="348">
        <f t="shared" si="9"/>
        <v>0</v>
      </c>
      <c r="N53" s="339">
        <f t="shared" si="9"/>
        <v>14850.807279999999</v>
      </c>
      <c r="O53" s="339">
        <f t="shared" si="9"/>
        <v>2971.9313899999997</v>
      </c>
      <c r="P53" s="339">
        <f t="shared" si="9"/>
        <v>4775.9377599999998</v>
      </c>
      <c r="Q53" s="339">
        <f t="shared" si="9"/>
        <v>2898.2396600000002</v>
      </c>
      <c r="R53" s="339">
        <f t="shared" si="9"/>
        <v>0</v>
      </c>
      <c r="S53" s="339">
        <f t="shared" si="9"/>
        <v>408.52033</v>
      </c>
      <c r="T53" s="347">
        <f t="shared" si="9"/>
        <v>0</v>
      </c>
      <c r="U53" s="335">
        <f t="shared" si="9"/>
        <v>0</v>
      </c>
      <c r="V53" s="335">
        <f t="shared" si="9"/>
        <v>0</v>
      </c>
      <c r="W53" s="335">
        <f t="shared" si="9"/>
        <v>0</v>
      </c>
      <c r="X53" s="335">
        <f t="shared" si="9"/>
        <v>0</v>
      </c>
      <c r="Y53" s="336">
        <f t="shared" si="9"/>
        <v>0</v>
      </c>
      <c r="Z53" s="339">
        <f t="shared" si="9"/>
        <v>0</v>
      </c>
      <c r="AA53" s="339">
        <f t="shared" si="9"/>
        <v>0</v>
      </c>
      <c r="AB53" s="339">
        <f t="shared" si="9"/>
        <v>0</v>
      </c>
      <c r="AC53" s="337">
        <f t="shared" si="9"/>
        <v>4177.38789</v>
      </c>
      <c r="AD53" s="338">
        <f>SUM(C53:AC53)</f>
        <v>33654.415019999993</v>
      </c>
      <c r="AE53" s="101"/>
    </row>
    <row r="54" spans="1:31" s="46" customFormat="1">
      <c r="A54" s="103"/>
      <c r="B54" s="48"/>
      <c r="C54" s="452"/>
      <c r="D54" s="344"/>
      <c r="E54" s="344"/>
      <c r="F54" s="343"/>
      <c r="G54" s="343"/>
      <c r="H54" s="343"/>
      <c r="I54" s="343"/>
      <c r="J54" s="343"/>
      <c r="K54" s="343"/>
      <c r="L54" s="343"/>
      <c r="M54" s="344"/>
      <c r="N54" s="343"/>
      <c r="O54" s="343"/>
      <c r="P54" s="343"/>
      <c r="Q54" s="343"/>
      <c r="R54" s="343"/>
      <c r="S54" s="343"/>
      <c r="T54" s="344"/>
      <c r="U54" s="344"/>
      <c r="V54" s="344"/>
      <c r="W54" s="344"/>
      <c r="X54" s="344"/>
      <c r="Y54" s="344"/>
      <c r="Z54" s="343"/>
      <c r="AA54" s="343"/>
      <c r="AB54" s="343"/>
      <c r="AC54" s="343"/>
      <c r="AD54" s="345"/>
      <c r="AE54" s="101"/>
    </row>
    <row r="55" spans="1:31" s="46" customFormat="1" ht="15">
      <c r="A55" s="104" t="s">
        <v>71</v>
      </c>
      <c r="B55" s="133" t="s">
        <v>317</v>
      </c>
      <c r="C55" s="455"/>
      <c r="D55" s="346"/>
      <c r="E55" s="346"/>
      <c r="F55" s="343"/>
      <c r="G55" s="343"/>
      <c r="H55" s="343"/>
      <c r="I55" s="343"/>
      <c r="J55" s="343"/>
      <c r="K55" s="343"/>
      <c r="L55" s="343"/>
      <c r="M55" s="343"/>
      <c r="N55" s="343"/>
      <c r="O55" s="343"/>
      <c r="P55" s="343"/>
      <c r="Q55" s="343"/>
      <c r="R55" s="343"/>
      <c r="S55" s="343"/>
      <c r="T55" s="346"/>
      <c r="U55" s="346"/>
      <c r="V55" s="346"/>
      <c r="W55" s="346"/>
      <c r="X55" s="346"/>
      <c r="Y55" s="346"/>
      <c r="Z55" s="343"/>
      <c r="AA55" s="343"/>
      <c r="AB55" s="343"/>
      <c r="AC55" s="343"/>
      <c r="AD55" s="345"/>
      <c r="AE55" s="101"/>
    </row>
    <row r="56" spans="1:31" s="46" customFormat="1">
      <c r="A56" s="100" t="s">
        <v>318</v>
      </c>
      <c r="B56" s="131" t="s">
        <v>319</v>
      </c>
      <c r="C56" s="454"/>
      <c r="D56" s="335"/>
      <c r="E56" s="336"/>
      <c r="F56" s="339"/>
      <c r="G56" s="339"/>
      <c r="H56" s="339"/>
      <c r="I56" s="339"/>
      <c r="J56" s="339">
        <f>430103.5/1000</f>
        <v>430.1035</v>
      </c>
      <c r="K56" s="339"/>
      <c r="L56" s="339"/>
      <c r="M56" s="339"/>
      <c r="N56" s="339"/>
      <c r="O56" s="339">
        <f>340338.34/1000</f>
        <v>340.33834000000002</v>
      </c>
      <c r="P56" s="339"/>
      <c r="Q56" s="339"/>
      <c r="R56" s="339"/>
      <c r="S56" s="339"/>
      <c r="T56" s="347"/>
      <c r="U56" s="335"/>
      <c r="V56" s="335"/>
      <c r="W56" s="335"/>
      <c r="X56" s="335"/>
      <c r="Y56" s="336"/>
      <c r="Z56" s="339"/>
      <c r="AA56" s="339"/>
      <c r="AB56" s="339"/>
      <c r="AC56" s="337">
        <f>355535.8/1000</f>
        <v>355.53579999999999</v>
      </c>
      <c r="AD56" s="338">
        <f>SUM(C56:AC56)</f>
        <v>1125.9776400000001</v>
      </c>
      <c r="AE56" s="101"/>
    </row>
    <row r="57" spans="1:31" s="46" customFormat="1">
      <c r="A57" s="100" t="s">
        <v>243</v>
      </c>
      <c r="B57" s="131" t="s">
        <v>320</v>
      </c>
      <c r="C57" s="454"/>
      <c r="D57" s="335"/>
      <c r="E57" s="336"/>
      <c r="F57" s="339"/>
      <c r="G57" s="339"/>
      <c r="H57" s="339"/>
      <c r="I57" s="339"/>
      <c r="J57" s="339">
        <f>524460.46/1000</f>
        <v>524.46046000000001</v>
      </c>
      <c r="K57" s="339"/>
      <c r="L57" s="339"/>
      <c r="M57" s="339"/>
      <c r="N57" s="339">
        <f>13951479.1/1000</f>
        <v>13951.4791</v>
      </c>
      <c r="O57" s="339">
        <f>4680023.03/1000</f>
        <v>4680.0230300000003</v>
      </c>
      <c r="P57" s="339">
        <f>86675/1000</f>
        <v>86.674999999999997</v>
      </c>
      <c r="Q57" s="339">
        <f>2427196/1000</f>
        <v>2427.1959999999999</v>
      </c>
      <c r="R57" s="339"/>
      <c r="S57" s="339">
        <f>(445.07+32700.77)/1000</f>
        <v>33.145840000000007</v>
      </c>
      <c r="T57" s="347"/>
      <c r="U57" s="335"/>
      <c r="V57" s="335"/>
      <c r="W57" s="335"/>
      <c r="X57" s="335"/>
      <c r="Y57" s="336"/>
      <c r="Z57" s="339"/>
      <c r="AA57" s="339"/>
      <c r="AB57" s="339"/>
      <c r="AC57" s="337">
        <f>4126995.5/1000</f>
        <v>4126.9955</v>
      </c>
      <c r="AD57" s="338">
        <f>SUM(C57:AC57)</f>
        <v>25829.974930000004</v>
      </c>
      <c r="AE57" s="101"/>
    </row>
    <row r="58" spans="1:31" s="46" customFormat="1">
      <c r="A58" s="100" t="s">
        <v>244</v>
      </c>
      <c r="B58" s="131" t="s">
        <v>321</v>
      </c>
      <c r="C58" s="454"/>
      <c r="D58" s="335"/>
      <c r="E58" s="336"/>
      <c r="F58" s="339"/>
      <c r="G58" s="339"/>
      <c r="H58" s="339"/>
      <c r="I58" s="339"/>
      <c r="J58" s="339"/>
      <c r="K58" s="339"/>
      <c r="L58" s="339"/>
      <c r="M58" s="339"/>
      <c r="N58" s="339"/>
      <c r="O58" s="339"/>
      <c r="P58" s="339"/>
      <c r="Q58" s="339"/>
      <c r="R58" s="339"/>
      <c r="S58" s="339">
        <f>5561274.41/1000</f>
        <v>5561.27441</v>
      </c>
      <c r="T58" s="347"/>
      <c r="U58" s="335"/>
      <c r="V58" s="335"/>
      <c r="W58" s="335"/>
      <c r="X58" s="335"/>
      <c r="Y58" s="336"/>
      <c r="Z58" s="339"/>
      <c r="AA58" s="339"/>
      <c r="AB58" s="339"/>
      <c r="AC58" s="337">
        <f>113461.78/1000</f>
        <v>113.46178</v>
      </c>
      <c r="AD58" s="338">
        <f>SUM(C58:AC58)</f>
        <v>5674.7361899999996</v>
      </c>
      <c r="AE58" s="101"/>
    </row>
    <row r="59" spans="1:31" s="46" customFormat="1">
      <c r="A59" s="102" t="s">
        <v>245</v>
      </c>
      <c r="B59" s="132" t="s">
        <v>322</v>
      </c>
      <c r="C59" s="454"/>
      <c r="D59" s="335"/>
      <c r="E59" s="336"/>
      <c r="F59" s="340"/>
      <c r="G59" s="340"/>
      <c r="H59" s="340"/>
      <c r="I59" s="340"/>
      <c r="J59" s="340">
        <f>127926.66/1000</f>
        <v>127.92666</v>
      </c>
      <c r="K59" s="340"/>
      <c r="L59" s="340"/>
      <c r="M59" s="340"/>
      <c r="N59" s="340">
        <f>9250/1000</f>
        <v>9.25</v>
      </c>
      <c r="O59" s="340">
        <f>447896.3/1000</f>
        <v>447.8963</v>
      </c>
      <c r="P59" s="340">
        <f>798619.17/1000</f>
        <v>798.61917000000005</v>
      </c>
      <c r="Q59" s="340"/>
      <c r="R59" s="340"/>
      <c r="S59" s="340"/>
      <c r="T59" s="347"/>
      <c r="U59" s="335"/>
      <c r="V59" s="335"/>
      <c r="W59" s="335"/>
      <c r="X59" s="335"/>
      <c r="Y59" s="336"/>
      <c r="Z59" s="340"/>
      <c r="AA59" s="340"/>
      <c r="AB59" s="340"/>
      <c r="AC59" s="341">
        <f>619302.8/1000</f>
        <v>619.30280000000005</v>
      </c>
      <c r="AD59" s="342">
        <f>SUM(C59:AC59)</f>
        <v>2002.9949299999998</v>
      </c>
      <c r="AE59" s="101"/>
    </row>
    <row r="60" spans="1:31" s="46" customFormat="1" ht="15" collapsed="1">
      <c r="A60" s="501" t="s">
        <v>72</v>
      </c>
      <c r="B60" s="502"/>
      <c r="C60" s="454">
        <f>+SUM(C56:C59)</f>
        <v>0</v>
      </c>
      <c r="D60" s="335">
        <f t="shared" ref="D60:AC60" si="10">+SUM(D56:D59)</f>
        <v>0</v>
      </c>
      <c r="E60" s="336">
        <f t="shared" si="10"/>
        <v>0</v>
      </c>
      <c r="F60" s="339">
        <f t="shared" si="10"/>
        <v>0</v>
      </c>
      <c r="G60" s="339">
        <f t="shared" si="10"/>
        <v>0</v>
      </c>
      <c r="H60" s="339">
        <f t="shared" si="10"/>
        <v>0</v>
      </c>
      <c r="I60" s="339">
        <f t="shared" si="10"/>
        <v>0</v>
      </c>
      <c r="J60" s="339">
        <f t="shared" si="10"/>
        <v>1082.49062</v>
      </c>
      <c r="K60" s="339">
        <f t="shared" si="10"/>
        <v>0</v>
      </c>
      <c r="L60" s="339">
        <f t="shared" si="10"/>
        <v>0</v>
      </c>
      <c r="M60" s="339">
        <f t="shared" si="10"/>
        <v>0</v>
      </c>
      <c r="N60" s="339">
        <f t="shared" si="10"/>
        <v>13960.7291</v>
      </c>
      <c r="O60" s="339">
        <f t="shared" si="10"/>
        <v>5468.2576700000009</v>
      </c>
      <c r="P60" s="339">
        <f t="shared" si="10"/>
        <v>885.29417000000001</v>
      </c>
      <c r="Q60" s="339">
        <f t="shared" si="10"/>
        <v>2427.1959999999999</v>
      </c>
      <c r="R60" s="339">
        <f t="shared" si="10"/>
        <v>0</v>
      </c>
      <c r="S60" s="339">
        <f t="shared" si="10"/>
        <v>5594.4202500000001</v>
      </c>
      <c r="T60" s="347">
        <f t="shared" si="10"/>
        <v>0</v>
      </c>
      <c r="U60" s="335">
        <f t="shared" si="10"/>
        <v>0</v>
      </c>
      <c r="V60" s="335">
        <f t="shared" si="10"/>
        <v>0</v>
      </c>
      <c r="W60" s="335">
        <f t="shared" si="10"/>
        <v>0</v>
      </c>
      <c r="X60" s="335">
        <f t="shared" si="10"/>
        <v>0</v>
      </c>
      <c r="Y60" s="336">
        <f t="shared" si="10"/>
        <v>0</v>
      </c>
      <c r="Z60" s="339">
        <f t="shared" si="10"/>
        <v>0</v>
      </c>
      <c r="AA60" s="339">
        <f t="shared" si="10"/>
        <v>0</v>
      </c>
      <c r="AB60" s="339">
        <f t="shared" si="10"/>
        <v>0</v>
      </c>
      <c r="AC60" s="337">
        <f t="shared" si="10"/>
        <v>5215.2958799999997</v>
      </c>
      <c r="AD60" s="338">
        <f>SUM(C60:AC60)</f>
        <v>34633.683689999998</v>
      </c>
      <c r="AE60" s="101"/>
    </row>
    <row r="61" spans="1:31" s="46" customFormat="1">
      <c r="A61" s="103"/>
      <c r="B61" s="48"/>
      <c r="C61" s="452"/>
      <c r="D61" s="344"/>
      <c r="E61" s="344"/>
      <c r="F61" s="343"/>
      <c r="G61" s="343"/>
      <c r="H61" s="343"/>
      <c r="I61" s="343"/>
      <c r="J61" s="343"/>
      <c r="K61" s="343"/>
      <c r="L61" s="343"/>
      <c r="M61" s="343"/>
      <c r="N61" s="343"/>
      <c r="O61" s="343"/>
      <c r="P61" s="343"/>
      <c r="Q61" s="343"/>
      <c r="R61" s="343"/>
      <c r="S61" s="343"/>
      <c r="T61" s="344"/>
      <c r="U61" s="344"/>
      <c r="V61" s="344"/>
      <c r="W61" s="344"/>
      <c r="X61" s="344"/>
      <c r="Y61" s="344"/>
      <c r="Z61" s="343"/>
      <c r="AA61" s="343"/>
      <c r="AB61" s="343"/>
      <c r="AC61" s="343"/>
      <c r="AD61" s="345"/>
      <c r="AE61" s="101"/>
    </row>
    <row r="62" spans="1:31" s="46" customFormat="1" ht="15">
      <c r="A62" s="104" t="s">
        <v>73</v>
      </c>
      <c r="B62" s="133" t="s">
        <v>323</v>
      </c>
      <c r="C62" s="455"/>
      <c r="D62" s="346"/>
      <c r="E62" s="346"/>
      <c r="F62" s="343"/>
      <c r="G62" s="343"/>
      <c r="H62" s="343"/>
      <c r="I62" s="343"/>
      <c r="J62" s="343"/>
      <c r="K62" s="343"/>
      <c r="L62" s="343"/>
      <c r="M62" s="346"/>
      <c r="N62" s="343"/>
      <c r="O62" s="343"/>
      <c r="P62" s="343"/>
      <c r="Q62" s="343"/>
      <c r="R62" s="343"/>
      <c r="S62" s="343"/>
      <c r="T62" s="346"/>
      <c r="U62" s="346"/>
      <c r="V62" s="346"/>
      <c r="W62" s="346"/>
      <c r="X62" s="346"/>
      <c r="Y62" s="346"/>
      <c r="Z62" s="343"/>
      <c r="AA62" s="343"/>
      <c r="AB62" s="343"/>
      <c r="AC62" s="343"/>
      <c r="AD62" s="345"/>
      <c r="AE62" s="101"/>
    </row>
    <row r="63" spans="1:31" s="46" customFormat="1">
      <c r="A63" s="100" t="s">
        <v>324</v>
      </c>
      <c r="B63" s="131" t="s">
        <v>325</v>
      </c>
      <c r="C63" s="454"/>
      <c r="D63" s="335"/>
      <c r="E63" s="336"/>
      <c r="F63" s="339"/>
      <c r="G63" s="339"/>
      <c r="H63" s="339"/>
      <c r="I63" s="339"/>
      <c r="J63" s="339">
        <f>152129.35/1000</f>
        <v>152.12935000000002</v>
      </c>
      <c r="K63" s="339"/>
      <c r="L63" s="339"/>
      <c r="M63" s="348"/>
      <c r="N63" s="339">
        <f>1114815/1000</f>
        <v>1114.8150000000001</v>
      </c>
      <c r="O63" s="339">
        <f>561840.2/1000</f>
        <v>561.84019999999998</v>
      </c>
      <c r="P63" s="339"/>
      <c r="Q63" s="339"/>
      <c r="R63" s="339"/>
      <c r="S63" s="339"/>
      <c r="T63" s="347"/>
      <c r="U63" s="335"/>
      <c r="V63" s="335"/>
      <c r="W63" s="335"/>
      <c r="X63" s="335"/>
      <c r="Y63" s="336"/>
      <c r="Z63" s="339"/>
      <c r="AA63" s="339"/>
      <c r="AB63" s="339"/>
      <c r="AC63" s="337">
        <f>467478.63/1000</f>
        <v>467.47863000000001</v>
      </c>
      <c r="AD63" s="338">
        <f t="shared" ref="AD63:AD72" si="11">SUM(C63:AC63)</f>
        <v>2296.2631799999999</v>
      </c>
      <c r="AE63" s="101"/>
    </row>
    <row r="64" spans="1:31" s="46" customFormat="1">
      <c r="A64" s="100" t="s">
        <v>251</v>
      </c>
      <c r="B64" s="131" t="s">
        <v>326</v>
      </c>
      <c r="C64" s="454"/>
      <c r="D64" s="335"/>
      <c r="E64" s="336"/>
      <c r="F64" s="339"/>
      <c r="G64" s="339"/>
      <c r="H64" s="339"/>
      <c r="I64" s="339"/>
      <c r="J64" s="339">
        <f>77424.779/1000</f>
        <v>77.424779000000001</v>
      </c>
      <c r="K64" s="339"/>
      <c r="L64" s="339"/>
      <c r="M64" s="367"/>
      <c r="N64" s="339"/>
      <c r="O64" s="339">
        <f>152813.81/1000</f>
        <v>152.81380999999999</v>
      </c>
      <c r="P64" s="339"/>
      <c r="Q64" s="339"/>
      <c r="R64" s="339"/>
      <c r="S64" s="339"/>
      <c r="T64" s="347"/>
      <c r="U64" s="335"/>
      <c r="V64" s="335"/>
      <c r="W64" s="335"/>
      <c r="X64" s="335"/>
      <c r="Y64" s="336"/>
      <c r="Z64" s="339"/>
      <c r="AA64" s="339"/>
      <c r="AB64" s="339"/>
      <c r="AC64" s="337">
        <f>211658.4/1000</f>
        <v>211.6584</v>
      </c>
      <c r="AD64" s="338">
        <f t="shared" si="11"/>
        <v>441.89698899999996</v>
      </c>
      <c r="AE64" s="101"/>
    </row>
    <row r="65" spans="1:31" s="46" customFormat="1">
      <c r="A65" s="100" t="s">
        <v>252</v>
      </c>
      <c r="B65" s="131" t="s">
        <v>327</v>
      </c>
      <c r="C65" s="454"/>
      <c r="D65" s="335"/>
      <c r="E65" s="336"/>
      <c r="F65" s="339"/>
      <c r="G65" s="339"/>
      <c r="H65" s="339"/>
      <c r="I65" s="339"/>
      <c r="J65" s="339">
        <f>66.93/1000</f>
        <v>6.6930000000000003E-2</v>
      </c>
      <c r="K65" s="339"/>
      <c r="L65" s="339"/>
      <c r="M65" s="339"/>
      <c r="N65" s="339"/>
      <c r="O65" s="339">
        <f>199250/1000</f>
        <v>199.25</v>
      </c>
      <c r="P65" s="339"/>
      <c r="Q65" s="339"/>
      <c r="R65" s="339"/>
      <c r="S65" s="339">
        <f>13617.35/1000</f>
        <v>13.61735</v>
      </c>
      <c r="T65" s="347"/>
      <c r="U65" s="335"/>
      <c r="V65" s="335"/>
      <c r="W65" s="335"/>
      <c r="X65" s="335"/>
      <c r="Y65" s="336"/>
      <c r="Z65" s="339"/>
      <c r="AA65" s="339"/>
      <c r="AB65" s="339"/>
      <c r="AC65" s="337">
        <f>83910.11/1000</f>
        <v>83.910110000000003</v>
      </c>
      <c r="AD65" s="338">
        <f t="shared" si="11"/>
        <v>296.84438999999998</v>
      </c>
      <c r="AE65" s="101"/>
    </row>
    <row r="66" spans="1:31" s="46" customFormat="1">
      <c r="A66" s="100" t="s">
        <v>328</v>
      </c>
      <c r="B66" s="131" t="s">
        <v>329</v>
      </c>
      <c r="C66" s="454"/>
      <c r="D66" s="335"/>
      <c r="E66" s="336"/>
      <c r="F66" s="339"/>
      <c r="G66" s="339"/>
      <c r="H66" s="339"/>
      <c r="I66" s="339"/>
      <c r="J66" s="339">
        <f>69901.69/1000</f>
        <v>69.901690000000002</v>
      </c>
      <c r="K66" s="339"/>
      <c r="L66" s="339"/>
      <c r="M66" s="339">
        <f>7011/1000</f>
        <v>7.0110000000000001</v>
      </c>
      <c r="N66" s="339">
        <f>651483.07/1000</f>
        <v>651.48307</v>
      </c>
      <c r="O66" s="339">
        <f>5775716.71/1000</f>
        <v>5775.7167099999997</v>
      </c>
      <c r="P66" s="339">
        <f>177600/1000</f>
        <v>177.6</v>
      </c>
      <c r="Q66" s="339">
        <f>1682627.89/1000</f>
        <v>1682.62789</v>
      </c>
      <c r="R66" s="339"/>
      <c r="S66" s="339">
        <f>(37889.71+1297.71)/1000</f>
        <v>39.187419999999996</v>
      </c>
      <c r="T66" s="347"/>
      <c r="U66" s="335"/>
      <c r="V66" s="335"/>
      <c r="W66" s="335"/>
      <c r="X66" s="335"/>
      <c r="Y66" s="336"/>
      <c r="Z66" s="339"/>
      <c r="AA66" s="339"/>
      <c r="AB66" s="339"/>
      <c r="AC66" s="337">
        <f>1788900.94/1000</f>
        <v>1788.90094</v>
      </c>
      <c r="AD66" s="338">
        <f t="shared" si="11"/>
        <v>10192.42872</v>
      </c>
      <c r="AE66" s="101"/>
    </row>
    <row r="67" spans="1:31" s="46" customFormat="1">
      <c r="A67" s="100" t="s">
        <v>330</v>
      </c>
      <c r="B67" s="131" t="s">
        <v>331</v>
      </c>
      <c r="C67" s="454"/>
      <c r="D67" s="335"/>
      <c r="E67" s="336"/>
      <c r="F67" s="339"/>
      <c r="G67" s="339"/>
      <c r="H67" s="339"/>
      <c r="I67" s="339"/>
      <c r="J67" s="339"/>
      <c r="K67" s="339"/>
      <c r="L67" s="339"/>
      <c r="M67" s="368"/>
      <c r="N67" s="339">
        <f>115300/1000</f>
        <v>115.3</v>
      </c>
      <c r="O67" s="339">
        <f>2670300/1000</f>
        <v>2670.3</v>
      </c>
      <c r="P67" s="339"/>
      <c r="Q67" s="339"/>
      <c r="R67" s="339"/>
      <c r="S67" s="339"/>
      <c r="T67" s="347"/>
      <c r="U67" s="335"/>
      <c r="V67" s="335"/>
      <c r="W67" s="335"/>
      <c r="X67" s="335"/>
      <c r="Y67" s="336"/>
      <c r="Z67" s="339"/>
      <c r="AA67" s="339"/>
      <c r="AB67" s="339"/>
      <c r="AC67" s="337">
        <f>69259.14/1000</f>
        <v>69.259140000000002</v>
      </c>
      <c r="AD67" s="338">
        <f t="shared" si="11"/>
        <v>2854.8591400000005</v>
      </c>
      <c r="AE67" s="101"/>
    </row>
    <row r="68" spans="1:31" s="46" customFormat="1">
      <c r="A68" s="100" t="s">
        <v>332</v>
      </c>
      <c r="B68" s="131" t="s">
        <v>333</v>
      </c>
      <c r="C68" s="454"/>
      <c r="D68" s="335"/>
      <c r="E68" s="336"/>
      <c r="F68" s="339"/>
      <c r="G68" s="339"/>
      <c r="H68" s="339"/>
      <c r="I68" s="339"/>
      <c r="J68" s="339"/>
      <c r="K68" s="339"/>
      <c r="L68" s="339"/>
      <c r="M68" s="339"/>
      <c r="N68" s="339"/>
      <c r="O68" s="339"/>
      <c r="P68" s="339"/>
      <c r="Q68" s="339"/>
      <c r="R68" s="339"/>
      <c r="S68" s="339"/>
      <c r="T68" s="347"/>
      <c r="U68" s="335"/>
      <c r="V68" s="335"/>
      <c r="W68" s="335"/>
      <c r="X68" s="335"/>
      <c r="Y68" s="336"/>
      <c r="Z68" s="339"/>
      <c r="AA68" s="339"/>
      <c r="AB68" s="339"/>
      <c r="AC68" s="337"/>
      <c r="AD68" s="338">
        <f t="shared" si="11"/>
        <v>0</v>
      </c>
      <c r="AE68" s="101"/>
    </row>
    <row r="69" spans="1:31" s="46" customFormat="1">
      <c r="A69" s="100" t="s">
        <v>334</v>
      </c>
      <c r="B69" s="131" t="s">
        <v>335</v>
      </c>
      <c r="C69" s="454"/>
      <c r="D69" s="335"/>
      <c r="E69" s="336"/>
      <c r="F69" s="339"/>
      <c r="G69" s="339"/>
      <c r="H69" s="339"/>
      <c r="I69" s="339"/>
      <c r="J69" s="339"/>
      <c r="K69" s="339"/>
      <c r="L69" s="339"/>
      <c r="M69" s="368"/>
      <c r="N69" s="339">
        <f>846519/1000</f>
        <v>846.51900000000001</v>
      </c>
      <c r="O69" s="339">
        <f>230798/1000</f>
        <v>230.798</v>
      </c>
      <c r="P69" s="339"/>
      <c r="Q69" s="339">
        <f>20000/1000</f>
        <v>20</v>
      </c>
      <c r="R69" s="339"/>
      <c r="S69" s="339">
        <f>196159.95/1000</f>
        <v>196.15995000000001</v>
      </c>
      <c r="T69" s="347"/>
      <c r="U69" s="335"/>
      <c r="V69" s="335"/>
      <c r="W69" s="335"/>
      <c r="X69" s="335"/>
      <c r="Y69" s="336"/>
      <c r="Z69" s="339"/>
      <c r="AA69" s="339"/>
      <c r="AB69" s="339"/>
      <c r="AC69" s="337">
        <f>284519.99/1000</f>
        <v>284.51999000000001</v>
      </c>
      <c r="AD69" s="338">
        <f t="shared" si="11"/>
        <v>1577.99694</v>
      </c>
      <c r="AE69" s="101"/>
    </row>
    <row r="70" spans="1:31" s="46" customFormat="1">
      <c r="A70" s="100" t="s">
        <v>336</v>
      </c>
      <c r="B70" s="131" t="s">
        <v>337</v>
      </c>
      <c r="C70" s="454"/>
      <c r="D70" s="335"/>
      <c r="E70" s="336"/>
      <c r="F70" s="339"/>
      <c r="G70" s="339"/>
      <c r="H70" s="339"/>
      <c r="I70" s="339"/>
      <c r="J70" s="339"/>
      <c r="K70" s="339"/>
      <c r="L70" s="339"/>
      <c r="M70" s="339"/>
      <c r="N70" s="339"/>
      <c r="O70" s="339"/>
      <c r="P70" s="339"/>
      <c r="Q70" s="339"/>
      <c r="R70" s="339"/>
      <c r="S70" s="339"/>
      <c r="T70" s="347"/>
      <c r="U70" s="335"/>
      <c r="V70" s="335"/>
      <c r="W70" s="335"/>
      <c r="X70" s="335"/>
      <c r="Y70" s="336"/>
      <c r="Z70" s="339"/>
      <c r="AA70" s="339"/>
      <c r="AB70" s="339"/>
      <c r="AC70" s="337"/>
      <c r="AD70" s="338">
        <f t="shared" si="11"/>
        <v>0</v>
      </c>
      <c r="AE70" s="101"/>
    </row>
    <row r="71" spans="1:31" s="46" customFormat="1">
      <c r="A71" s="102" t="s">
        <v>338</v>
      </c>
      <c r="B71" s="132" t="s">
        <v>339</v>
      </c>
      <c r="C71" s="454"/>
      <c r="D71" s="335"/>
      <c r="E71" s="336"/>
      <c r="F71" s="340"/>
      <c r="G71" s="340"/>
      <c r="H71" s="340"/>
      <c r="I71" s="340"/>
      <c r="J71" s="340">
        <f>-23600/1000</f>
        <v>-23.6</v>
      </c>
      <c r="K71" s="340"/>
      <c r="L71" s="340"/>
      <c r="M71" s="366"/>
      <c r="N71" s="340">
        <f>49317849.14/1000</f>
        <v>49317.849139999998</v>
      </c>
      <c r="O71" s="340">
        <f>190362/1000</f>
        <v>190.36199999999999</v>
      </c>
      <c r="P71" s="340"/>
      <c r="Q71" s="340"/>
      <c r="R71" s="340"/>
      <c r="S71" s="340"/>
      <c r="T71" s="347"/>
      <c r="U71" s="335"/>
      <c r="V71" s="335"/>
      <c r="W71" s="335"/>
      <c r="X71" s="335"/>
      <c r="Y71" s="336"/>
      <c r="Z71" s="340"/>
      <c r="AA71" s="340"/>
      <c r="AB71" s="340"/>
      <c r="AC71" s="341">
        <f>894591.46/1000</f>
        <v>894.59145999999998</v>
      </c>
      <c r="AD71" s="342">
        <f t="shared" si="11"/>
        <v>50379.202600000004</v>
      </c>
      <c r="AE71" s="101"/>
    </row>
    <row r="72" spans="1:31" s="46" customFormat="1" ht="15" collapsed="1">
      <c r="A72" s="501" t="s">
        <v>76</v>
      </c>
      <c r="B72" s="502"/>
      <c r="C72" s="454">
        <f>SUM(C63:C71)</f>
        <v>0</v>
      </c>
      <c r="D72" s="335">
        <f t="shared" ref="D72:AC72" si="12">SUM(D63:D71)</f>
        <v>0</v>
      </c>
      <c r="E72" s="336">
        <f t="shared" si="12"/>
        <v>0</v>
      </c>
      <c r="F72" s="339">
        <f t="shared" si="12"/>
        <v>0</v>
      </c>
      <c r="G72" s="339">
        <f t="shared" si="12"/>
        <v>0</v>
      </c>
      <c r="H72" s="339">
        <f t="shared" si="12"/>
        <v>0</v>
      </c>
      <c r="I72" s="339">
        <f t="shared" si="12"/>
        <v>0</v>
      </c>
      <c r="J72" s="339">
        <f t="shared" si="12"/>
        <v>275.92274900000001</v>
      </c>
      <c r="K72" s="339">
        <f t="shared" si="12"/>
        <v>0</v>
      </c>
      <c r="L72" s="339">
        <f t="shared" si="12"/>
        <v>0</v>
      </c>
      <c r="M72" s="339">
        <f t="shared" si="12"/>
        <v>7.0110000000000001</v>
      </c>
      <c r="N72" s="339">
        <f t="shared" si="12"/>
        <v>52045.966209999999</v>
      </c>
      <c r="O72" s="339">
        <f t="shared" si="12"/>
        <v>9781.0807199999999</v>
      </c>
      <c r="P72" s="339">
        <f t="shared" si="12"/>
        <v>177.6</v>
      </c>
      <c r="Q72" s="339">
        <f t="shared" si="12"/>
        <v>1702.62789</v>
      </c>
      <c r="R72" s="339">
        <f t="shared" si="12"/>
        <v>0</v>
      </c>
      <c r="S72" s="339">
        <f t="shared" si="12"/>
        <v>248.96472</v>
      </c>
      <c r="T72" s="347">
        <f t="shared" si="12"/>
        <v>0</v>
      </c>
      <c r="U72" s="335">
        <f t="shared" si="12"/>
        <v>0</v>
      </c>
      <c r="V72" s="335">
        <f t="shared" si="12"/>
        <v>0</v>
      </c>
      <c r="W72" s="335">
        <f t="shared" si="12"/>
        <v>0</v>
      </c>
      <c r="X72" s="335">
        <f t="shared" si="12"/>
        <v>0</v>
      </c>
      <c r="Y72" s="336">
        <f t="shared" si="12"/>
        <v>0</v>
      </c>
      <c r="Z72" s="339">
        <f t="shared" si="12"/>
        <v>0</v>
      </c>
      <c r="AA72" s="339">
        <f t="shared" si="12"/>
        <v>0</v>
      </c>
      <c r="AB72" s="339">
        <f t="shared" si="12"/>
        <v>0</v>
      </c>
      <c r="AC72" s="337">
        <f t="shared" si="12"/>
        <v>3800.3186700000001</v>
      </c>
      <c r="AD72" s="338">
        <f t="shared" si="11"/>
        <v>68039.491959000006</v>
      </c>
      <c r="AE72" s="101"/>
    </row>
    <row r="73" spans="1:31" s="46" customFormat="1">
      <c r="A73" s="103"/>
      <c r="B73" s="48"/>
      <c r="C73" s="452"/>
      <c r="D73" s="344"/>
      <c r="E73" s="344"/>
      <c r="F73" s="343"/>
      <c r="G73" s="343"/>
      <c r="H73" s="343"/>
      <c r="I73" s="343"/>
      <c r="J73" s="343"/>
      <c r="K73" s="343"/>
      <c r="L73" s="343"/>
      <c r="M73" s="343"/>
      <c r="N73" s="343"/>
      <c r="O73" s="343"/>
      <c r="P73" s="343"/>
      <c r="Q73" s="343"/>
      <c r="R73" s="343"/>
      <c r="S73" s="343"/>
      <c r="T73" s="344"/>
      <c r="U73" s="344"/>
      <c r="V73" s="344"/>
      <c r="W73" s="344"/>
      <c r="X73" s="344"/>
      <c r="Y73" s="344"/>
      <c r="Z73" s="343"/>
      <c r="AA73" s="343"/>
      <c r="AB73" s="343"/>
      <c r="AC73" s="343"/>
      <c r="AD73" s="345"/>
      <c r="AE73" s="101"/>
    </row>
    <row r="74" spans="1:31" s="46" customFormat="1" ht="15">
      <c r="A74" s="104" t="s">
        <v>77</v>
      </c>
      <c r="B74" s="133" t="s">
        <v>74</v>
      </c>
      <c r="C74" s="455"/>
      <c r="D74" s="346"/>
      <c r="E74" s="346"/>
      <c r="F74" s="343"/>
      <c r="G74" s="343"/>
      <c r="H74" s="343"/>
      <c r="I74" s="343"/>
      <c r="J74" s="343"/>
      <c r="K74" s="343"/>
      <c r="L74" s="343"/>
      <c r="M74" s="346"/>
      <c r="N74" s="343"/>
      <c r="O74" s="343"/>
      <c r="P74" s="343"/>
      <c r="Q74" s="343"/>
      <c r="R74" s="343"/>
      <c r="S74" s="343"/>
      <c r="T74" s="346"/>
      <c r="U74" s="346"/>
      <c r="V74" s="346"/>
      <c r="W74" s="346"/>
      <c r="X74" s="346"/>
      <c r="Y74" s="346"/>
      <c r="Z74" s="343"/>
      <c r="AA74" s="343"/>
      <c r="AB74" s="343"/>
      <c r="AC74" s="343"/>
      <c r="AD74" s="345"/>
      <c r="AE74" s="101"/>
    </row>
    <row r="75" spans="1:31" s="46" customFormat="1">
      <c r="A75" s="100" t="s">
        <v>340</v>
      </c>
      <c r="B75" s="131" t="s">
        <v>341</v>
      </c>
      <c r="C75" s="454"/>
      <c r="D75" s="335"/>
      <c r="E75" s="336"/>
      <c r="F75" s="339"/>
      <c r="G75" s="339"/>
      <c r="H75" s="339"/>
      <c r="I75" s="339"/>
      <c r="J75" s="339"/>
      <c r="K75" s="339"/>
      <c r="L75" s="339"/>
      <c r="M75" s="348"/>
      <c r="N75" s="339"/>
      <c r="O75" s="339"/>
      <c r="P75" s="339"/>
      <c r="Q75" s="339"/>
      <c r="R75" s="339"/>
      <c r="S75" s="339"/>
      <c r="T75" s="347"/>
      <c r="U75" s="335"/>
      <c r="V75" s="335"/>
      <c r="W75" s="335"/>
      <c r="X75" s="335"/>
      <c r="Y75" s="336"/>
      <c r="Z75" s="339"/>
      <c r="AA75" s="339"/>
      <c r="AB75" s="339"/>
      <c r="AC75" s="337"/>
      <c r="AD75" s="338">
        <f>SUM(C75:AC75)</f>
        <v>0</v>
      </c>
      <c r="AE75" s="101"/>
    </row>
    <row r="76" spans="1:31" s="46" customFormat="1">
      <c r="A76" s="100" t="s">
        <v>342</v>
      </c>
      <c r="B76" s="131" t="s">
        <v>75</v>
      </c>
      <c r="C76" s="454"/>
      <c r="D76" s="335"/>
      <c r="E76" s="336"/>
      <c r="F76" s="339"/>
      <c r="G76" s="339"/>
      <c r="H76" s="339">
        <f>921044.87/1000</f>
        <v>921.04486999999995</v>
      </c>
      <c r="I76" s="339"/>
      <c r="J76" s="339">
        <f>2404185.13/1000</f>
        <v>2404.1851299999998</v>
      </c>
      <c r="K76" s="339">
        <f>100/1000</f>
        <v>0.1</v>
      </c>
      <c r="L76" s="339">
        <f>200726.04/1000</f>
        <v>200.72604000000001</v>
      </c>
      <c r="M76" s="348"/>
      <c r="N76" s="339">
        <f>5690281.54/1000</f>
        <v>5690.2815399999999</v>
      </c>
      <c r="O76" s="339">
        <f>4343605.17/1000</f>
        <v>4343.6051699999998</v>
      </c>
      <c r="P76" s="339">
        <f>1068.73/1000</f>
        <v>1.06873</v>
      </c>
      <c r="Q76" s="339">
        <f>579908.28/1000</f>
        <v>579.90827999999999</v>
      </c>
      <c r="R76" s="339"/>
      <c r="S76" s="339">
        <f>(43939.83+13534151.15)/1000</f>
        <v>13578.090980000001</v>
      </c>
      <c r="T76" s="347"/>
      <c r="U76" s="335"/>
      <c r="V76" s="335"/>
      <c r="W76" s="335"/>
      <c r="X76" s="335"/>
      <c r="Y76" s="336"/>
      <c r="Z76" s="339"/>
      <c r="AA76" s="339"/>
      <c r="AB76" s="339"/>
      <c r="AC76" s="337">
        <f>6045450.46/1000</f>
        <v>6045.45046</v>
      </c>
      <c r="AD76" s="338">
        <f>SUM(C76:AC76)</f>
        <v>33764.461199999998</v>
      </c>
      <c r="AE76" s="101"/>
    </row>
    <row r="77" spans="1:31" s="46" customFormat="1">
      <c r="A77" s="100" t="s">
        <v>343</v>
      </c>
      <c r="B77" s="131" t="s">
        <v>344</v>
      </c>
      <c r="C77" s="454"/>
      <c r="D77" s="335"/>
      <c r="E77" s="336"/>
      <c r="F77" s="339"/>
      <c r="G77" s="339"/>
      <c r="H77" s="339"/>
      <c r="I77" s="339"/>
      <c r="J77" s="339">
        <f>170444.69/1000</f>
        <v>170.44469000000001</v>
      </c>
      <c r="K77" s="339"/>
      <c r="L77" s="339"/>
      <c r="M77" s="348"/>
      <c r="N77" s="339">
        <f>865744.16/1000</f>
        <v>865.74416000000008</v>
      </c>
      <c r="O77" s="339">
        <f>1238496.47/1000</f>
        <v>1238.49647</v>
      </c>
      <c r="P77" s="339">
        <f>12695945.6/1000</f>
        <v>12695.945599999999</v>
      </c>
      <c r="Q77" s="339">
        <f>140000/1000</f>
        <v>140</v>
      </c>
      <c r="R77" s="339"/>
      <c r="S77" s="339"/>
      <c r="T77" s="347"/>
      <c r="U77" s="335"/>
      <c r="V77" s="335"/>
      <c r="W77" s="335"/>
      <c r="X77" s="335"/>
      <c r="Y77" s="336"/>
      <c r="Z77" s="339"/>
      <c r="AA77" s="339"/>
      <c r="AB77" s="339"/>
      <c r="AC77" s="337">
        <f>1010797.49/1000</f>
        <v>1010.79749</v>
      </c>
      <c r="AD77" s="338">
        <f>SUM(C77:AC77)</f>
        <v>16121.42841</v>
      </c>
      <c r="AE77" s="101"/>
    </row>
    <row r="78" spans="1:31" s="46" customFormat="1">
      <c r="A78" s="102" t="s">
        <v>345</v>
      </c>
      <c r="B78" s="132" t="s">
        <v>346</v>
      </c>
      <c r="C78" s="454"/>
      <c r="D78" s="335"/>
      <c r="E78" s="336"/>
      <c r="F78" s="340"/>
      <c r="G78" s="340"/>
      <c r="H78" s="340"/>
      <c r="I78" s="340"/>
      <c r="J78" s="340"/>
      <c r="K78" s="340"/>
      <c r="L78" s="340"/>
      <c r="M78" s="348"/>
      <c r="N78" s="340"/>
      <c r="O78" s="340"/>
      <c r="P78" s="340"/>
      <c r="Q78" s="340"/>
      <c r="R78" s="340"/>
      <c r="S78" s="340"/>
      <c r="T78" s="347"/>
      <c r="U78" s="335"/>
      <c r="V78" s="335"/>
      <c r="W78" s="335"/>
      <c r="X78" s="335"/>
      <c r="Y78" s="336"/>
      <c r="Z78" s="340"/>
      <c r="AA78" s="340"/>
      <c r="AB78" s="340"/>
      <c r="AC78" s="341"/>
      <c r="AD78" s="342">
        <f>SUM(C78:AC78)</f>
        <v>0</v>
      </c>
      <c r="AE78" s="101"/>
    </row>
    <row r="79" spans="1:31" s="46" customFormat="1" ht="15" collapsed="1">
      <c r="A79" s="501" t="s">
        <v>83</v>
      </c>
      <c r="B79" s="502"/>
      <c r="C79" s="454">
        <f>SUM(C75:C78)</f>
        <v>0</v>
      </c>
      <c r="D79" s="335">
        <f t="shared" ref="D79:AC79" si="13">SUM(D75:D78)</f>
        <v>0</v>
      </c>
      <c r="E79" s="336">
        <f t="shared" si="13"/>
        <v>0</v>
      </c>
      <c r="F79" s="339">
        <f t="shared" si="13"/>
        <v>0</v>
      </c>
      <c r="G79" s="339">
        <f t="shared" si="13"/>
        <v>0</v>
      </c>
      <c r="H79" s="339">
        <f t="shared" si="13"/>
        <v>921.04486999999995</v>
      </c>
      <c r="I79" s="339">
        <f t="shared" si="13"/>
        <v>0</v>
      </c>
      <c r="J79" s="339">
        <f t="shared" si="13"/>
        <v>2574.6298199999997</v>
      </c>
      <c r="K79" s="339">
        <f t="shared" si="13"/>
        <v>0.1</v>
      </c>
      <c r="L79" s="339">
        <f t="shared" si="13"/>
        <v>200.72604000000001</v>
      </c>
      <c r="M79" s="348">
        <f t="shared" si="13"/>
        <v>0</v>
      </c>
      <c r="N79" s="339">
        <f t="shared" si="13"/>
        <v>6556.0257000000001</v>
      </c>
      <c r="O79" s="339">
        <f t="shared" si="13"/>
        <v>5582.1016399999999</v>
      </c>
      <c r="P79" s="339">
        <f t="shared" si="13"/>
        <v>12697.01433</v>
      </c>
      <c r="Q79" s="339">
        <f t="shared" si="13"/>
        <v>719.90827999999999</v>
      </c>
      <c r="R79" s="339">
        <f t="shared" si="13"/>
        <v>0</v>
      </c>
      <c r="S79" s="339">
        <f t="shared" si="13"/>
        <v>13578.090980000001</v>
      </c>
      <c r="T79" s="347">
        <f t="shared" si="13"/>
        <v>0</v>
      </c>
      <c r="U79" s="335">
        <f t="shared" si="13"/>
        <v>0</v>
      </c>
      <c r="V79" s="335">
        <f t="shared" si="13"/>
        <v>0</v>
      </c>
      <c r="W79" s="335">
        <f t="shared" si="13"/>
        <v>0</v>
      </c>
      <c r="X79" s="335">
        <f t="shared" si="13"/>
        <v>0</v>
      </c>
      <c r="Y79" s="336">
        <f t="shared" si="13"/>
        <v>0</v>
      </c>
      <c r="Z79" s="339">
        <f t="shared" si="13"/>
        <v>0</v>
      </c>
      <c r="AA79" s="339">
        <f t="shared" si="13"/>
        <v>0</v>
      </c>
      <c r="AB79" s="339">
        <f t="shared" si="13"/>
        <v>0</v>
      </c>
      <c r="AC79" s="337">
        <f t="shared" si="13"/>
        <v>7056.2479499999999</v>
      </c>
      <c r="AD79" s="338">
        <f>SUM(C79:AC79)</f>
        <v>49885.889609999991</v>
      </c>
      <c r="AE79" s="101"/>
    </row>
    <row r="80" spans="1:31" s="46" customFormat="1">
      <c r="A80" s="103"/>
      <c r="B80" s="48"/>
      <c r="C80" s="344"/>
      <c r="D80" s="344"/>
      <c r="E80" s="344"/>
      <c r="F80" s="343"/>
      <c r="G80" s="343"/>
      <c r="H80" s="343"/>
      <c r="I80" s="343"/>
      <c r="J80" s="343"/>
      <c r="K80" s="343"/>
      <c r="L80" s="343"/>
      <c r="M80" s="344"/>
      <c r="N80" s="343"/>
      <c r="O80" s="343"/>
      <c r="P80" s="343"/>
      <c r="Q80" s="343"/>
      <c r="R80" s="343"/>
      <c r="S80" s="343"/>
      <c r="T80" s="344"/>
      <c r="U80" s="344"/>
      <c r="V80" s="344"/>
      <c r="W80" s="344"/>
      <c r="X80" s="344"/>
      <c r="Y80" s="344"/>
      <c r="Z80" s="343"/>
      <c r="AA80" s="344"/>
      <c r="AB80" s="343"/>
      <c r="AC80" s="343"/>
      <c r="AD80" s="345"/>
      <c r="AE80" s="101"/>
    </row>
    <row r="81" spans="1:31" s="46" customFormat="1" ht="15">
      <c r="A81" s="45" t="s">
        <v>54</v>
      </c>
      <c r="B81" s="134" t="s">
        <v>78</v>
      </c>
      <c r="C81" s="455"/>
      <c r="D81" s="346"/>
      <c r="E81" s="346"/>
      <c r="F81" s="343"/>
      <c r="G81" s="343"/>
      <c r="H81" s="343"/>
      <c r="I81" s="343"/>
      <c r="J81" s="343"/>
      <c r="K81" s="343"/>
      <c r="L81" s="343"/>
      <c r="M81" s="346"/>
      <c r="N81" s="343"/>
      <c r="O81" s="343"/>
      <c r="P81" s="343"/>
      <c r="Q81" s="343"/>
      <c r="R81" s="343"/>
      <c r="S81" s="343"/>
      <c r="T81" s="346"/>
      <c r="U81" s="346"/>
      <c r="V81" s="346"/>
      <c r="W81" s="343"/>
      <c r="X81" s="346"/>
      <c r="Y81" s="346"/>
      <c r="Z81" s="346"/>
      <c r="AA81" s="346"/>
      <c r="AB81" s="343"/>
      <c r="AC81" s="343"/>
      <c r="AD81" s="345"/>
      <c r="AE81" s="101"/>
    </row>
    <row r="82" spans="1:31" s="46" customFormat="1">
      <c r="A82" s="100" t="s">
        <v>23</v>
      </c>
      <c r="B82" s="131" t="s">
        <v>79</v>
      </c>
      <c r="C82" s="454"/>
      <c r="D82" s="335"/>
      <c r="E82" s="336"/>
      <c r="F82" s="339"/>
      <c r="G82" s="339"/>
      <c r="H82" s="339"/>
      <c r="I82" s="339"/>
      <c r="J82" s="339"/>
      <c r="K82" s="339"/>
      <c r="L82" s="339"/>
      <c r="M82" s="348"/>
      <c r="N82" s="339"/>
      <c r="O82" s="339"/>
      <c r="P82" s="339"/>
      <c r="Q82" s="339"/>
      <c r="R82" s="339">
        <f>1353679.85/1000</f>
        <v>1353.67985</v>
      </c>
      <c r="S82" s="339">
        <f>691923.87/1000</f>
        <v>691.92386999999997</v>
      </c>
      <c r="T82" s="339"/>
      <c r="U82" s="339"/>
      <c r="V82" s="336"/>
      <c r="W82" s="339"/>
      <c r="X82" s="347"/>
      <c r="Y82" s="335"/>
      <c r="Z82" s="335"/>
      <c r="AA82" s="336"/>
      <c r="AB82" s="339"/>
      <c r="AC82" s="337"/>
      <c r="AD82" s="338">
        <f t="shared" ref="AD82:AD92" si="14">SUM(C82:AC82)</f>
        <v>2045.6037200000001</v>
      </c>
      <c r="AE82" s="101"/>
    </row>
    <row r="83" spans="1:31" s="46" customFormat="1">
      <c r="A83" s="100" t="s">
        <v>347</v>
      </c>
      <c r="B83" s="131" t="s">
        <v>81</v>
      </c>
      <c r="C83" s="454"/>
      <c r="D83" s="335"/>
      <c r="E83" s="336"/>
      <c r="F83" s="339"/>
      <c r="G83" s="339"/>
      <c r="H83" s="339"/>
      <c r="I83" s="339"/>
      <c r="J83" s="339"/>
      <c r="K83" s="339"/>
      <c r="L83" s="339"/>
      <c r="M83" s="348"/>
      <c r="N83" s="339"/>
      <c r="O83" s="339">
        <f>208284.14/1000</f>
        <v>208.28414000000001</v>
      </c>
      <c r="P83" s="339"/>
      <c r="Q83" s="339"/>
      <c r="R83" s="339">
        <f>15989/1000</f>
        <v>15.989000000000001</v>
      </c>
      <c r="S83" s="339">
        <f>21084295.12/1000</f>
        <v>21084.295120000002</v>
      </c>
      <c r="T83" s="347"/>
      <c r="U83" s="335"/>
      <c r="V83" s="339"/>
      <c r="W83" s="339"/>
      <c r="X83" s="347"/>
      <c r="Y83" s="335"/>
      <c r="Z83" s="335"/>
      <c r="AA83" s="336"/>
      <c r="AB83" s="339"/>
      <c r="AC83" s="337"/>
      <c r="AD83" s="338">
        <f t="shared" si="14"/>
        <v>21308.568260000004</v>
      </c>
      <c r="AE83" s="101"/>
    </row>
    <row r="84" spans="1:31" s="46" customFormat="1">
      <c r="A84" s="100" t="s">
        <v>348</v>
      </c>
      <c r="B84" s="131" t="s">
        <v>349</v>
      </c>
      <c r="C84" s="454"/>
      <c r="D84" s="335"/>
      <c r="E84" s="336"/>
      <c r="F84" s="339"/>
      <c r="G84" s="339"/>
      <c r="H84" s="339"/>
      <c r="I84" s="339"/>
      <c r="J84" s="339"/>
      <c r="K84" s="339"/>
      <c r="L84" s="339"/>
      <c r="M84" s="348"/>
      <c r="N84" s="339"/>
      <c r="O84" s="339"/>
      <c r="P84" s="339"/>
      <c r="Q84" s="339"/>
      <c r="R84" s="339"/>
      <c r="S84" s="339"/>
      <c r="T84" s="347"/>
      <c r="U84" s="335"/>
      <c r="V84" s="335"/>
      <c r="W84" s="346"/>
      <c r="X84" s="335"/>
      <c r="Y84" s="335"/>
      <c r="Z84" s="335"/>
      <c r="AA84" s="336"/>
      <c r="AB84" s="339"/>
      <c r="AC84" s="337"/>
      <c r="AD84" s="338">
        <f t="shared" si="14"/>
        <v>0</v>
      </c>
      <c r="AE84" s="101"/>
    </row>
    <row r="85" spans="1:31" s="46" customFormat="1">
      <c r="A85" s="100" t="s">
        <v>350</v>
      </c>
      <c r="B85" s="135" t="s">
        <v>351</v>
      </c>
      <c r="C85" s="454"/>
      <c r="D85" s="335"/>
      <c r="E85" s="336"/>
      <c r="F85" s="339"/>
      <c r="G85" s="339"/>
      <c r="H85" s="339"/>
      <c r="I85" s="339"/>
      <c r="J85" s="339"/>
      <c r="K85" s="339"/>
      <c r="L85" s="339"/>
      <c r="M85" s="348"/>
      <c r="N85" s="339"/>
      <c r="O85" s="339"/>
      <c r="P85" s="339"/>
      <c r="Q85" s="339"/>
      <c r="R85" s="339"/>
      <c r="S85" s="339"/>
      <c r="T85" s="347"/>
      <c r="U85" s="335"/>
      <c r="V85" s="335"/>
      <c r="W85" s="335"/>
      <c r="X85" s="335"/>
      <c r="Y85" s="335"/>
      <c r="Z85" s="344"/>
      <c r="AA85" s="336"/>
      <c r="AB85" s="339"/>
      <c r="AC85" s="337"/>
      <c r="AD85" s="338">
        <f t="shared" si="14"/>
        <v>0</v>
      </c>
      <c r="AE85" s="101"/>
    </row>
    <row r="86" spans="1:31" s="46" customFormat="1">
      <c r="A86" s="105" t="s">
        <v>352</v>
      </c>
      <c r="B86" s="135" t="s">
        <v>80</v>
      </c>
      <c r="C86" s="454"/>
      <c r="D86" s="335"/>
      <c r="E86" s="336"/>
      <c r="F86" s="340"/>
      <c r="G86" s="340"/>
      <c r="H86" s="340"/>
      <c r="I86" s="340"/>
      <c r="J86" s="340"/>
      <c r="K86" s="340"/>
      <c r="L86" s="340"/>
      <c r="M86" s="348"/>
      <c r="N86" s="340"/>
      <c r="O86" s="340"/>
      <c r="P86" s="340"/>
      <c r="Q86" s="340"/>
      <c r="R86" s="340"/>
      <c r="S86" s="340">
        <f>40069.98/1000</f>
        <v>40.069980000000001</v>
      </c>
      <c r="T86" s="347"/>
      <c r="U86" s="335"/>
      <c r="V86" s="335"/>
      <c r="W86" s="335"/>
      <c r="X86" s="335"/>
      <c r="Y86" s="336"/>
      <c r="Z86" s="340"/>
      <c r="AA86" s="348"/>
      <c r="AB86" s="340"/>
      <c r="AC86" s="341"/>
      <c r="AD86" s="338">
        <f t="shared" si="14"/>
        <v>40.069980000000001</v>
      </c>
      <c r="AE86" s="101"/>
    </row>
    <row r="87" spans="1:31" s="46" customFormat="1">
      <c r="A87" s="105" t="s">
        <v>353</v>
      </c>
      <c r="B87" s="135" t="s">
        <v>354</v>
      </c>
      <c r="C87" s="454"/>
      <c r="D87" s="335"/>
      <c r="E87" s="336"/>
      <c r="F87" s="340"/>
      <c r="G87" s="340"/>
      <c r="H87" s="340"/>
      <c r="I87" s="340"/>
      <c r="J87" s="340"/>
      <c r="K87" s="340"/>
      <c r="L87" s="340"/>
      <c r="M87" s="348"/>
      <c r="N87" s="340"/>
      <c r="O87" s="340"/>
      <c r="P87" s="340"/>
      <c r="Q87" s="340"/>
      <c r="R87" s="340"/>
      <c r="S87" s="340"/>
      <c r="T87" s="347"/>
      <c r="U87" s="335"/>
      <c r="V87" s="335"/>
      <c r="W87" s="335"/>
      <c r="X87" s="335"/>
      <c r="Y87" s="335"/>
      <c r="Z87" s="346"/>
      <c r="AA87" s="336"/>
      <c r="AB87" s="340"/>
      <c r="AC87" s="341"/>
      <c r="AD87" s="338">
        <f t="shared" si="14"/>
        <v>0</v>
      </c>
      <c r="AE87" s="101"/>
    </row>
    <row r="88" spans="1:31" s="46" customFormat="1">
      <c r="A88" s="105" t="s">
        <v>355</v>
      </c>
      <c r="B88" s="135" t="s">
        <v>82</v>
      </c>
      <c r="C88" s="454"/>
      <c r="D88" s="335"/>
      <c r="E88" s="335"/>
      <c r="F88" s="346"/>
      <c r="G88" s="346"/>
      <c r="H88" s="346"/>
      <c r="I88" s="346"/>
      <c r="J88" s="346"/>
      <c r="K88" s="346"/>
      <c r="L88" s="346"/>
      <c r="M88" s="335"/>
      <c r="N88" s="346"/>
      <c r="O88" s="346"/>
      <c r="P88" s="346"/>
      <c r="Q88" s="346"/>
      <c r="R88" s="346"/>
      <c r="S88" s="340"/>
      <c r="T88" s="347"/>
      <c r="U88" s="335"/>
      <c r="V88" s="335"/>
      <c r="W88" s="335"/>
      <c r="X88" s="335"/>
      <c r="Y88" s="335"/>
      <c r="Z88" s="335"/>
      <c r="AA88" s="336"/>
      <c r="AB88" s="340"/>
      <c r="AC88" s="341"/>
      <c r="AD88" s="338">
        <f t="shared" si="14"/>
        <v>0</v>
      </c>
      <c r="AE88" s="101"/>
    </row>
    <row r="89" spans="1:31" s="46" customFormat="1">
      <c r="A89" s="105" t="s">
        <v>356</v>
      </c>
      <c r="B89" s="135" t="s">
        <v>525</v>
      </c>
      <c r="C89" s="454"/>
      <c r="D89" s="335"/>
      <c r="E89" s="335"/>
      <c r="F89" s="335"/>
      <c r="G89" s="335"/>
      <c r="H89" s="335"/>
      <c r="I89" s="335"/>
      <c r="J89" s="335"/>
      <c r="K89" s="335"/>
      <c r="L89" s="335"/>
      <c r="M89" s="335"/>
      <c r="N89" s="335"/>
      <c r="O89" s="335"/>
      <c r="P89" s="335"/>
      <c r="Q89" s="335"/>
      <c r="R89" s="335"/>
      <c r="S89" s="340"/>
      <c r="T89" s="347"/>
      <c r="U89" s="335"/>
      <c r="V89" s="335"/>
      <c r="W89" s="335"/>
      <c r="X89" s="335"/>
      <c r="Y89" s="335"/>
      <c r="Z89" s="335"/>
      <c r="AA89" s="336"/>
      <c r="AB89" s="340"/>
      <c r="AC89" s="341"/>
      <c r="AD89" s="338">
        <f t="shared" si="14"/>
        <v>0</v>
      </c>
      <c r="AE89" s="101"/>
    </row>
    <row r="90" spans="1:31" s="46" customFormat="1">
      <c r="A90" s="105" t="s">
        <v>357</v>
      </c>
      <c r="B90" s="136" t="s">
        <v>358</v>
      </c>
      <c r="C90" s="454"/>
      <c r="D90" s="335"/>
      <c r="E90" s="335"/>
      <c r="F90" s="335"/>
      <c r="G90" s="335"/>
      <c r="H90" s="335"/>
      <c r="I90" s="335"/>
      <c r="J90" s="335"/>
      <c r="K90" s="335"/>
      <c r="L90" s="335"/>
      <c r="M90" s="335"/>
      <c r="N90" s="335"/>
      <c r="O90" s="335"/>
      <c r="P90" s="335"/>
      <c r="Q90" s="335"/>
      <c r="R90" s="335"/>
      <c r="S90" s="340">
        <f>125197486.44/1000</f>
        <v>125197.48643999999</v>
      </c>
      <c r="T90" s="347"/>
      <c r="U90" s="335"/>
      <c r="V90" s="335"/>
      <c r="W90" s="335"/>
      <c r="X90" s="335"/>
      <c r="Y90" s="335"/>
      <c r="Z90" s="335"/>
      <c r="AA90" s="336"/>
      <c r="AB90" s="340"/>
      <c r="AC90" s="341"/>
      <c r="AD90" s="338">
        <f t="shared" si="14"/>
        <v>125197.48643999999</v>
      </c>
      <c r="AE90" s="101"/>
    </row>
    <row r="91" spans="1:31" s="46" customFormat="1">
      <c r="A91" s="106" t="s">
        <v>359</v>
      </c>
      <c r="B91" s="137" t="s">
        <v>526</v>
      </c>
      <c r="C91" s="454"/>
      <c r="D91" s="335"/>
      <c r="E91" s="335"/>
      <c r="F91" s="335"/>
      <c r="G91" s="335"/>
      <c r="H91" s="335"/>
      <c r="I91" s="335"/>
      <c r="J91" s="335"/>
      <c r="K91" s="335"/>
      <c r="L91" s="335"/>
      <c r="M91" s="335"/>
      <c r="N91" s="335"/>
      <c r="O91" s="335"/>
      <c r="P91" s="335"/>
      <c r="Q91" s="335"/>
      <c r="R91" s="335"/>
      <c r="S91" s="340"/>
      <c r="T91" s="347"/>
      <c r="U91" s="335"/>
      <c r="V91" s="335"/>
      <c r="W91" s="335"/>
      <c r="X91" s="335"/>
      <c r="Y91" s="335"/>
      <c r="Z91" s="335"/>
      <c r="AA91" s="336"/>
      <c r="AB91" s="340"/>
      <c r="AC91" s="341"/>
      <c r="AD91" s="342">
        <f t="shared" si="14"/>
        <v>0</v>
      </c>
      <c r="AE91" s="101"/>
    </row>
    <row r="92" spans="1:31" s="46" customFormat="1" ht="15" collapsed="1">
      <c r="A92" s="501" t="s">
        <v>56</v>
      </c>
      <c r="B92" s="502"/>
      <c r="C92" s="454">
        <f>SUM(C82:C91)-C89</f>
        <v>0</v>
      </c>
      <c r="D92" s="335">
        <f t="shared" ref="D92:AC92" si="15">SUM(D82:D91)-D89</f>
        <v>0</v>
      </c>
      <c r="E92" s="336">
        <f t="shared" si="15"/>
        <v>0</v>
      </c>
      <c r="F92" s="339">
        <f t="shared" si="15"/>
        <v>0</v>
      </c>
      <c r="G92" s="339">
        <f t="shared" si="15"/>
        <v>0</v>
      </c>
      <c r="H92" s="339">
        <f t="shared" si="15"/>
        <v>0</v>
      </c>
      <c r="I92" s="339">
        <f t="shared" si="15"/>
        <v>0</v>
      </c>
      <c r="J92" s="339">
        <f t="shared" si="15"/>
        <v>0</v>
      </c>
      <c r="K92" s="339">
        <f t="shared" si="15"/>
        <v>0</v>
      </c>
      <c r="L92" s="339">
        <f t="shared" si="15"/>
        <v>0</v>
      </c>
      <c r="M92" s="348">
        <f t="shared" si="15"/>
        <v>0</v>
      </c>
      <c r="N92" s="339">
        <f t="shared" si="15"/>
        <v>0</v>
      </c>
      <c r="O92" s="339">
        <f t="shared" si="15"/>
        <v>208.28414000000001</v>
      </c>
      <c r="P92" s="339">
        <f t="shared" si="15"/>
        <v>0</v>
      </c>
      <c r="Q92" s="339">
        <f t="shared" si="15"/>
        <v>0</v>
      </c>
      <c r="R92" s="339">
        <f t="shared" si="15"/>
        <v>1369.66885</v>
      </c>
      <c r="S92" s="339">
        <f t="shared" si="15"/>
        <v>147013.77541</v>
      </c>
      <c r="T92" s="339">
        <f t="shared" si="15"/>
        <v>0</v>
      </c>
      <c r="U92" s="339">
        <f t="shared" si="15"/>
        <v>0</v>
      </c>
      <c r="V92" s="339">
        <f t="shared" si="15"/>
        <v>0</v>
      </c>
      <c r="W92" s="339">
        <f t="shared" si="15"/>
        <v>0</v>
      </c>
      <c r="X92" s="347">
        <f t="shared" si="15"/>
        <v>0</v>
      </c>
      <c r="Y92" s="336">
        <f t="shared" si="15"/>
        <v>0</v>
      </c>
      <c r="Z92" s="339">
        <f t="shared" si="15"/>
        <v>0</v>
      </c>
      <c r="AA92" s="348">
        <f t="shared" si="15"/>
        <v>0</v>
      </c>
      <c r="AB92" s="339">
        <f t="shared" si="15"/>
        <v>0</v>
      </c>
      <c r="AC92" s="337">
        <f t="shared" si="15"/>
        <v>0</v>
      </c>
      <c r="AD92" s="338">
        <f t="shared" si="14"/>
        <v>148591.72839999999</v>
      </c>
      <c r="AE92" s="101"/>
    </row>
    <row r="93" spans="1:31" s="46" customFormat="1" ht="15" thickBot="1">
      <c r="A93" s="107"/>
      <c r="B93" s="138"/>
      <c r="C93" s="457"/>
      <c r="D93" s="335"/>
      <c r="E93" s="335"/>
      <c r="F93" s="346"/>
      <c r="G93" s="346"/>
      <c r="H93" s="346"/>
      <c r="I93" s="346"/>
      <c r="J93" s="346"/>
      <c r="K93" s="346"/>
      <c r="L93" s="346"/>
      <c r="M93" s="335"/>
      <c r="N93" s="346"/>
      <c r="O93" s="346"/>
      <c r="P93" s="346"/>
      <c r="Q93" s="346"/>
      <c r="R93" s="346"/>
      <c r="S93" s="346"/>
      <c r="T93" s="335"/>
      <c r="U93" s="335"/>
      <c r="V93" s="335"/>
      <c r="W93" s="346"/>
      <c r="X93" s="335"/>
      <c r="Y93" s="335"/>
      <c r="Z93" s="346"/>
      <c r="AA93" s="335"/>
      <c r="AB93" s="346"/>
      <c r="AC93" s="346"/>
      <c r="AD93" s="350"/>
      <c r="AE93" s="101"/>
    </row>
    <row r="94" spans="1:31" s="46" customFormat="1" ht="15.75" thickBot="1">
      <c r="A94" s="509" t="s">
        <v>360</v>
      </c>
      <c r="B94" s="510"/>
      <c r="C94" s="458">
        <f>SUM(C14,C20,C28,C37,C47,C53,C60,C72,C79,C92)</f>
        <v>0</v>
      </c>
      <c r="D94" s="351">
        <f t="shared" ref="D94:AC94" si="16">SUM(D14,D20,D28,D37,D47,D53,D60,D72,D79,D92)</f>
        <v>129.98304999999999</v>
      </c>
      <c r="E94" s="351">
        <f t="shared" si="16"/>
        <v>0</v>
      </c>
      <c r="F94" s="351">
        <f t="shared" si="16"/>
        <v>775</v>
      </c>
      <c r="G94" s="351">
        <f t="shared" si="16"/>
        <v>0</v>
      </c>
      <c r="H94" s="351">
        <f t="shared" si="16"/>
        <v>1006.87704</v>
      </c>
      <c r="I94" s="351">
        <f t="shared" si="16"/>
        <v>-12.592720000000007</v>
      </c>
      <c r="J94" s="351">
        <f t="shared" si="16"/>
        <v>31713.259548999999</v>
      </c>
      <c r="K94" s="351">
        <f t="shared" si="16"/>
        <v>201.11507</v>
      </c>
      <c r="L94" s="351">
        <f t="shared" si="16"/>
        <v>461.42748</v>
      </c>
      <c r="M94" s="351">
        <f t="shared" si="16"/>
        <v>16169.40768</v>
      </c>
      <c r="N94" s="351">
        <f t="shared" si="16"/>
        <v>133325.99484</v>
      </c>
      <c r="O94" s="351">
        <f t="shared" si="16"/>
        <v>30889.134829999999</v>
      </c>
      <c r="P94" s="351">
        <f t="shared" si="16"/>
        <v>27802.52087</v>
      </c>
      <c r="Q94" s="351">
        <f t="shared" si="16"/>
        <v>7845.9718199999988</v>
      </c>
      <c r="R94" s="351">
        <f t="shared" si="16"/>
        <v>1369.66885</v>
      </c>
      <c r="S94" s="351">
        <f t="shared" si="16"/>
        <v>207377.59586</v>
      </c>
      <c r="T94" s="351">
        <f t="shared" si="16"/>
        <v>0</v>
      </c>
      <c r="U94" s="351">
        <f t="shared" si="16"/>
        <v>0</v>
      </c>
      <c r="V94" s="351">
        <f t="shared" si="16"/>
        <v>0</v>
      </c>
      <c r="W94" s="351">
        <f t="shared" si="16"/>
        <v>0</v>
      </c>
      <c r="X94" s="353">
        <f t="shared" si="16"/>
        <v>0</v>
      </c>
      <c r="Y94" s="354">
        <f t="shared" si="16"/>
        <v>0</v>
      </c>
      <c r="Z94" s="351">
        <f t="shared" si="16"/>
        <v>0</v>
      </c>
      <c r="AA94" s="351">
        <f t="shared" si="16"/>
        <v>0</v>
      </c>
      <c r="AB94" s="351">
        <f t="shared" si="16"/>
        <v>0</v>
      </c>
      <c r="AC94" s="356">
        <f t="shared" si="16"/>
        <v>71193.945970000001</v>
      </c>
      <c r="AD94" s="357">
        <f>SUM(C94:AC94)</f>
        <v>530249.31018899998</v>
      </c>
      <c r="AE94" s="101"/>
    </row>
    <row r="95" spans="1:31" s="46" customFormat="1">
      <c r="A95" s="109"/>
      <c r="B95" s="139"/>
      <c r="C95" s="344"/>
      <c r="D95" s="344"/>
      <c r="E95" s="344"/>
      <c r="F95" s="344"/>
      <c r="G95" s="344"/>
      <c r="H95" s="344"/>
      <c r="I95" s="344"/>
      <c r="J95" s="344"/>
      <c r="K95" s="344"/>
      <c r="L95" s="344"/>
      <c r="M95" s="344"/>
      <c r="N95" s="344"/>
      <c r="O95" s="344"/>
      <c r="P95" s="344"/>
      <c r="Q95" s="344"/>
      <c r="R95" s="344"/>
      <c r="S95" s="344"/>
      <c r="T95" s="344"/>
      <c r="U95" s="344"/>
      <c r="V95" s="344"/>
      <c r="W95" s="344"/>
      <c r="X95" s="344"/>
      <c r="Y95" s="344"/>
      <c r="Z95" s="344"/>
      <c r="AA95" s="344"/>
      <c r="AB95" s="344"/>
      <c r="AC95" s="344"/>
      <c r="AD95" s="358"/>
      <c r="AE95" s="101"/>
    </row>
    <row r="96" spans="1:31" s="111" customFormat="1" ht="18">
      <c r="A96" s="507" t="s">
        <v>84</v>
      </c>
      <c r="B96" s="508"/>
      <c r="C96" s="359"/>
      <c r="D96" s="359"/>
      <c r="E96" s="359"/>
      <c r="F96" s="359"/>
      <c r="G96" s="359"/>
      <c r="H96" s="359"/>
      <c r="I96" s="359"/>
      <c r="J96" s="359"/>
      <c r="K96" s="359"/>
      <c r="L96" s="359"/>
      <c r="M96" s="359"/>
      <c r="N96" s="359"/>
      <c r="O96" s="359"/>
      <c r="P96" s="359"/>
      <c r="Q96" s="359"/>
      <c r="R96" s="359"/>
      <c r="S96" s="359"/>
      <c r="T96" s="359"/>
      <c r="U96" s="359"/>
      <c r="V96" s="359"/>
      <c r="W96" s="359"/>
      <c r="X96" s="359"/>
      <c r="Y96" s="359"/>
      <c r="Z96" s="359"/>
      <c r="AA96" s="359"/>
      <c r="AB96" s="359"/>
      <c r="AC96" s="359"/>
      <c r="AD96" s="360"/>
      <c r="AE96" s="110"/>
    </row>
    <row r="97" spans="1:31" s="46" customFormat="1">
      <c r="A97" s="103"/>
      <c r="B97" s="48"/>
      <c r="C97" s="335"/>
      <c r="D97" s="335"/>
      <c r="E97" s="335"/>
      <c r="F97" s="344"/>
      <c r="G97" s="344"/>
      <c r="H97" s="344"/>
      <c r="I97" s="344"/>
      <c r="J97" s="344"/>
      <c r="K97" s="344"/>
      <c r="L97" s="344"/>
      <c r="M97" s="335"/>
      <c r="N97" s="344"/>
      <c r="O97" s="344"/>
      <c r="P97" s="344"/>
      <c r="Q97" s="344"/>
      <c r="R97" s="344"/>
      <c r="S97" s="344"/>
      <c r="T97" s="335"/>
      <c r="U97" s="335"/>
      <c r="V97" s="335"/>
      <c r="W97" s="335"/>
      <c r="X97" s="335"/>
      <c r="Y97" s="335"/>
      <c r="Z97" s="344"/>
      <c r="AA97" s="335"/>
      <c r="AB97" s="344"/>
      <c r="AC97" s="344"/>
      <c r="AD97" s="358"/>
      <c r="AE97" s="101"/>
    </row>
    <row r="98" spans="1:31" s="46" customFormat="1">
      <c r="A98" s="112" t="s">
        <v>490</v>
      </c>
      <c r="B98" s="131" t="s">
        <v>85</v>
      </c>
      <c r="C98" s="454"/>
      <c r="D98" s="344"/>
      <c r="E98" s="369"/>
      <c r="F98" s="334"/>
      <c r="G98" s="334"/>
      <c r="H98" s="334"/>
      <c r="I98" s="339"/>
      <c r="J98" s="334"/>
      <c r="K98" s="334"/>
      <c r="L98" s="334"/>
      <c r="M98" s="348"/>
      <c r="N98" s="334"/>
      <c r="O98" s="334"/>
      <c r="P98" s="334"/>
      <c r="Q98" s="334"/>
      <c r="R98" s="334"/>
      <c r="S98" s="339"/>
      <c r="T98" s="347"/>
      <c r="U98" s="335"/>
      <c r="V98" s="335"/>
      <c r="W98" s="335"/>
      <c r="X98" s="335"/>
      <c r="Y98" s="336"/>
      <c r="Z98" s="339"/>
      <c r="AA98" s="348"/>
      <c r="AB98" s="339"/>
      <c r="AC98" s="337"/>
      <c r="AD98" s="338">
        <f>SUM(C98:AC98)</f>
        <v>0</v>
      </c>
      <c r="AE98" s="101"/>
    </row>
    <row r="99" spans="1:31" s="46" customFormat="1">
      <c r="A99" s="112" t="s">
        <v>491</v>
      </c>
      <c r="B99" s="131" t="s">
        <v>86</v>
      </c>
      <c r="C99" s="454"/>
      <c r="D99" s="339">
        <f>52439033.43/1000</f>
        <v>52439.033430000003</v>
      </c>
      <c r="E99" s="339">
        <f>74162.58/1000</f>
        <v>74.162580000000005</v>
      </c>
      <c r="F99" s="339"/>
      <c r="G99" s="339">
        <f>2850/1000</f>
        <v>2.85</v>
      </c>
      <c r="H99" s="339">
        <f>22502.89/1000</f>
        <v>22.502890000000001</v>
      </c>
      <c r="I99" s="339">
        <f>2269945.77/1000</f>
        <v>2269.9457699999998</v>
      </c>
      <c r="J99" s="339">
        <f>14561605.9/1000</f>
        <v>14561.6059</v>
      </c>
      <c r="K99" s="339"/>
      <c r="L99" s="339">
        <f>366795.36/1000</f>
        <v>366.79535999999996</v>
      </c>
      <c r="M99" s="348"/>
      <c r="N99" s="339">
        <f>99361/1000</f>
        <v>99.361000000000004</v>
      </c>
      <c r="O99" s="339">
        <f>16800/1000</f>
        <v>16.8</v>
      </c>
      <c r="P99" s="339"/>
      <c r="Q99" s="339"/>
      <c r="R99" s="368"/>
      <c r="S99" s="339">
        <f>(2126694.07+2860094.88+124853.04+851546.48)/1000</f>
        <v>5963.1884699999991</v>
      </c>
      <c r="T99" s="347"/>
      <c r="U99" s="335"/>
      <c r="V99" s="335"/>
      <c r="W99" s="335"/>
      <c r="X99" s="335"/>
      <c r="Y99" s="336"/>
      <c r="Z99" s="339"/>
      <c r="AA99" s="348"/>
      <c r="AB99" s="339"/>
      <c r="AC99" s="337">
        <f>27454564.41/1000</f>
        <v>27454.564409999999</v>
      </c>
      <c r="AD99" s="338">
        <f>SUM(C99:AC99)</f>
        <v>103270.80981000001</v>
      </c>
      <c r="AE99" s="101"/>
    </row>
    <row r="100" spans="1:31" s="46" customFormat="1" ht="15">
      <c r="A100" s="91" t="s">
        <v>87</v>
      </c>
      <c r="B100" s="131"/>
      <c r="C100" s="453">
        <f>SUM(C98:C99)</f>
        <v>0</v>
      </c>
      <c r="D100" s="349">
        <f t="shared" ref="D100:AC100" si="17">SUM(D98:D99)</f>
        <v>52439.033430000003</v>
      </c>
      <c r="E100" s="339">
        <f t="shared" si="17"/>
        <v>74.162580000000005</v>
      </c>
      <c r="F100" s="339">
        <f t="shared" si="17"/>
        <v>0</v>
      </c>
      <c r="G100" s="339">
        <f t="shared" si="17"/>
        <v>2.85</v>
      </c>
      <c r="H100" s="339">
        <f t="shared" si="17"/>
        <v>22.502890000000001</v>
      </c>
      <c r="I100" s="339">
        <f t="shared" si="17"/>
        <v>2269.9457699999998</v>
      </c>
      <c r="J100" s="339">
        <f t="shared" si="17"/>
        <v>14561.6059</v>
      </c>
      <c r="K100" s="339">
        <f t="shared" si="17"/>
        <v>0</v>
      </c>
      <c r="L100" s="339">
        <f t="shared" si="17"/>
        <v>366.79535999999996</v>
      </c>
      <c r="M100" s="348">
        <f t="shared" si="17"/>
        <v>0</v>
      </c>
      <c r="N100" s="339">
        <f t="shared" si="17"/>
        <v>99.361000000000004</v>
      </c>
      <c r="O100" s="339">
        <f t="shared" si="17"/>
        <v>16.8</v>
      </c>
      <c r="P100" s="339">
        <f t="shared" si="17"/>
        <v>0</v>
      </c>
      <c r="Q100" s="339">
        <f t="shared" si="17"/>
        <v>0</v>
      </c>
      <c r="R100" s="339">
        <f t="shared" si="17"/>
        <v>0</v>
      </c>
      <c r="S100" s="339">
        <f t="shared" si="17"/>
        <v>5963.1884699999991</v>
      </c>
      <c r="T100" s="347">
        <f t="shared" si="17"/>
        <v>0</v>
      </c>
      <c r="U100" s="335">
        <f t="shared" si="17"/>
        <v>0</v>
      </c>
      <c r="V100" s="335">
        <f t="shared" si="17"/>
        <v>0</v>
      </c>
      <c r="W100" s="335">
        <f t="shared" si="17"/>
        <v>0</v>
      </c>
      <c r="X100" s="335">
        <f t="shared" si="17"/>
        <v>0</v>
      </c>
      <c r="Y100" s="336">
        <f t="shared" si="17"/>
        <v>0</v>
      </c>
      <c r="Z100" s="340">
        <f t="shared" si="17"/>
        <v>0</v>
      </c>
      <c r="AA100" s="348">
        <f t="shared" si="17"/>
        <v>0</v>
      </c>
      <c r="AB100" s="339">
        <f t="shared" si="17"/>
        <v>0</v>
      </c>
      <c r="AC100" s="337">
        <f t="shared" si="17"/>
        <v>27454.564409999999</v>
      </c>
      <c r="AD100" s="338">
        <f>SUM(C100:AC100)</f>
        <v>103270.80981000001</v>
      </c>
      <c r="AE100" s="101"/>
    </row>
    <row r="101" spans="1:31" s="46" customFormat="1">
      <c r="A101" s="103"/>
      <c r="B101" s="48"/>
      <c r="C101" s="344"/>
      <c r="D101" s="343"/>
      <c r="E101" s="343"/>
      <c r="F101" s="343"/>
      <c r="G101" s="343"/>
      <c r="H101" s="343"/>
      <c r="I101" s="343"/>
      <c r="J101" s="343"/>
      <c r="K101" s="343"/>
      <c r="L101" s="343"/>
      <c r="M101" s="344"/>
      <c r="N101" s="343"/>
      <c r="O101" s="343"/>
      <c r="P101" s="343"/>
      <c r="Q101" s="343"/>
      <c r="R101" s="343"/>
      <c r="S101" s="343"/>
      <c r="T101" s="344"/>
      <c r="U101" s="344"/>
      <c r="V101" s="344"/>
      <c r="W101" s="344"/>
      <c r="X101" s="344"/>
      <c r="Y101" s="344"/>
      <c r="Z101" s="343"/>
      <c r="AA101" s="344"/>
      <c r="AB101" s="343"/>
      <c r="AC101" s="343"/>
      <c r="AD101" s="345"/>
      <c r="AE101" s="101"/>
    </row>
    <row r="102" spans="1:31" s="111" customFormat="1" ht="18">
      <c r="A102" s="505" t="s">
        <v>88</v>
      </c>
      <c r="B102" s="506"/>
      <c r="C102" s="359"/>
      <c r="D102" s="359"/>
      <c r="E102" s="359"/>
      <c r="F102" s="359"/>
      <c r="G102" s="359"/>
      <c r="H102" s="359"/>
      <c r="I102" s="359"/>
      <c r="J102" s="359"/>
      <c r="K102" s="359"/>
      <c r="L102" s="359"/>
      <c r="M102" s="359"/>
      <c r="N102" s="359"/>
      <c r="O102" s="359"/>
      <c r="P102" s="359"/>
      <c r="Q102" s="359"/>
      <c r="R102" s="359"/>
      <c r="S102" s="359"/>
      <c r="T102" s="359"/>
      <c r="U102" s="359"/>
      <c r="V102" s="359"/>
      <c r="W102" s="359"/>
      <c r="X102" s="359"/>
      <c r="Y102" s="359"/>
      <c r="Z102" s="359"/>
      <c r="AA102" s="359"/>
      <c r="AB102" s="359"/>
      <c r="AC102" s="359"/>
      <c r="AD102" s="360"/>
      <c r="AE102" s="110"/>
    </row>
    <row r="103" spans="1:31" s="46" customFormat="1">
      <c r="A103" s="103"/>
      <c r="B103" s="48"/>
      <c r="C103" s="344"/>
      <c r="D103" s="344"/>
      <c r="E103" s="344"/>
      <c r="F103" s="344"/>
      <c r="G103" s="344"/>
      <c r="H103" s="344"/>
      <c r="I103" s="344"/>
      <c r="J103" s="344"/>
      <c r="K103" s="344"/>
      <c r="L103" s="344"/>
      <c r="M103" s="344"/>
      <c r="N103" s="344"/>
      <c r="O103" s="344"/>
      <c r="P103" s="344"/>
      <c r="Q103" s="344"/>
      <c r="R103" s="344"/>
      <c r="S103" s="344"/>
      <c r="T103" s="344"/>
      <c r="U103" s="344"/>
      <c r="V103" s="344"/>
      <c r="W103" s="344"/>
      <c r="X103" s="344"/>
      <c r="Y103" s="344"/>
      <c r="Z103" s="344"/>
      <c r="AA103" s="344"/>
      <c r="AB103" s="344"/>
      <c r="AC103" s="344"/>
      <c r="AD103" s="358"/>
      <c r="AE103" s="101"/>
    </row>
    <row r="104" spans="1:31" s="57" customFormat="1" ht="15">
      <c r="A104" s="91" t="s">
        <v>89</v>
      </c>
      <c r="B104" s="131"/>
      <c r="C104" s="346"/>
      <c r="D104" s="335"/>
      <c r="E104" s="335"/>
      <c r="F104" s="344"/>
      <c r="G104" s="344"/>
      <c r="H104" s="344"/>
      <c r="I104" s="344"/>
      <c r="J104" s="344"/>
      <c r="K104" s="344"/>
      <c r="L104" s="344"/>
      <c r="M104" s="335"/>
      <c r="N104" s="344"/>
      <c r="O104" s="344"/>
      <c r="P104" s="344"/>
      <c r="Q104" s="344"/>
      <c r="R104" s="335"/>
      <c r="S104" s="344"/>
      <c r="T104" s="335"/>
      <c r="U104" s="335"/>
      <c r="V104" s="335"/>
      <c r="W104" s="335"/>
      <c r="X104" s="335"/>
      <c r="Y104" s="335"/>
      <c r="Z104" s="335"/>
      <c r="AA104" s="335"/>
      <c r="AB104" s="344"/>
      <c r="AC104" s="344"/>
      <c r="AD104" s="358"/>
      <c r="AE104" s="113"/>
    </row>
    <row r="105" spans="1:31" s="57" customFormat="1" ht="15">
      <c r="A105" s="114" t="s">
        <v>90</v>
      </c>
      <c r="B105" s="135" t="s">
        <v>91</v>
      </c>
      <c r="C105" s="456"/>
      <c r="D105" s="335"/>
      <c r="E105" s="336"/>
      <c r="F105" s="334"/>
      <c r="G105" s="334"/>
      <c r="H105" s="334"/>
      <c r="I105" s="334"/>
      <c r="J105" s="334"/>
      <c r="K105" s="334"/>
      <c r="L105" s="334"/>
      <c r="M105" s="348"/>
      <c r="N105" s="334"/>
      <c r="O105" s="334"/>
      <c r="P105" s="334"/>
      <c r="Q105" s="334"/>
      <c r="R105" s="348"/>
      <c r="S105" s="334"/>
      <c r="T105" s="347"/>
      <c r="U105" s="335"/>
      <c r="V105" s="339"/>
      <c r="W105" s="335"/>
      <c r="X105" s="335"/>
      <c r="Y105" s="335"/>
      <c r="Z105" s="335"/>
      <c r="AA105" s="336"/>
      <c r="AB105" s="334"/>
      <c r="AC105" s="361"/>
      <c r="AD105" s="338">
        <f t="shared" ref="AD105:AD123" si="18">SUM(C105:AC105)</f>
        <v>0</v>
      </c>
      <c r="AE105" s="113"/>
    </row>
    <row r="106" spans="1:31" s="57" customFormat="1" ht="15.95" customHeight="1">
      <c r="A106" s="114" t="s">
        <v>92</v>
      </c>
      <c r="B106" s="135" t="s">
        <v>93</v>
      </c>
      <c r="C106" s="454"/>
      <c r="D106" s="335"/>
      <c r="E106" s="336"/>
      <c r="F106" s="339"/>
      <c r="G106" s="339"/>
      <c r="H106" s="339"/>
      <c r="I106" s="339"/>
      <c r="J106" s="339"/>
      <c r="K106" s="339"/>
      <c r="L106" s="339"/>
      <c r="M106" s="348"/>
      <c r="N106" s="339"/>
      <c r="O106" s="339"/>
      <c r="P106" s="339"/>
      <c r="Q106" s="339"/>
      <c r="R106" s="348"/>
      <c r="S106" s="339"/>
      <c r="T106" s="347"/>
      <c r="U106" s="335"/>
      <c r="V106" s="335"/>
      <c r="W106" s="335"/>
      <c r="X106" s="335"/>
      <c r="Y106" s="335"/>
      <c r="Z106" s="335"/>
      <c r="AA106" s="336"/>
      <c r="AB106" s="339"/>
      <c r="AC106" s="337"/>
      <c r="AD106" s="338">
        <f t="shared" si="18"/>
        <v>0</v>
      </c>
      <c r="AE106" s="113"/>
    </row>
    <row r="107" spans="1:31" s="57" customFormat="1" ht="15.95" customHeight="1">
      <c r="A107" s="114" t="s">
        <v>94</v>
      </c>
      <c r="B107" s="135" t="s">
        <v>95</v>
      </c>
      <c r="C107" s="454"/>
      <c r="D107" s="335"/>
      <c r="E107" s="336"/>
      <c r="F107" s="339"/>
      <c r="G107" s="339"/>
      <c r="H107" s="339"/>
      <c r="I107" s="339"/>
      <c r="J107" s="339"/>
      <c r="K107" s="339"/>
      <c r="L107" s="339"/>
      <c r="M107" s="348"/>
      <c r="N107" s="339"/>
      <c r="O107" s="339"/>
      <c r="P107" s="339"/>
      <c r="Q107" s="339"/>
      <c r="R107" s="348"/>
      <c r="S107" s="339"/>
      <c r="T107" s="347"/>
      <c r="U107" s="335"/>
      <c r="V107" s="335"/>
      <c r="W107" s="335"/>
      <c r="X107" s="335"/>
      <c r="Y107" s="335"/>
      <c r="Z107" s="335"/>
      <c r="AA107" s="336"/>
      <c r="AB107" s="339"/>
      <c r="AC107" s="337"/>
      <c r="AD107" s="338">
        <f t="shared" si="18"/>
        <v>0</v>
      </c>
      <c r="AE107" s="113"/>
    </row>
    <row r="108" spans="1:31" s="57" customFormat="1" ht="15.95" customHeight="1">
      <c r="A108" s="114" t="s">
        <v>96</v>
      </c>
      <c r="B108" s="135" t="s">
        <v>97</v>
      </c>
      <c r="C108" s="454"/>
      <c r="D108" s="335"/>
      <c r="E108" s="336"/>
      <c r="F108" s="339"/>
      <c r="G108" s="339"/>
      <c r="H108" s="339"/>
      <c r="I108" s="339"/>
      <c r="J108" s="339"/>
      <c r="K108" s="339"/>
      <c r="L108" s="339"/>
      <c r="M108" s="348"/>
      <c r="N108" s="339"/>
      <c r="O108" s="339"/>
      <c r="P108" s="339"/>
      <c r="Q108" s="339"/>
      <c r="R108" s="348"/>
      <c r="S108" s="339"/>
      <c r="T108" s="347"/>
      <c r="U108" s="335"/>
      <c r="V108" s="335"/>
      <c r="W108" s="335"/>
      <c r="X108" s="335"/>
      <c r="Y108" s="335"/>
      <c r="Z108" s="335"/>
      <c r="AA108" s="336"/>
      <c r="AB108" s="339"/>
      <c r="AC108" s="337"/>
      <c r="AD108" s="338">
        <f t="shared" si="18"/>
        <v>0</v>
      </c>
      <c r="AE108" s="113"/>
    </row>
    <row r="109" spans="1:31" s="57" customFormat="1" ht="16.5" customHeight="1">
      <c r="A109" s="114" t="s">
        <v>98</v>
      </c>
      <c r="B109" s="135" t="s">
        <v>99</v>
      </c>
      <c r="C109" s="454"/>
      <c r="D109" s="335"/>
      <c r="E109" s="336"/>
      <c r="F109" s="339"/>
      <c r="G109" s="339"/>
      <c r="H109" s="339">
        <f>689838.01/1000</f>
        <v>689.83801000000005</v>
      </c>
      <c r="I109" s="339">
        <f>13622.61/1000</f>
        <v>13.62261</v>
      </c>
      <c r="J109" s="339">
        <f>344393.34/1000</f>
        <v>344.39334000000002</v>
      </c>
      <c r="K109" s="339"/>
      <c r="L109" s="339"/>
      <c r="M109" s="348"/>
      <c r="N109" s="339"/>
      <c r="O109" s="339"/>
      <c r="P109" s="339"/>
      <c r="Q109" s="339"/>
      <c r="R109" s="348"/>
      <c r="S109" s="339">
        <f>117262.28/1000</f>
        <v>117.26228</v>
      </c>
      <c r="T109" s="347"/>
      <c r="U109" s="335"/>
      <c r="V109" s="335"/>
      <c r="W109" s="335"/>
      <c r="X109" s="335"/>
      <c r="Y109" s="335"/>
      <c r="Z109" s="335"/>
      <c r="AA109" s="336"/>
      <c r="AB109" s="339"/>
      <c r="AC109" s="337"/>
      <c r="AD109" s="338">
        <f t="shared" si="18"/>
        <v>1165.1162400000001</v>
      </c>
      <c r="AE109" s="113"/>
    </row>
    <row r="110" spans="1:31" s="57" customFormat="1" ht="15.95" customHeight="1">
      <c r="A110" s="114" t="s">
        <v>100</v>
      </c>
      <c r="B110" s="135" t="s">
        <v>101</v>
      </c>
      <c r="C110" s="454"/>
      <c r="D110" s="335"/>
      <c r="E110" s="336"/>
      <c r="F110" s="339">
        <f>497343.77/1000</f>
        <v>497.34377000000001</v>
      </c>
      <c r="G110" s="339">
        <f>8972/1000</f>
        <v>8.9719999999999995</v>
      </c>
      <c r="H110" s="339">
        <f>48779163.7/1000</f>
        <v>48779.163700000005</v>
      </c>
      <c r="I110" s="339">
        <f>1190946.89/1000</f>
        <v>1190.9468899999999</v>
      </c>
      <c r="J110" s="339">
        <f>1670472.08/1000</f>
        <v>1670.47208</v>
      </c>
      <c r="K110" s="339">
        <f>-7478.5/1000</f>
        <v>-7.4785000000000004</v>
      </c>
      <c r="L110" s="339">
        <f>9101.8/1000</f>
        <v>9.101799999999999</v>
      </c>
      <c r="M110" s="348"/>
      <c r="N110" s="339"/>
      <c r="O110" s="339"/>
      <c r="P110" s="339"/>
      <c r="Q110" s="339"/>
      <c r="R110" s="348"/>
      <c r="S110" s="339">
        <f>(2026686.01+22348896.16)/1000</f>
        <v>24375.582170000001</v>
      </c>
      <c r="T110" s="347"/>
      <c r="U110" s="335"/>
      <c r="V110" s="335"/>
      <c r="W110" s="335"/>
      <c r="X110" s="335"/>
      <c r="Y110" s="335"/>
      <c r="Z110" s="335"/>
      <c r="AA110" s="336"/>
      <c r="AB110" s="339">
        <f>3105516.53/1000</f>
        <v>3105.5165299999999</v>
      </c>
      <c r="AC110" s="337"/>
      <c r="AD110" s="338">
        <f t="shared" si="18"/>
        <v>79629.620439999999</v>
      </c>
      <c r="AE110" s="113"/>
    </row>
    <row r="111" spans="1:31" s="57" customFormat="1" ht="15.95" customHeight="1">
      <c r="A111" s="114" t="s">
        <v>102</v>
      </c>
      <c r="B111" s="135" t="s">
        <v>103</v>
      </c>
      <c r="C111" s="454"/>
      <c r="D111" s="335"/>
      <c r="E111" s="336"/>
      <c r="F111" s="339"/>
      <c r="G111" s="339"/>
      <c r="H111" s="339"/>
      <c r="I111" s="339"/>
      <c r="J111" s="339"/>
      <c r="K111" s="339"/>
      <c r="L111" s="339"/>
      <c r="M111" s="348"/>
      <c r="N111" s="339"/>
      <c r="O111" s="339"/>
      <c r="P111" s="339"/>
      <c r="Q111" s="339"/>
      <c r="R111" s="348"/>
      <c r="S111" s="339"/>
      <c r="T111" s="347"/>
      <c r="U111" s="335"/>
      <c r="V111" s="335"/>
      <c r="W111" s="335"/>
      <c r="X111" s="335"/>
      <c r="Y111" s="335"/>
      <c r="Z111" s="335"/>
      <c r="AA111" s="336"/>
      <c r="AB111" s="339"/>
      <c r="AC111" s="337"/>
      <c r="AD111" s="338">
        <f t="shared" si="18"/>
        <v>0</v>
      </c>
      <c r="AE111" s="113"/>
    </row>
    <row r="112" spans="1:31" s="57" customFormat="1" ht="15.95" customHeight="1">
      <c r="A112" s="114" t="s">
        <v>104</v>
      </c>
      <c r="B112" s="135" t="s">
        <v>105</v>
      </c>
      <c r="C112" s="454"/>
      <c r="D112" s="335"/>
      <c r="E112" s="336"/>
      <c r="F112" s="339"/>
      <c r="G112" s="339">
        <f>3079.4/1000</f>
        <v>3.0794000000000001</v>
      </c>
      <c r="H112" s="339"/>
      <c r="I112" s="339"/>
      <c r="J112" s="339"/>
      <c r="K112" s="339"/>
      <c r="L112" s="339"/>
      <c r="M112" s="348"/>
      <c r="N112" s="339"/>
      <c r="O112" s="339"/>
      <c r="P112" s="339"/>
      <c r="Q112" s="339"/>
      <c r="R112" s="348"/>
      <c r="S112" s="339"/>
      <c r="T112" s="347"/>
      <c r="U112" s="335"/>
      <c r="V112" s="335"/>
      <c r="W112" s="335"/>
      <c r="X112" s="335"/>
      <c r="Y112" s="335"/>
      <c r="Z112" s="335"/>
      <c r="AA112" s="336"/>
      <c r="AB112" s="339"/>
      <c r="AC112" s="337"/>
      <c r="AD112" s="338">
        <f t="shared" si="18"/>
        <v>3.0794000000000001</v>
      </c>
      <c r="AE112" s="113"/>
    </row>
    <row r="113" spans="1:31" s="57" customFormat="1" ht="15.95" customHeight="1">
      <c r="A113" s="114" t="s">
        <v>106</v>
      </c>
      <c r="B113" s="135" t="s">
        <v>107</v>
      </c>
      <c r="C113" s="454"/>
      <c r="D113" s="335"/>
      <c r="E113" s="336"/>
      <c r="F113" s="339"/>
      <c r="G113" s="339"/>
      <c r="H113" s="339"/>
      <c r="I113" s="339"/>
      <c r="J113" s="339"/>
      <c r="K113" s="339"/>
      <c r="L113" s="339"/>
      <c r="M113" s="348"/>
      <c r="N113" s="339"/>
      <c r="O113" s="339"/>
      <c r="P113" s="339"/>
      <c r="Q113" s="339"/>
      <c r="R113" s="348"/>
      <c r="S113" s="339"/>
      <c r="T113" s="347"/>
      <c r="U113" s="335"/>
      <c r="V113" s="335"/>
      <c r="W113" s="335"/>
      <c r="X113" s="335"/>
      <c r="Y113" s="335"/>
      <c r="Z113" s="344"/>
      <c r="AA113" s="336"/>
      <c r="AB113" s="339"/>
      <c r="AC113" s="337"/>
      <c r="AD113" s="338">
        <f t="shared" si="18"/>
        <v>0</v>
      </c>
      <c r="AE113" s="113"/>
    </row>
    <row r="114" spans="1:31" s="57" customFormat="1" ht="15.95" customHeight="1">
      <c r="A114" s="114" t="s">
        <v>108</v>
      </c>
      <c r="B114" s="135" t="s">
        <v>109</v>
      </c>
      <c r="C114" s="454"/>
      <c r="D114" s="335"/>
      <c r="E114" s="335"/>
      <c r="F114" s="346"/>
      <c r="G114" s="346"/>
      <c r="H114" s="346"/>
      <c r="I114" s="346"/>
      <c r="J114" s="346"/>
      <c r="K114" s="346"/>
      <c r="L114" s="346"/>
      <c r="M114" s="335"/>
      <c r="N114" s="346"/>
      <c r="O114" s="346"/>
      <c r="P114" s="346"/>
      <c r="Q114" s="346"/>
      <c r="R114" s="335"/>
      <c r="S114" s="346"/>
      <c r="T114" s="335"/>
      <c r="U114" s="335"/>
      <c r="V114" s="335"/>
      <c r="W114" s="339"/>
      <c r="X114" s="335"/>
      <c r="Y114" s="369"/>
      <c r="Z114" s="339">
        <f>1000/1000</f>
        <v>1</v>
      </c>
      <c r="AA114" s="347"/>
      <c r="AB114" s="346"/>
      <c r="AC114" s="346"/>
      <c r="AD114" s="338">
        <f t="shared" si="18"/>
        <v>1</v>
      </c>
      <c r="AE114" s="113"/>
    </row>
    <row r="115" spans="1:31" s="57" customFormat="1" ht="15.95" customHeight="1">
      <c r="A115" s="114" t="s">
        <v>110</v>
      </c>
      <c r="B115" s="135" t="s">
        <v>111</v>
      </c>
      <c r="C115" s="454"/>
      <c r="D115" s="335"/>
      <c r="E115" s="335"/>
      <c r="F115" s="335"/>
      <c r="G115" s="335"/>
      <c r="H115" s="335"/>
      <c r="I115" s="335"/>
      <c r="J115" s="335"/>
      <c r="K115" s="335"/>
      <c r="L115" s="335"/>
      <c r="M115" s="335"/>
      <c r="N115" s="335"/>
      <c r="O115" s="335"/>
      <c r="P115" s="335"/>
      <c r="Q115" s="335"/>
      <c r="R115" s="335"/>
      <c r="S115" s="335"/>
      <c r="T115" s="335"/>
      <c r="U115" s="335"/>
      <c r="V115" s="336"/>
      <c r="W115" s="339"/>
      <c r="X115" s="348"/>
      <c r="Y115" s="339"/>
      <c r="Z115" s="370"/>
      <c r="AA115" s="335"/>
      <c r="AB115" s="335"/>
      <c r="AC115" s="335"/>
      <c r="AD115" s="338">
        <f t="shared" si="18"/>
        <v>0</v>
      </c>
      <c r="AE115" s="113"/>
    </row>
    <row r="116" spans="1:31" s="57" customFormat="1" ht="15.95" customHeight="1">
      <c r="A116" s="114" t="s">
        <v>112</v>
      </c>
      <c r="B116" s="135" t="s">
        <v>113</v>
      </c>
      <c r="C116" s="454"/>
      <c r="D116" s="335"/>
      <c r="E116" s="335"/>
      <c r="F116" s="335"/>
      <c r="G116" s="335"/>
      <c r="H116" s="335"/>
      <c r="I116" s="335"/>
      <c r="J116" s="335"/>
      <c r="K116" s="335"/>
      <c r="L116" s="335"/>
      <c r="M116" s="335"/>
      <c r="N116" s="335"/>
      <c r="O116" s="335"/>
      <c r="P116" s="335"/>
      <c r="Q116" s="335"/>
      <c r="R116" s="335"/>
      <c r="S116" s="335"/>
      <c r="T116" s="335"/>
      <c r="U116" s="335"/>
      <c r="V116" s="336"/>
      <c r="W116" s="339"/>
      <c r="X116" s="348"/>
      <c r="Y116" s="339"/>
      <c r="Z116" s="339"/>
      <c r="AA116" s="347"/>
      <c r="AB116" s="335"/>
      <c r="AC116" s="335"/>
      <c r="AD116" s="338">
        <f t="shared" si="18"/>
        <v>0</v>
      </c>
      <c r="AE116" s="113"/>
    </row>
    <row r="117" spans="1:31" s="57" customFormat="1" ht="15.95" customHeight="1">
      <c r="A117" s="114" t="s">
        <v>114</v>
      </c>
      <c r="B117" s="135" t="s">
        <v>115</v>
      </c>
      <c r="C117" s="454"/>
      <c r="D117" s="335"/>
      <c r="E117" s="335"/>
      <c r="F117" s="335"/>
      <c r="G117" s="335"/>
      <c r="H117" s="335"/>
      <c r="I117" s="335"/>
      <c r="J117" s="335"/>
      <c r="K117" s="335"/>
      <c r="L117" s="335"/>
      <c r="M117" s="335"/>
      <c r="N117" s="335"/>
      <c r="O117" s="335"/>
      <c r="P117" s="335"/>
      <c r="Q117" s="335"/>
      <c r="R117" s="335"/>
      <c r="S117" s="335"/>
      <c r="T117" s="335"/>
      <c r="U117" s="335"/>
      <c r="V117" s="335"/>
      <c r="W117" s="343"/>
      <c r="X117" s="344"/>
      <c r="Y117" s="343"/>
      <c r="Z117" s="343"/>
      <c r="AA117" s="335"/>
      <c r="AB117" s="335"/>
      <c r="AC117" s="335"/>
      <c r="AD117" s="338">
        <f t="shared" si="18"/>
        <v>0</v>
      </c>
      <c r="AE117" s="113"/>
    </row>
    <row r="118" spans="1:31" s="57" customFormat="1" ht="15.95" customHeight="1">
      <c r="A118" s="114" t="s">
        <v>116</v>
      </c>
      <c r="B118" s="135" t="s">
        <v>117</v>
      </c>
      <c r="C118" s="454"/>
      <c r="D118" s="335"/>
      <c r="E118" s="335"/>
      <c r="F118" s="335"/>
      <c r="G118" s="335"/>
      <c r="H118" s="335"/>
      <c r="I118" s="335"/>
      <c r="J118" s="335"/>
      <c r="K118" s="335"/>
      <c r="L118" s="335"/>
      <c r="M118" s="335"/>
      <c r="N118" s="335"/>
      <c r="O118" s="335"/>
      <c r="P118" s="335"/>
      <c r="Q118" s="335"/>
      <c r="R118" s="335"/>
      <c r="S118" s="335"/>
      <c r="T118" s="335"/>
      <c r="U118" s="335"/>
      <c r="V118" s="336"/>
      <c r="W118" s="339"/>
      <c r="X118" s="339"/>
      <c r="Y118" s="339"/>
      <c r="Z118" s="339"/>
      <c r="AA118" s="347"/>
      <c r="AB118" s="335"/>
      <c r="AC118" s="335"/>
      <c r="AD118" s="338">
        <f t="shared" si="18"/>
        <v>0</v>
      </c>
      <c r="AE118" s="113"/>
    </row>
    <row r="119" spans="1:31" s="57" customFormat="1" ht="15.95" customHeight="1">
      <c r="A119" s="114" t="s">
        <v>118</v>
      </c>
      <c r="B119" s="135" t="s">
        <v>119</v>
      </c>
      <c r="C119" s="454"/>
      <c r="D119" s="335"/>
      <c r="E119" s="335"/>
      <c r="F119" s="335"/>
      <c r="G119" s="335"/>
      <c r="H119" s="335"/>
      <c r="I119" s="335"/>
      <c r="J119" s="335"/>
      <c r="K119" s="335"/>
      <c r="L119" s="335"/>
      <c r="M119" s="335"/>
      <c r="N119" s="335"/>
      <c r="O119" s="335"/>
      <c r="P119" s="335"/>
      <c r="Q119" s="335"/>
      <c r="R119" s="335"/>
      <c r="S119" s="335"/>
      <c r="T119" s="335"/>
      <c r="U119" s="335"/>
      <c r="V119" s="336"/>
      <c r="W119" s="339"/>
      <c r="X119" s="339"/>
      <c r="Y119" s="339"/>
      <c r="Z119" s="371"/>
      <c r="AA119" s="335"/>
      <c r="AB119" s="335"/>
      <c r="AC119" s="335"/>
      <c r="AD119" s="338">
        <f t="shared" si="18"/>
        <v>0</v>
      </c>
      <c r="AE119" s="113"/>
    </row>
    <row r="120" spans="1:31" s="57" customFormat="1" ht="15.95" customHeight="1">
      <c r="A120" s="114" t="s">
        <v>120</v>
      </c>
      <c r="B120" s="135" t="s">
        <v>121</v>
      </c>
      <c r="C120" s="454"/>
      <c r="D120" s="335"/>
      <c r="E120" s="335"/>
      <c r="F120" s="335"/>
      <c r="G120" s="335"/>
      <c r="H120" s="335"/>
      <c r="I120" s="335"/>
      <c r="J120" s="335"/>
      <c r="K120" s="335"/>
      <c r="L120" s="335"/>
      <c r="M120" s="335"/>
      <c r="N120" s="335"/>
      <c r="O120" s="335"/>
      <c r="P120" s="335"/>
      <c r="Q120" s="335"/>
      <c r="R120" s="335"/>
      <c r="S120" s="335"/>
      <c r="T120" s="335"/>
      <c r="U120" s="335"/>
      <c r="V120" s="369"/>
      <c r="W120" s="339"/>
      <c r="X120" s="366"/>
      <c r="Y120" s="339">
        <f>(134500000+687982.63)/1000</f>
        <v>135187.98262999998</v>
      </c>
      <c r="Z120" s="347"/>
      <c r="AA120" s="335"/>
      <c r="AB120" s="335"/>
      <c r="AC120" s="335"/>
      <c r="AD120" s="338">
        <f t="shared" si="18"/>
        <v>135187.98262999998</v>
      </c>
      <c r="AE120" s="113"/>
    </row>
    <row r="121" spans="1:31" s="57" customFormat="1" ht="15.95" customHeight="1">
      <c r="A121" s="114" t="s">
        <v>122</v>
      </c>
      <c r="B121" s="135" t="s">
        <v>123</v>
      </c>
      <c r="C121" s="454"/>
      <c r="D121" s="335"/>
      <c r="E121" s="335"/>
      <c r="F121" s="344"/>
      <c r="G121" s="344"/>
      <c r="H121" s="344"/>
      <c r="I121" s="344"/>
      <c r="J121" s="344"/>
      <c r="K121" s="344"/>
      <c r="L121" s="344"/>
      <c r="M121" s="335"/>
      <c r="N121" s="344"/>
      <c r="O121" s="344"/>
      <c r="P121" s="344"/>
      <c r="Q121" s="344"/>
      <c r="R121" s="335"/>
      <c r="S121" s="344"/>
      <c r="T121" s="335"/>
      <c r="U121" s="336"/>
      <c r="V121" s="339">
        <f>484748.72/1000</f>
        <v>484.74871999999999</v>
      </c>
      <c r="W121" s="339"/>
      <c r="X121" s="347"/>
      <c r="Y121" s="346"/>
      <c r="Z121" s="335"/>
      <c r="AA121" s="335"/>
      <c r="AB121" s="344"/>
      <c r="AC121" s="344"/>
      <c r="AD121" s="338">
        <f t="shared" si="18"/>
        <v>484.74871999999999</v>
      </c>
      <c r="AE121" s="113"/>
    </row>
    <row r="122" spans="1:31" s="57" customFormat="1" ht="15.95" customHeight="1">
      <c r="A122" s="114" t="s">
        <v>124</v>
      </c>
      <c r="B122" s="135" t="s">
        <v>125</v>
      </c>
      <c r="C122" s="454"/>
      <c r="D122" s="335"/>
      <c r="E122" s="336"/>
      <c r="F122" s="339"/>
      <c r="G122" s="339"/>
      <c r="H122" s="339"/>
      <c r="I122" s="339"/>
      <c r="J122" s="339"/>
      <c r="K122" s="339"/>
      <c r="L122" s="339"/>
      <c r="M122" s="348"/>
      <c r="N122" s="339"/>
      <c r="O122" s="339"/>
      <c r="P122" s="339"/>
      <c r="Q122" s="339"/>
      <c r="R122" s="348"/>
      <c r="S122" s="339"/>
      <c r="T122" s="347"/>
      <c r="U122" s="335"/>
      <c r="V122" s="344"/>
      <c r="W122" s="344"/>
      <c r="X122" s="344"/>
      <c r="Y122" s="344"/>
      <c r="Z122" s="344"/>
      <c r="AA122" s="336"/>
      <c r="AB122" s="339"/>
      <c r="AC122" s="337"/>
      <c r="AD122" s="338">
        <f t="shared" si="18"/>
        <v>0</v>
      </c>
      <c r="AE122" s="113"/>
    </row>
    <row r="123" spans="1:31" s="46" customFormat="1" ht="15.95" customHeight="1">
      <c r="A123" s="513" t="s">
        <v>126</v>
      </c>
      <c r="B123" s="514"/>
      <c r="C123" s="454">
        <f>SUM(C105:C122)</f>
        <v>0</v>
      </c>
      <c r="D123" s="335">
        <f t="shared" ref="D123:AC123" si="19">SUM(D105:D122)</f>
        <v>0</v>
      </c>
      <c r="E123" s="336">
        <f t="shared" si="19"/>
        <v>0</v>
      </c>
      <c r="F123" s="339">
        <f t="shared" si="19"/>
        <v>497.34377000000001</v>
      </c>
      <c r="G123" s="339">
        <f t="shared" si="19"/>
        <v>12.051399999999999</v>
      </c>
      <c r="H123" s="339">
        <f t="shared" si="19"/>
        <v>49469.001710000004</v>
      </c>
      <c r="I123" s="339">
        <f t="shared" si="19"/>
        <v>1204.5694999999998</v>
      </c>
      <c r="J123" s="339">
        <f t="shared" si="19"/>
        <v>2014.8654200000001</v>
      </c>
      <c r="K123" s="339">
        <f t="shared" si="19"/>
        <v>-7.4785000000000004</v>
      </c>
      <c r="L123" s="339">
        <f t="shared" si="19"/>
        <v>9.101799999999999</v>
      </c>
      <c r="M123" s="348">
        <f t="shared" si="19"/>
        <v>0</v>
      </c>
      <c r="N123" s="339">
        <f t="shared" si="19"/>
        <v>0</v>
      </c>
      <c r="O123" s="339">
        <f t="shared" si="19"/>
        <v>0</v>
      </c>
      <c r="P123" s="339">
        <f t="shared" si="19"/>
        <v>0</v>
      </c>
      <c r="Q123" s="339">
        <f t="shared" si="19"/>
        <v>0</v>
      </c>
      <c r="R123" s="348">
        <f t="shared" si="19"/>
        <v>0</v>
      </c>
      <c r="S123" s="339">
        <f t="shared" si="19"/>
        <v>24492.844450000001</v>
      </c>
      <c r="T123" s="347">
        <f t="shared" si="19"/>
        <v>0</v>
      </c>
      <c r="U123" s="336">
        <f t="shared" si="19"/>
        <v>0</v>
      </c>
      <c r="V123" s="339">
        <f t="shared" si="19"/>
        <v>484.74871999999999</v>
      </c>
      <c r="W123" s="339">
        <f t="shared" si="19"/>
        <v>0</v>
      </c>
      <c r="X123" s="339">
        <f t="shared" si="19"/>
        <v>0</v>
      </c>
      <c r="Y123" s="339">
        <f t="shared" si="19"/>
        <v>135187.98262999998</v>
      </c>
      <c r="Z123" s="339">
        <f t="shared" si="19"/>
        <v>1</v>
      </c>
      <c r="AA123" s="348">
        <f t="shared" si="19"/>
        <v>0</v>
      </c>
      <c r="AB123" s="339">
        <f t="shared" si="19"/>
        <v>3105.5165299999999</v>
      </c>
      <c r="AC123" s="337">
        <f t="shared" si="19"/>
        <v>0</v>
      </c>
      <c r="AD123" s="338">
        <f t="shared" si="18"/>
        <v>216471.54743000001</v>
      </c>
      <c r="AE123" s="101"/>
    </row>
    <row r="124" spans="1:31" s="46" customFormat="1" ht="8.4499999999999993" customHeight="1">
      <c r="A124" s="103"/>
      <c r="B124" s="48"/>
      <c r="C124" s="344"/>
      <c r="D124" s="344"/>
      <c r="E124" s="344"/>
      <c r="F124" s="343"/>
      <c r="G124" s="343"/>
      <c r="H124" s="343"/>
      <c r="I124" s="343"/>
      <c r="J124" s="343"/>
      <c r="K124" s="343"/>
      <c r="L124" s="343"/>
      <c r="M124" s="344"/>
      <c r="N124" s="343"/>
      <c r="O124" s="343"/>
      <c r="P124" s="343"/>
      <c r="Q124" s="343"/>
      <c r="R124" s="344"/>
      <c r="S124" s="343"/>
      <c r="T124" s="344"/>
      <c r="U124" s="344"/>
      <c r="V124" s="344"/>
      <c r="W124" s="344"/>
      <c r="X124" s="344"/>
      <c r="Y124" s="344"/>
      <c r="Z124" s="343"/>
      <c r="AA124" s="344"/>
      <c r="AB124" s="343"/>
      <c r="AC124" s="343"/>
      <c r="AD124" s="345"/>
      <c r="AE124" s="101"/>
    </row>
    <row r="125" spans="1:31" s="46" customFormat="1" ht="15.95" customHeight="1">
      <c r="A125" s="91" t="s">
        <v>127</v>
      </c>
      <c r="B125" s="131"/>
      <c r="C125" s="346"/>
      <c r="D125" s="346"/>
      <c r="E125" s="346"/>
      <c r="F125" s="346"/>
      <c r="G125" s="346"/>
      <c r="H125" s="346"/>
      <c r="I125" s="346"/>
      <c r="J125" s="346"/>
      <c r="K125" s="346"/>
      <c r="L125" s="346"/>
      <c r="M125" s="346"/>
      <c r="N125" s="346"/>
      <c r="O125" s="346"/>
      <c r="P125" s="346"/>
      <c r="Q125" s="346"/>
      <c r="R125" s="346"/>
      <c r="S125" s="346"/>
      <c r="T125" s="346"/>
      <c r="U125" s="346"/>
      <c r="V125" s="346"/>
      <c r="W125" s="346"/>
      <c r="X125" s="346"/>
      <c r="Y125" s="346"/>
      <c r="Z125" s="346"/>
      <c r="AA125" s="346"/>
      <c r="AB125" s="346"/>
      <c r="AC125" s="346"/>
      <c r="AD125" s="345"/>
      <c r="AE125" s="101"/>
    </row>
    <row r="126" spans="1:31" s="57" customFormat="1" ht="15.95" customHeight="1">
      <c r="A126" s="114" t="s">
        <v>128</v>
      </c>
      <c r="B126" s="135" t="s">
        <v>129</v>
      </c>
      <c r="C126" s="454"/>
      <c r="D126" s="335"/>
      <c r="E126" s="335"/>
      <c r="F126" s="344"/>
      <c r="G126" s="344"/>
      <c r="H126" s="344"/>
      <c r="I126" s="344"/>
      <c r="J126" s="344"/>
      <c r="K126" s="344"/>
      <c r="L126" s="344"/>
      <c r="M126" s="335"/>
      <c r="N126" s="344"/>
      <c r="O126" s="344"/>
      <c r="P126" s="344"/>
      <c r="Q126" s="344"/>
      <c r="R126" s="335"/>
      <c r="S126" s="344"/>
      <c r="T126" s="335"/>
      <c r="U126" s="335"/>
      <c r="V126" s="335"/>
      <c r="W126" s="335"/>
      <c r="X126" s="335"/>
      <c r="Y126" s="335"/>
      <c r="Z126" s="335"/>
      <c r="AA126" s="335"/>
      <c r="AB126" s="344"/>
      <c r="AC126" s="344"/>
      <c r="AD126" s="338">
        <f t="shared" ref="AD126:AD138" si="20">SUM(C126:AC126)</f>
        <v>0</v>
      </c>
      <c r="AE126" s="113"/>
    </row>
    <row r="127" spans="1:31" s="57" customFormat="1" ht="15.95" customHeight="1">
      <c r="A127" s="114" t="s">
        <v>130</v>
      </c>
      <c r="B127" s="135" t="s">
        <v>131</v>
      </c>
      <c r="C127" s="454"/>
      <c r="D127" s="335"/>
      <c r="E127" s="336"/>
      <c r="F127" s="339"/>
      <c r="G127" s="339"/>
      <c r="H127" s="339"/>
      <c r="I127" s="339"/>
      <c r="J127" s="339"/>
      <c r="K127" s="339"/>
      <c r="L127" s="339"/>
      <c r="M127" s="348"/>
      <c r="N127" s="339"/>
      <c r="O127" s="339"/>
      <c r="P127" s="339"/>
      <c r="Q127" s="339"/>
      <c r="R127" s="348"/>
      <c r="S127" s="339"/>
      <c r="T127" s="347"/>
      <c r="U127" s="335"/>
      <c r="V127" s="335"/>
      <c r="W127" s="335"/>
      <c r="X127" s="335"/>
      <c r="Y127" s="335"/>
      <c r="Z127" s="335"/>
      <c r="AA127" s="336"/>
      <c r="AB127" s="339"/>
      <c r="AC127" s="337"/>
      <c r="AD127" s="338">
        <f t="shared" si="20"/>
        <v>0</v>
      </c>
      <c r="AE127" s="113"/>
    </row>
    <row r="128" spans="1:31" s="57" customFormat="1" ht="15.95" customHeight="1">
      <c r="A128" s="114" t="s">
        <v>132</v>
      </c>
      <c r="B128" s="135" t="s">
        <v>133</v>
      </c>
      <c r="C128" s="454"/>
      <c r="D128" s="335"/>
      <c r="E128" s="336"/>
      <c r="F128" s="339"/>
      <c r="G128" s="339"/>
      <c r="H128" s="339"/>
      <c r="I128" s="339"/>
      <c r="J128" s="339">
        <f>33.6/1000</f>
        <v>3.3600000000000005E-2</v>
      </c>
      <c r="K128" s="339"/>
      <c r="L128" s="339"/>
      <c r="M128" s="348"/>
      <c r="N128" s="339"/>
      <c r="O128" s="339"/>
      <c r="P128" s="339"/>
      <c r="Q128" s="339"/>
      <c r="R128" s="348"/>
      <c r="S128" s="339">
        <f>3866990.29/1000</f>
        <v>3866.9902900000002</v>
      </c>
      <c r="T128" s="347"/>
      <c r="U128" s="335"/>
      <c r="V128" s="335"/>
      <c r="W128" s="335"/>
      <c r="X128" s="335"/>
      <c r="Y128" s="335"/>
      <c r="Z128" s="335"/>
      <c r="AA128" s="336"/>
      <c r="AB128" s="339"/>
      <c r="AC128" s="337"/>
      <c r="AD128" s="338">
        <f t="shared" si="20"/>
        <v>3867.0238900000004</v>
      </c>
      <c r="AE128" s="113"/>
    </row>
    <row r="129" spans="1:31" s="57" customFormat="1" ht="15.95" customHeight="1">
      <c r="A129" s="114" t="s">
        <v>134</v>
      </c>
      <c r="B129" s="135" t="s">
        <v>135</v>
      </c>
      <c r="C129" s="454"/>
      <c r="D129" s="335"/>
      <c r="E129" s="336"/>
      <c r="F129" s="339"/>
      <c r="G129" s="339"/>
      <c r="H129" s="339"/>
      <c r="I129" s="339"/>
      <c r="J129" s="339"/>
      <c r="K129" s="339"/>
      <c r="L129" s="339"/>
      <c r="M129" s="348"/>
      <c r="N129" s="339"/>
      <c r="O129" s="339"/>
      <c r="P129" s="339"/>
      <c r="Q129" s="339"/>
      <c r="R129" s="348"/>
      <c r="S129" s="339"/>
      <c r="T129" s="347"/>
      <c r="U129" s="335"/>
      <c r="V129" s="335"/>
      <c r="W129" s="335"/>
      <c r="X129" s="335"/>
      <c r="Y129" s="335"/>
      <c r="Z129" s="335"/>
      <c r="AA129" s="336"/>
      <c r="AB129" s="339"/>
      <c r="AC129" s="337"/>
      <c r="AD129" s="338">
        <f t="shared" si="20"/>
        <v>0</v>
      </c>
      <c r="AE129" s="113"/>
    </row>
    <row r="130" spans="1:31" s="57" customFormat="1" ht="15.95" customHeight="1">
      <c r="A130" s="114" t="s">
        <v>136</v>
      </c>
      <c r="B130" s="135" t="s">
        <v>137</v>
      </c>
      <c r="C130" s="454"/>
      <c r="D130" s="335"/>
      <c r="E130" s="336"/>
      <c r="F130" s="339"/>
      <c r="G130" s="339"/>
      <c r="H130" s="339"/>
      <c r="I130" s="339"/>
      <c r="J130" s="339"/>
      <c r="K130" s="339"/>
      <c r="L130" s="339"/>
      <c r="M130" s="348"/>
      <c r="N130" s="339"/>
      <c r="O130" s="339"/>
      <c r="P130" s="339"/>
      <c r="Q130" s="339"/>
      <c r="R130" s="348"/>
      <c r="S130" s="339"/>
      <c r="T130" s="347"/>
      <c r="U130" s="335"/>
      <c r="V130" s="335"/>
      <c r="W130" s="344"/>
      <c r="X130" s="335"/>
      <c r="Y130" s="335"/>
      <c r="Z130" s="335"/>
      <c r="AA130" s="369"/>
      <c r="AB130" s="339"/>
      <c r="AC130" s="337"/>
      <c r="AD130" s="338">
        <f t="shared" si="20"/>
        <v>0</v>
      </c>
      <c r="AE130" s="113"/>
    </row>
    <row r="131" spans="1:31" s="57" customFormat="1" ht="15.95" customHeight="1">
      <c r="A131" s="114" t="s">
        <v>138</v>
      </c>
      <c r="B131" s="135" t="s">
        <v>139</v>
      </c>
      <c r="C131" s="454"/>
      <c r="D131" s="335"/>
      <c r="E131" s="335"/>
      <c r="F131" s="346"/>
      <c r="G131" s="346"/>
      <c r="H131" s="346"/>
      <c r="I131" s="346"/>
      <c r="J131" s="346"/>
      <c r="K131" s="346"/>
      <c r="L131" s="346"/>
      <c r="M131" s="335"/>
      <c r="N131" s="346"/>
      <c r="O131" s="346"/>
      <c r="P131" s="346"/>
      <c r="Q131" s="346"/>
      <c r="R131" s="335"/>
      <c r="S131" s="346"/>
      <c r="T131" s="344"/>
      <c r="U131" s="335"/>
      <c r="V131" s="336"/>
      <c r="W131" s="339"/>
      <c r="X131" s="372"/>
      <c r="Y131" s="335"/>
      <c r="Z131" s="336"/>
      <c r="AA131" s="339">
        <f>37908944.87/1000</f>
        <v>37908.944869999999</v>
      </c>
      <c r="AB131" s="371"/>
      <c r="AC131" s="346"/>
      <c r="AD131" s="338">
        <f t="shared" si="20"/>
        <v>37908.944869999999</v>
      </c>
      <c r="AE131" s="113"/>
    </row>
    <row r="132" spans="1:31" s="46" customFormat="1" ht="15.95" customHeight="1">
      <c r="A132" s="114" t="s">
        <v>140</v>
      </c>
      <c r="B132" s="135" t="s">
        <v>141</v>
      </c>
      <c r="C132" s="454"/>
      <c r="D132" s="335"/>
      <c r="E132" s="335"/>
      <c r="F132" s="335"/>
      <c r="G132" s="335"/>
      <c r="H132" s="335"/>
      <c r="I132" s="335"/>
      <c r="J132" s="335"/>
      <c r="K132" s="335"/>
      <c r="L132" s="335"/>
      <c r="M132" s="335"/>
      <c r="N132" s="335"/>
      <c r="O132" s="335"/>
      <c r="P132" s="335"/>
      <c r="Q132" s="335"/>
      <c r="R132" s="335"/>
      <c r="S132" s="336"/>
      <c r="T132" s="339">
        <f>(164300000+16013491.25)/1000</f>
        <v>180313.49124999999</v>
      </c>
      <c r="U132" s="347"/>
      <c r="V132" s="336"/>
      <c r="W132" s="339"/>
      <c r="X132" s="339"/>
      <c r="Y132" s="347"/>
      <c r="Z132" s="335"/>
      <c r="AA132" s="346"/>
      <c r="AB132" s="335"/>
      <c r="AC132" s="335"/>
      <c r="AD132" s="338">
        <f t="shared" si="20"/>
        <v>180313.49124999999</v>
      </c>
      <c r="AE132" s="101"/>
    </row>
    <row r="133" spans="1:31" s="46" customFormat="1" ht="15.95" customHeight="1">
      <c r="A133" s="114" t="s">
        <v>142</v>
      </c>
      <c r="B133" s="135" t="s">
        <v>143</v>
      </c>
      <c r="C133" s="454"/>
      <c r="D133" s="335"/>
      <c r="E133" s="335"/>
      <c r="F133" s="335"/>
      <c r="G133" s="335"/>
      <c r="H133" s="335"/>
      <c r="I133" s="335"/>
      <c r="J133" s="335"/>
      <c r="K133" s="335"/>
      <c r="L133" s="335"/>
      <c r="M133" s="335"/>
      <c r="N133" s="335"/>
      <c r="O133" s="335"/>
      <c r="P133" s="335"/>
      <c r="Q133" s="335"/>
      <c r="R133" s="335"/>
      <c r="S133" s="335"/>
      <c r="T133" s="339"/>
      <c r="U133" s="335"/>
      <c r="V133" s="336"/>
      <c r="W133" s="339"/>
      <c r="X133" s="339"/>
      <c r="Y133" s="347"/>
      <c r="Z133" s="335"/>
      <c r="AA133" s="344"/>
      <c r="AB133" s="335"/>
      <c r="AC133" s="335"/>
      <c r="AD133" s="338">
        <f t="shared" si="20"/>
        <v>0</v>
      </c>
      <c r="AE133" s="101"/>
    </row>
    <row r="134" spans="1:31" s="46" customFormat="1" ht="15.95" customHeight="1">
      <c r="A134" s="114" t="s">
        <v>144</v>
      </c>
      <c r="B134" s="135" t="s">
        <v>145</v>
      </c>
      <c r="C134" s="454"/>
      <c r="D134" s="335"/>
      <c r="E134" s="335"/>
      <c r="F134" s="335"/>
      <c r="G134" s="335"/>
      <c r="H134" s="335"/>
      <c r="I134" s="335"/>
      <c r="J134" s="335"/>
      <c r="K134" s="335"/>
      <c r="L134" s="335"/>
      <c r="M134" s="335"/>
      <c r="N134" s="335"/>
      <c r="O134" s="335"/>
      <c r="P134" s="335"/>
      <c r="Q134" s="335"/>
      <c r="R134" s="335"/>
      <c r="S134" s="335"/>
      <c r="T134" s="335"/>
      <c r="U134" s="344"/>
      <c r="V134" s="336"/>
      <c r="W134" s="339"/>
      <c r="X134" s="371"/>
      <c r="Y134" s="335"/>
      <c r="Z134" s="336"/>
      <c r="AA134" s="339">
        <f>332195.2/1000</f>
        <v>332.1952</v>
      </c>
      <c r="AB134" s="347"/>
      <c r="AC134" s="335"/>
      <c r="AD134" s="338">
        <f t="shared" si="20"/>
        <v>332.1952</v>
      </c>
      <c r="AE134" s="101"/>
    </row>
    <row r="135" spans="1:31" s="46" customFormat="1" ht="15.95" customHeight="1">
      <c r="A135" s="114" t="s">
        <v>146</v>
      </c>
      <c r="B135" s="135" t="s">
        <v>147</v>
      </c>
      <c r="C135" s="454"/>
      <c r="D135" s="335"/>
      <c r="E135" s="335"/>
      <c r="F135" s="335"/>
      <c r="G135" s="335"/>
      <c r="H135" s="335"/>
      <c r="I135" s="335"/>
      <c r="J135" s="335"/>
      <c r="K135" s="335"/>
      <c r="L135" s="335"/>
      <c r="M135" s="335"/>
      <c r="N135" s="335"/>
      <c r="O135" s="335"/>
      <c r="P135" s="335"/>
      <c r="Q135" s="335"/>
      <c r="R135" s="335"/>
      <c r="S135" s="335"/>
      <c r="T135" s="369"/>
      <c r="U135" s="334"/>
      <c r="V135" s="348"/>
      <c r="W135" s="339"/>
      <c r="X135" s="347"/>
      <c r="Y135" s="335"/>
      <c r="Z135" s="335"/>
      <c r="AA135" s="346"/>
      <c r="AB135" s="335"/>
      <c r="AC135" s="335"/>
      <c r="AD135" s="338">
        <f t="shared" si="20"/>
        <v>0</v>
      </c>
      <c r="AE135" s="101"/>
    </row>
    <row r="136" spans="1:31" s="46" customFormat="1" ht="15.95" customHeight="1">
      <c r="A136" s="114" t="s">
        <v>148</v>
      </c>
      <c r="B136" s="140" t="s">
        <v>533</v>
      </c>
      <c r="C136" s="454"/>
      <c r="D136" s="335"/>
      <c r="E136" s="335"/>
      <c r="F136" s="335"/>
      <c r="G136" s="335"/>
      <c r="H136" s="335"/>
      <c r="I136" s="335"/>
      <c r="J136" s="335"/>
      <c r="K136" s="335"/>
      <c r="L136" s="335"/>
      <c r="M136" s="335"/>
      <c r="N136" s="335"/>
      <c r="O136" s="335"/>
      <c r="P136" s="335"/>
      <c r="Q136" s="335"/>
      <c r="R136" s="335"/>
      <c r="S136" s="336"/>
      <c r="T136" s="334">
        <f>44780703.41/1000</f>
        <v>44780.703409999995</v>
      </c>
      <c r="U136" s="371"/>
      <c r="V136" s="336"/>
      <c r="W136" s="339"/>
      <c r="X136" s="347"/>
      <c r="Y136" s="335"/>
      <c r="Z136" s="335"/>
      <c r="AA136" s="344"/>
      <c r="AB136" s="335"/>
      <c r="AC136" s="335"/>
      <c r="AD136" s="338">
        <f t="shared" si="20"/>
        <v>44780.703409999995</v>
      </c>
      <c r="AE136" s="101"/>
    </row>
    <row r="137" spans="1:31" s="46" customFormat="1" ht="15.95" customHeight="1">
      <c r="A137" s="114" t="s">
        <v>149</v>
      </c>
      <c r="B137" s="140" t="s">
        <v>150</v>
      </c>
      <c r="C137" s="454"/>
      <c r="D137" s="335"/>
      <c r="E137" s="335"/>
      <c r="F137" s="344"/>
      <c r="G137" s="344"/>
      <c r="H137" s="344"/>
      <c r="I137" s="344"/>
      <c r="J137" s="344"/>
      <c r="K137" s="344"/>
      <c r="L137" s="344"/>
      <c r="M137" s="335"/>
      <c r="N137" s="344"/>
      <c r="O137" s="344"/>
      <c r="P137" s="344"/>
      <c r="Q137" s="344"/>
      <c r="R137" s="335"/>
      <c r="S137" s="344"/>
      <c r="T137" s="343"/>
      <c r="U137" s="344"/>
      <c r="V137" s="336"/>
      <c r="W137" s="339"/>
      <c r="X137" s="372"/>
      <c r="Y137" s="335"/>
      <c r="Z137" s="336"/>
      <c r="AA137" s="340"/>
      <c r="AB137" s="347"/>
      <c r="AC137" s="335"/>
      <c r="AD137" s="338">
        <f t="shared" si="20"/>
        <v>0</v>
      </c>
      <c r="AE137" s="101"/>
    </row>
    <row r="138" spans="1:31" s="46" customFormat="1" ht="15.95" customHeight="1">
      <c r="A138" s="513" t="s">
        <v>151</v>
      </c>
      <c r="B138" s="514"/>
      <c r="C138" s="454">
        <f>SUM(C125:C137)</f>
        <v>0</v>
      </c>
      <c r="D138" s="335">
        <f t="shared" ref="D138:AA138" si="21">SUM(D126:D137)</f>
        <v>0</v>
      </c>
      <c r="E138" s="336">
        <f t="shared" si="21"/>
        <v>0</v>
      </c>
      <c r="F138" s="339">
        <f t="shared" si="21"/>
        <v>0</v>
      </c>
      <c r="G138" s="339">
        <f t="shared" si="21"/>
        <v>0</v>
      </c>
      <c r="H138" s="339">
        <f t="shared" si="21"/>
        <v>0</v>
      </c>
      <c r="I138" s="339">
        <f t="shared" si="21"/>
        <v>0</v>
      </c>
      <c r="J138" s="339">
        <f t="shared" si="21"/>
        <v>3.3600000000000005E-2</v>
      </c>
      <c r="K138" s="339">
        <f t="shared" si="21"/>
        <v>0</v>
      </c>
      <c r="L138" s="339">
        <f t="shared" si="21"/>
        <v>0</v>
      </c>
      <c r="M138" s="348">
        <f t="shared" si="21"/>
        <v>0</v>
      </c>
      <c r="N138" s="339">
        <f t="shared" si="21"/>
        <v>0</v>
      </c>
      <c r="O138" s="339">
        <f t="shared" si="21"/>
        <v>0</v>
      </c>
      <c r="P138" s="339">
        <f t="shared" si="21"/>
        <v>0</v>
      </c>
      <c r="Q138" s="339">
        <f t="shared" si="21"/>
        <v>0</v>
      </c>
      <c r="R138" s="348">
        <f t="shared" si="21"/>
        <v>0</v>
      </c>
      <c r="S138" s="339">
        <f t="shared" si="21"/>
        <v>3866.9902900000002</v>
      </c>
      <c r="T138" s="339">
        <f t="shared" si="21"/>
        <v>225094.19465999998</v>
      </c>
      <c r="U138" s="339">
        <f t="shared" si="21"/>
        <v>0</v>
      </c>
      <c r="V138" s="348">
        <f t="shared" si="21"/>
        <v>0</v>
      </c>
      <c r="W138" s="339">
        <f t="shared" si="21"/>
        <v>0</v>
      </c>
      <c r="X138" s="339">
        <f t="shared" si="21"/>
        <v>0</v>
      </c>
      <c r="Y138" s="347">
        <f t="shared" si="21"/>
        <v>0</v>
      </c>
      <c r="Z138" s="336">
        <f t="shared" si="21"/>
        <v>0</v>
      </c>
      <c r="AA138" s="339">
        <f t="shared" si="21"/>
        <v>38241.140070000001</v>
      </c>
      <c r="AB138" s="339">
        <f>SUM(AB126:AB137)</f>
        <v>0</v>
      </c>
      <c r="AC138" s="339">
        <f>SUM(AC126:AC137)</f>
        <v>0</v>
      </c>
      <c r="AD138" s="338">
        <f t="shared" si="20"/>
        <v>267202.35862000001</v>
      </c>
      <c r="AE138" s="101"/>
    </row>
    <row r="139" spans="1:31" s="46" customFormat="1" ht="8.25" customHeight="1">
      <c r="A139" s="517"/>
      <c r="B139" s="518"/>
      <c r="C139" s="344"/>
      <c r="D139" s="344"/>
      <c r="E139" s="344"/>
      <c r="F139" s="343"/>
      <c r="G139" s="343"/>
      <c r="H139" s="343"/>
      <c r="I139" s="343"/>
      <c r="J139" s="343"/>
      <c r="K139" s="343"/>
      <c r="L139" s="343"/>
      <c r="M139" s="344"/>
      <c r="N139" s="343"/>
      <c r="O139" s="343"/>
      <c r="P139" s="343"/>
      <c r="Q139" s="343"/>
      <c r="R139" s="344"/>
      <c r="S139" s="343"/>
      <c r="T139" s="343"/>
      <c r="U139" s="343"/>
      <c r="V139" s="344"/>
      <c r="W139" s="343"/>
      <c r="X139" s="343"/>
      <c r="Y139" s="344"/>
      <c r="Z139" s="344"/>
      <c r="AA139" s="343"/>
      <c r="AB139" s="344"/>
      <c r="AC139" s="344"/>
      <c r="AD139" s="345"/>
      <c r="AE139" s="101"/>
    </row>
    <row r="140" spans="1:31" s="46" customFormat="1" ht="15.95" customHeight="1">
      <c r="A140" s="91" t="s">
        <v>152</v>
      </c>
      <c r="B140" s="131"/>
      <c r="C140" s="346"/>
      <c r="D140" s="343"/>
      <c r="E140" s="343"/>
      <c r="F140" s="343"/>
      <c r="G140" s="343"/>
      <c r="H140" s="343"/>
      <c r="I140" s="343"/>
      <c r="J140" s="343"/>
      <c r="K140" s="343"/>
      <c r="L140" s="343"/>
      <c r="M140" s="343"/>
      <c r="N140" s="343"/>
      <c r="O140" s="343"/>
      <c r="P140" s="343"/>
      <c r="Q140" s="343"/>
      <c r="R140" s="346"/>
      <c r="S140" s="343"/>
      <c r="T140" s="346"/>
      <c r="U140" s="346"/>
      <c r="V140" s="346"/>
      <c r="W140" s="346"/>
      <c r="X140" s="346"/>
      <c r="Y140" s="346"/>
      <c r="Z140" s="346"/>
      <c r="AA140" s="346"/>
      <c r="AB140" s="343"/>
      <c r="AC140" s="343"/>
      <c r="AD140" s="358"/>
      <c r="AE140" s="101"/>
    </row>
    <row r="141" spans="1:31" s="46" customFormat="1" ht="15.95" customHeight="1">
      <c r="A141" s="114" t="s">
        <v>153</v>
      </c>
      <c r="B141" s="135" t="s">
        <v>154</v>
      </c>
      <c r="C141" s="453"/>
      <c r="D141" s="373"/>
      <c r="E141" s="334"/>
      <c r="F141" s="334"/>
      <c r="G141" s="334"/>
      <c r="H141" s="334"/>
      <c r="I141" s="334"/>
      <c r="J141" s="334"/>
      <c r="K141" s="334"/>
      <c r="L141" s="334"/>
      <c r="M141" s="334"/>
      <c r="N141" s="334"/>
      <c r="O141" s="334"/>
      <c r="P141" s="334"/>
      <c r="Q141" s="334"/>
      <c r="R141" s="348"/>
      <c r="S141" s="334">
        <f>25412199.85/1000</f>
        <v>25412.199850000001</v>
      </c>
      <c r="T141" s="347"/>
      <c r="U141" s="335"/>
      <c r="V141" s="335"/>
      <c r="W141" s="335"/>
      <c r="X141" s="335"/>
      <c r="Y141" s="335"/>
      <c r="Z141" s="335"/>
      <c r="AA141" s="336"/>
      <c r="AB141" s="334"/>
      <c r="AC141" s="361"/>
      <c r="AD141" s="338">
        <f t="shared" ref="AD141:AD154" si="22">SUM(C141:AC141)</f>
        <v>25412.199850000001</v>
      </c>
      <c r="AE141" s="101"/>
    </row>
    <row r="142" spans="1:31" s="46" customFormat="1" ht="15.95" customHeight="1">
      <c r="A142" s="114" t="s">
        <v>155</v>
      </c>
      <c r="B142" s="135" t="s">
        <v>156</v>
      </c>
      <c r="C142" s="453"/>
      <c r="D142" s="349"/>
      <c r="E142" s="339"/>
      <c r="F142" s="339"/>
      <c r="G142" s="339"/>
      <c r="H142" s="339"/>
      <c r="I142" s="339"/>
      <c r="J142" s="339"/>
      <c r="K142" s="339"/>
      <c r="L142" s="339"/>
      <c r="M142" s="339"/>
      <c r="N142" s="339"/>
      <c r="O142" s="339"/>
      <c r="P142" s="339"/>
      <c r="Q142" s="339"/>
      <c r="R142" s="348"/>
      <c r="S142" s="339">
        <f>123285695.92/1000</f>
        <v>123285.69592</v>
      </c>
      <c r="T142" s="347"/>
      <c r="U142" s="335"/>
      <c r="V142" s="335"/>
      <c r="W142" s="335"/>
      <c r="X142" s="335"/>
      <c r="Y142" s="335"/>
      <c r="Z142" s="335"/>
      <c r="AA142" s="336"/>
      <c r="AB142" s="339"/>
      <c r="AC142" s="337"/>
      <c r="AD142" s="338">
        <f t="shared" si="22"/>
        <v>123285.69592</v>
      </c>
      <c r="AE142" s="101"/>
    </row>
    <row r="143" spans="1:31" s="46" customFormat="1" ht="15.95" customHeight="1">
      <c r="A143" s="114" t="s">
        <v>157</v>
      </c>
      <c r="B143" s="135" t="s">
        <v>158</v>
      </c>
      <c r="C143" s="453"/>
      <c r="D143" s="349"/>
      <c r="E143" s="339"/>
      <c r="F143" s="339"/>
      <c r="G143" s="339"/>
      <c r="H143" s="339"/>
      <c r="I143" s="339"/>
      <c r="J143" s="339"/>
      <c r="K143" s="339"/>
      <c r="L143" s="339"/>
      <c r="M143" s="339"/>
      <c r="N143" s="339"/>
      <c r="O143" s="339"/>
      <c r="P143" s="339"/>
      <c r="Q143" s="339"/>
      <c r="R143" s="348"/>
      <c r="S143" s="339"/>
      <c r="T143" s="347"/>
      <c r="U143" s="335"/>
      <c r="V143" s="335"/>
      <c r="W143" s="335"/>
      <c r="X143" s="335"/>
      <c r="Y143" s="335"/>
      <c r="Z143" s="335"/>
      <c r="AA143" s="336"/>
      <c r="AB143" s="339"/>
      <c r="AC143" s="337"/>
      <c r="AD143" s="338">
        <f t="shared" si="22"/>
        <v>0</v>
      </c>
      <c r="AE143" s="101"/>
    </row>
    <row r="144" spans="1:31" s="46" customFormat="1" ht="15.95" customHeight="1">
      <c r="A144" s="114" t="s">
        <v>159</v>
      </c>
      <c r="B144" s="135" t="s">
        <v>160</v>
      </c>
      <c r="C144" s="453"/>
      <c r="D144" s="349"/>
      <c r="E144" s="339"/>
      <c r="F144" s="339"/>
      <c r="G144" s="339"/>
      <c r="H144" s="339"/>
      <c r="I144" s="339"/>
      <c r="J144" s="339"/>
      <c r="K144" s="339"/>
      <c r="L144" s="339"/>
      <c r="M144" s="339"/>
      <c r="N144" s="339"/>
      <c r="O144" s="339"/>
      <c r="P144" s="339"/>
      <c r="Q144" s="339"/>
      <c r="R144" s="348"/>
      <c r="S144" s="339">
        <f>5692571.42/1000</f>
        <v>5692.5714200000002</v>
      </c>
      <c r="T144" s="347"/>
      <c r="U144" s="335"/>
      <c r="V144" s="335"/>
      <c r="W144" s="335"/>
      <c r="X144" s="335"/>
      <c r="Y144" s="335"/>
      <c r="Z144" s="335"/>
      <c r="AA144" s="336"/>
      <c r="AB144" s="339"/>
      <c r="AC144" s="337"/>
      <c r="AD144" s="338">
        <f t="shared" si="22"/>
        <v>5692.5714200000002</v>
      </c>
      <c r="AE144" s="101"/>
    </row>
    <row r="145" spans="1:31" s="46" customFormat="1" ht="15.95" customHeight="1">
      <c r="A145" s="114" t="s">
        <v>161</v>
      </c>
      <c r="B145" s="140" t="s">
        <v>162</v>
      </c>
      <c r="C145" s="453"/>
      <c r="D145" s="349"/>
      <c r="E145" s="339"/>
      <c r="F145" s="339"/>
      <c r="G145" s="339"/>
      <c r="H145" s="339"/>
      <c r="I145" s="339"/>
      <c r="J145" s="339">
        <f>4813.34/1000</f>
        <v>4.8133400000000002</v>
      </c>
      <c r="K145" s="339"/>
      <c r="L145" s="339"/>
      <c r="M145" s="339"/>
      <c r="N145" s="339"/>
      <c r="O145" s="339">
        <f>-606/1000</f>
        <v>-0.60599999999999998</v>
      </c>
      <c r="P145" s="339"/>
      <c r="Q145" s="339"/>
      <c r="R145" s="348"/>
      <c r="S145" s="339">
        <f>(388850.66+56529)/1000</f>
        <v>445.37966</v>
      </c>
      <c r="T145" s="347"/>
      <c r="U145" s="335"/>
      <c r="V145" s="335"/>
      <c r="W145" s="335"/>
      <c r="X145" s="335"/>
      <c r="Y145" s="335"/>
      <c r="Z145" s="335"/>
      <c r="AA145" s="336"/>
      <c r="AB145" s="339"/>
      <c r="AC145" s="337"/>
      <c r="AD145" s="338">
        <f t="shared" si="22"/>
        <v>449.58699999999999</v>
      </c>
      <c r="AE145" s="101"/>
    </row>
    <row r="146" spans="1:31" s="46" customFormat="1" ht="15.95" customHeight="1">
      <c r="A146" s="114" t="s">
        <v>163</v>
      </c>
      <c r="B146" s="135" t="s">
        <v>164</v>
      </c>
      <c r="C146" s="335"/>
      <c r="D146" s="346"/>
      <c r="E146" s="346"/>
      <c r="F146" s="346"/>
      <c r="G146" s="346"/>
      <c r="H146" s="346"/>
      <c r="I146" s="346"/>
      <c r="J146" s="346"/>
      <c r="K146" s="346"/>
      <c r="L146" s="346"/>
      <c r="M146" s="346"/>
      <c r="N146" s="346"/>
      <c r="O146" s="346"/>
      <c r="P146" s="346"/>
      <c r="Q146" s="346"/>
      <c r="R146" s="335"/>
      <c r="S146" s="346"/>
      <c r="T146" s="335"/>
      <c r="U146" s="336"/>
      <c r="V146" s="339"/>
      <c r="W146" s="337"/>
      <c r="X146" s="347"/>
      <c r="Y146" s="344"/>
      <c r="Z146" s="335"/>
      <c r="AA146" s="335"/>
      <c r="AB146" s="346"/>
      <c r="AC146" s="346"/>
      <c r="AD146" s="338">
        <f t="shared" si="22"/>
        <v>0</v>
      </c>
      <c r="AE146" s="101"/>
    </row>
    <row r="147" spans="1:31" s="46" customFormat="1" ht="15.95" customHeight="1">
      <c r="A147" s="114" t="s">
        <v>165</v>
      </c>
      <c r="B147" s="135" t="s">
        <v>166</v>
      </c>
      <c r="C147" s="335"/>
      <c r="D147" s="335"/>
      <c r="E147" s="335"/>
      <c r="F147" s="335"/>
      <c r="G147" s="335"/>
      <c r="H147" s="335"/>
      <c r="I147" s="335"/>
      <c r="J147" s="335"/>
      <c r="K147" s="335"/>
      <c r="L147" s="335"/>
      <c r="M147" s="335"/>
      <c r="N147" s="335"/>
      <c r="O147" s="335"/>
      <c r="P147" s="335"/>
      <c r="Q147" s="335"/>
      <c r="R147" s="335"/>
      <c r="S147" s="335"/>
      <c r="T147" s="335"/>
      <c r="U147" s="335"/>
      <c r="V147" s="365"/>
      <c r="W147" s="339"/>
      <c r="X147" s="348"/>
      <c r="Y147" s="339"/>
      <c r="Z147" s="347"/>
      <c r="AA147" s="335"/>
      <c r="AB147" s="335"/>
      <c r="AC147" s="335"/>
      <c r="AD147" s="338">
        <f t="shared" si="22"/>
        <v>0</v>
      </c>
      <c r="AE147" s="101"/>
    </row>
    <row r="148" spans="1:31" s="46" customFormat="1" ht="15.95" customHeight="1">
      <c r="A148" s="114" t="s">
        <v>167</v>
      </c>
      <c r="B148" s="135" t="s">
        <v>168</v>
      </c>
      <c r="C148" s="335"/>
      <c r="D148" s="335"/>
      <c r="E148" s="335"/>
      <c r="F148" s="335"/>
      <c r="G148" s="335"/>
      <c r="H148" s="335"/>
      <c r="I148" s="335"/>
      <c r="J148" s="335"/>
      <c r="K148" s="335"/>
      <c r="L148" s="335"/>
      <c r="M148" s="335"/>
      <c r="N148" s="335"/>
      <c r="O148" s="335"/>
      <c r="P148" s="335"/>
      <c r="Q148" s="335"/>
      <c r="R148" s="335"/>
      <c r="S148" s="335"/>
      <c r="T148" s="335"/>
      <c r="U148" s="335"/>
      <c r="V148" s="336"/>
      <c r="W148" s="339"/>
      <c r="X148" s="348"/>
      <c r="Y148" s="339"/>
      <c r="Z148" s="347"/>
      <c r="AA148" s="335"/>
      <c r="AB148" s="335"/>
      <c r="AC148" s="335"/>
      <c r="AD148" s="338">
        <f t="shared" si="22"/>
        <v>0</v>
      </c>
      <c r="AE148" s="101"/>
    </row>
    <row r="149" spans="1:31" s="46" customFormat="1" ht="15.95" customHeight="1">
      <c r="A149" s="114" t="s">
        <v>169</v>
      </c>
      <c r="B149" s="135" t="s">
        <v>170</v>
      </c>
      <c r="C149" s="335"/>
      <c r="D149" s="335"/>
      <c r="E149" s="335"/>
      <c r="F149" s="335"/>
      <c r="G149" s="335"/>
      <c r="H149" s="335"/>
      <c r="I149" s="335"/>
      <c r="J149" s="335"/>
      <c r="K149" s="335"/>
      <c r="L149" s="335"/>
      <c r="M149" s="335"/>
      <c r="N149" s="335"/>
      <c r="O149" s="335"/>
      <c r="P149" s="335"/>
      <c r="Q149" s="335"/>
      <c r="R149" s="335"/>
      <c r="S149" s="335"/>
      <c r="T149" s="335"/>
      <c r="U149" s="335"/>
      <c r="V149" s="336"/>
      <c r="W149" s="339"/>
      <c r="X149" s="348"/>
      <c r="Y149" s="339"/>
      <c r="Z149" s="347"/>
      <c r="AA149" s="335"/>
      <c r="AB149" s="335"/>
      <c r="AC149" s="335"/>
      <c r="AD149" s="338">
        <f t="shared" si="22"/>
        <v>0</v>
      </c>
      <c r="AE149" s="101"/>
    </row>
    <row r="150" spans="1:31" s="46" customFormat="1" ht="15.95" customHeight="1">
      <c r="A150" s="114" t="s">
        <v>171</v>
      </c>
      <c r="B150" s="135" t="s">
        <v>172</v>
      </c>
      <c r="C150" s="335"/>
      <c r="D150" s="335"/>
      <c r="E150" s="335"/>
      <c r="F150" s="335"/>
      <c r="G150" s="335"/>
      <c r="H150" s="335"/>
      <c r="I150" s="335"/>
      <c r="J150" s="335"/>
      <c r="K150" s="335"/>
      <c r="L150" s="335"/>
      <c r="M150" s="335"/>
      <c r="N150" s="335"/>
      <c r="O150" s="335"/>
      <c r="P150" s="335"/>
      <c r="Q150" s="335"/>
      <c r="R150" s="335"/>
      <c r="S150" s="335"/>
      <c r="T150" s="335"/>
      <c r="U150" s="335"/>
      <c r="V150" s="336"/>
      <c r="W150" s="339"/>
      <c r="X150" s="348"/>
      <c r="Y150" s="339"/>
      <c r="Z150" s="347"/>
      <c r="AA150" s="335"/>
      <c r="AB150" s="335"/>
      <c r="AC150" s="335"/>
      <c r="AD150" s="338">
        <f t="shared" si="22"/>
        <v>0</v>
      </c>
      <c r="AE150" s="101"/>
    </row>
    <row r="151" spans="1:31" s="46" customFormat="1" ht="15.95" customHeight="1">
      <c r="A151" s="114" t="s">
        <v>173</v>
      </c>
      <c r="B151" s="135" t="s">
        <v>539</v>
      </c>
      <c r="C151" s="335"/>
      <c r="D151" s="335"/>
      <c r="E151" s="335"/>
      <c r="F151" s="335"/>
      <c r="G151" s="335"/>
      <c r="H151" s="335"/>
      <c r="I151" s="335"/>
      <c r="J151" s="335"/>
      <c r="K151" s="335"/>
      <c r="L151" s="335"/>
      <c r="M151" s="335"/>
      <c r="N151" s="335"/>
      <c r="O151" s="335"/>
      <c r="P151" s="335"/>
      <c r="Q151" s="335"/>
      <c r="R151" s="335"/>
      <c r="S151" s="335"/>
      <c r="T151" s="335"/>
      <c r="U151" s="335"/>
      <c r="V151" s="336"/>
      <c r="W151" s="339"/>
      <c r="X151" s="348"/>
      <c r="Y151" s="339"/>
      <c r="Z151" s="347"/>
      <c r="AA151" s="335"/>
      <c r="AB151" s="335"/>
      <c r="AC151" s="335"/>
      <c r="AD151" s="338">
        <f t="shared" si="22"/>
        <v>0</v>
      </c>
      <c r="AE151" s="101"/>
    </row>
    <row r="152" spans="1:31" s="46" customFormat="1" ht="15.95" customHeight="1">
      <c r="A152" s="114" t="s">
        <v>174</v>
      </c>
      <c r="B152" s="135" t="s">
        <v>175</v>
      </c>
      <c r="C152" s="335"/>
      <c r="D152" s="335"/>
      <c r="E152" s="335"/>
      <c r="F152" s="335"/>
      <c r="G152" s="335"/>
      <c r="H152" s="335"/>
      <c r="I152" s="335"/>
      <c r="J152" s="335"/>
      <c r="K152" s="335"/>
      <c r="L152" s="335"/>
      <c r="M152" s="335"/>
      <c r="N152" s="335"/>
      <c r="O152" s="335"/>
      <c r="P152" s="335"/>
      <c r="Q152" s="335"/>
      <c r="R152" s="335"/>
      <c r="S152" s="335"/>
      <c r="T152" s="335"/>
      <c r="U152" s="335"/>
      <c r="V152" s="336"/>
      <c r="W152" s="339"/>
      <c r="X152" s="348"/>
      <c r="Y152" s="339"/>
      <c r="Z152" s="347"/>
      <c r="AA152" s="335"/>
      <c r="AB152" s="335"/>
      <c r="AC152" s="335"/>
      <c r="AD152" s="338">
        <f t="shared" si="22"/>
        <v>0</v>
      </c>
      <c r="AE152" s="101"/>
    </row>
    <row r="153" spans="1:31" s="46" customFormat="1" ht="15.95" customHeight="1">
      <c r="A153" s="114" t="s">
        <v>176</v>
      </c>
      <c r="B153" s="135" t="s">
        <v>177</v>
      </c>
      <c r="C153" s="335"/>
      <c r="D153" s="344"/>
      <c r="E153" s="344"/>
      <c r="F153" s="344"/>
      <c r="G153" s="344"/>
      <c r="H153" s="344"/>
      <c r="I153" s="344"/>
      <c r="J153" s="344"/>
      <c r="K153" s="344"/>
      <c r="L153" s="344"/>
      <c r="M153" s="344"/>
      <c r="N153" s="344"/>
      <c r="O153" s="344"/>
      <c r="P153" s="344"/>
      <c r="Q153" s="344"/>
      <c r="R153" s="335"/>
      <c r="S153" s="344"/>
      <c r="T153" s="335"/>
      <c r="U153" s="335"/>
      <c r="V153" s="369"/>
      <c r="W153" s="339"/>
      <c r="X153" s="348"/>
      <c r="Y153" s="339"/>
      <c r="Z153" s="347"/>
      <c r="AA153" s="335"/>
      <c r="AB153" s="344"/>
      <c r="AC153" s="344"/>
      <c r="AD153" s="338">
        <f t="shared" si="22"/>
        <v>0</v>
      </c>
      <c r="AE153" s="101"/>
    </row>
    <row r="154" spans="1:31" s="46" customFormat="1" ht="15.95" customHeight="1">
      <c r="A154" s="513" t="s">
        <v>178</v>
      </c>
      <c r="B154" s="514"/>
      <c r="C154" s="454">
        <f>SUM(C141:C153)</f>
        <v>0</v>
      </c>
      <c r="D154" s="339">
        <f t="shared" ref="D154:AC154" si="23">SUM(D141:D153)</f>
        <v>0</v>
      </c>
      <c r="E154" s="339">
        <f t="shared" si="23"/>
        <v>0</v>
      </c>
      <c r="F154" s="339">
        <f t="shared" si="23"/>
        <v>0</v>
      </c>
      <c r="G154" s="339">
        <f t="shared" si="23"/>
        <v>0</v>
      </c>
      <c r="H154" s="339">
        <f t="shared" si="23"/>
        <v>0</v>
      </c>
      <c r="I154" s="339">
        <f t="shared" si="23"/>
        <v>0</v>
      </c>
      <c r="J154" s="339">
        <f t="shared" si="23"/>
        <v>4.8133400000000002</v>
      </c>
      <c r="K154" s="339">
        <f t="shared" si="23"/>
        <v>0</v>
      </c>
      <c r="L154" s="339">
        <f t="shared" si="23"/>
        <v>0</v>
      </c>
      <c r="M154" s="339">
        <f t="shared" si="23"/>
        <v>0</v>
      </c>
      <c r="N154" s="339">
        <f t="shared" si="23"/>
        <v>0</v>
      </c>
      <c r="O154" s="339">
        <f t="shared" si="23"/>
        <v>-0.60599999999999998</v>
      </c>
      <c r="P154" s="339">
        <f t="shared" si="23"/>
        <v>0</v>
      </c>
      <c r="Q154" s="339">
        <f t="shared" si="23"/>
        <v>0</v>
      </c>
      <c r="R154" s="348">
        <f t="shared" si="23"/>
        <v>0</v>
      </c>
      <c r="S154" s="339">
        <f t="shared" si="23"/>
        <v>154835.84685</v>
      </c>
      <c r="T154" s="347">
        <f t="shared" si="23"/>
        <v>0</v>
      </c>
      <c r="U154" s="336">
        <f t="shared" si="23"/>
        <v>0</v>
      </c>
      <c r="V154" s="339">
        <f t="shared" si="23"/>
        <v>0</v>
      </c>
      <c r="W154" s="339">
        <f t="shared" si="23"/>
        <v>0</v>
      </c>
      <c r="X154" s="348">
        <f t="shared" si="23"/>
        <v>0</v>
      </c>
      <c r="Y154" s="339">
        <f t="shared" si="23"/>
        <v>0</v>
      </c>
      <c r="Z154" s="347">
        <f t="shared" si="23"/>
        <v>0</v>
      </c>
      <c r="AA154" s="336">
        <f t="shared" si="23"/>
        <v>0</v>
      </c>
      <c r="AB154" s="339">
        <f t="shared" si="23"/>
        <v>0</v>
      </c>
      <c r="AC154" s="337">
        <f t="shared" si="23"/>
        <v>0</v>
      </c>
      <c r="AD154" s="338">
        <f t="shared" si="22"/>
        <v>154840.05419</v>
      </c>
      <c r="AE154" s="101"/>
    </row>
    <row r="155" spans="1:31" s="46" customFormat="1" ht="8.25" customHeight="1">
      <c r="A155" s="517"/>
      <c r="B155" s="518"/>
      <c r="C155" s="344"/>
      <c r="D155" s="344"/>
      <c r="E155" s="344"/>
      <c r="F155" s="343"/>
      <c r="G155" s="343"/>
      <c r="H155" s="343"/>
      <c r="I155" s="343"/>
      <c r="J155" s="343"/>
      <c r="K155" s="343"/>
      <c r="L155" s="343"/>
      <c r="M155" s="344"/>
      <c r="N155" s="343"/>
      <c r="O155" s="343"/>
      <c r="P155" s="343"/>
      <c r="Q155" s="343"/>
      <c r="R155" s="344"/>
      <c r="S155" s="343"/>
      <c r="T155" s="344"/>
      <c r="U155" s="344"/>
      <c r="V155" s="344"/>
      <c r="W155" s="343"/>
      <c r="X155" s="344"/>
      <c r="Y155" s="344"/>
      <c r="Z155" s="344"/>
      <c r="AA155" s="344"/>
      <c r="AB155" s="344"/>
      <c r="AC155" s="344"/>
      <c r="AD155" s="345"/>
      <c r="AE155" s="101"/>
    </row>
    <row r="156" spans="1:31" s="46" customFormat="1" ht="15.95" customHeight="1">
      <c r="A156" s="91" t="s">
        <v>179</v>
      </c>
      <c r="B156" s="131"/>
      <c r="C156" s="346"/>
      <c r="D156" s="346"/>
      <c r="E156" s="346"/>
      <c r="F156" s="346"/>
      <c r="G156" s="346"/>
      <c r="H156" s="346"/>
      <c r="I156" s="346"/>
      <c r="J156" s="346"/>
      <c r="K156" s="346"/>
      <c r="L156" s="346"/>
      <c r="M156" s="346"/>
      <c r="N156" s="346"/>
      <c r="O156" s="346"/>
      <c r="P156" s="346"/>
      <c r="Q156" s="346"/>
      <c r="R156" s="346"/>
      <c r="S156" s="346"/>
      <c r="T156" s="346"/>
      <c r="U156" s="346"/>
      <c r="V156" s="346"/>
      <c r="W156" s="343"/>
      <c r="X156" s="343"/>
      <c r="Y156" s="346"/>
      <c r="Z156" s="346"/>
      <c r="AA156" s="343"/>
      <c r="AB156" s="346"/>
      <c r="AC156" s="346"/>
      <c r="AD156" s="345"/>
      <c r="AE156" s="101"/>
    </row>
    <row r="157" spans="1:31" s="46" customFormat="1" ht="15.95" customHeight="1">
      <c r="A157" s="114" t="s">
        <v>180</v>
      </c>
      <c r="B157" s="135" t="s">
        <v>181</v>
      </c>
      <c r="C157" s="335"/>
      <c r="D157" s="335"/>
      <c r="E157" s="335"/>
      <c r="F157" s="335"/>
      <c r="G157" s="335"/>
      <c r="H157" s="335"/>
      <c r="I157" s="335"/>
      <c r="J157" s="335"/>
      <c r="K157" s="335"/>
      <c r="L157" s="335"/>
      <c r="M157" s="335"/>
      <c r="N157" s="335"/>
      <c r="O157" s="335"/>
      <c r="P157" s="335"/>
      <c r="Q157" s="335"/>
      <c r="R157" s="335"/>
      <c r="S157" s="335"/>
      <c r="T157" s="335"/>
      <c r="U157" s="335"/>
      <c r="V157" s="336"/>
      <c r="W157" s="334"/>
      <c r="X157" s="334"/>
      <c r="Y157" s="347"/>
      <c r="Z157" s="336"/>
      <c r="AA157" s="334"/>
      <c r="AB157" s="347"/>
      <c r="AC157" s="335"/>
      <c r="AD157" s="338">
        <f>SUM(C157:AC157)</f>
        <v>0</v>
      </c>
      <c r="AE157" s="101"/>
    </row>
    <row r="158" spans="1:31" s="46" customFormat="1" ht="15.95" customHeight="1">
      <c r="A158" s="114" t="s">
        <v>182</v>
      </c>
      <c r="B158" s="135" t="s">
        <v>534</v>
      </c>
      <c r="C158" s="335"/>
      <c r="D158" s="335"/>
      <c r="E158" s="335"/>
      <c r="F158" s="335"/>
      <c r="G158" s="335"/>
      <c r="H158" s="335"/>
      <c r="I158" s="335"/>
      <c r="J158" s="335"/>
      <c r="K158" s="335"/>
      <c r="L158" s="335"/>
      <c r="M158" s="335"/>
      <c r="N158" s="335"/>
      <c r="O158" s="335"/>
      <c r="P158" s="335"/>
      <c r="Q158" s="335"/>
      <c r="R158" s="335"/>
      <c r="S158" s="335"/>
      <c r="T158" s="335"/>
      <c r="U158" s="335"/>
      <c r="V158" s="336"/>
      <c r="W158" s="339"/>
      <c r="X158" s="339"/>
      <c r="Y158" s="347"/>
      <c r="Z158" s="336"/>
      <c r="AA158" s="339"/>
      <c r="AB158" s="347"/>
      <c r="AC158" s="335"/>
      <c r="AD158" s="338">
        <f>SUM(C158:AC158)</f>
        <v>0</v>
      </c>
      <c r="AE158" s="101"/>
    </row>
    <row r="159" spans="1:31" s="46" customFormat="1" ht="15.95" customHeight="1">
      <c r="A159" s="114" t="s">
        <v>183</v>
      </c>
      <c r="B159" s="135" t="s">
        <v>184</v>
      </c>
      <c r="C159" s="335"/>
      <c r="D159" s="335"/>
      <c r="E159" s="335"/>
      <c r="F159" s="335"/>
      <c r="G159" s="335"/>
      <c r="H159" s="335"/>
      <c r="I159" s="335"/>
      <c r="J159" s="335"/>
      <c r="K159" s="335"/>
      <c r="L159" s="335"/>
      <c r="M159" s="335"/>
      <c r="N159" s="335"/>
      <c r="O159" s="335"/>
      <c r="P159" s="335"/>
      <c r="Q159" s="335"/>
      <c r="R159" s="335"/>
      <c r="S159" s="335"/>
      <c r="T159" s="335"/>
      <c r="U159" s="335"/>
      <c r="V159" s="336"/>
      <c r="W159" s="339"/>
      <c r="X159" s="339">
        <f>132887697.36/1000</f>
        <v>132887.69735999999</v>
      </c>
      <c r="Y159" s="347"/>
      <c r="Z159" s="336"/>
      <c r="AA159" s="339">
        <f>59475708.99/1000</f>
        <v>59475.708989999999</v>
      </c>
      <c r="AB159" s="347"/>
      <c r="AC159" s="335"/>
      <c r="AD159" s="338">
        <f>SUM(C159:AC159)</f>
        <v>192363.40635</v>
      </c>
      <c r="AE159" s="101"/>
    </row>
    <row r="160" spans="1:31" s="46" customFormat="1" ht="15.95" customHeight="1">
      <c r="A160" s="114" t="s">
        <v>185</v>
      </c>
      <c r="B160" s="140" t="s">
        <v>186</v>
      </c>
      <c r="C160" s="335"/>
      <c r="D160" s="335"/>
      <c r="E160" s="335"/>
      <c r="F160" s="335"/>
      <c r="G160" s="335"/>
      <c r="H160" s="335"/>
      <c r="I160" s="335"/>
      <c r="J160" s="335"/>
      <c r="K160" s="335"/>
      <c r="L160" s="335"/>
      <c r="M160" s="335"/>
      <c r="N160" s="335"/>
      <c r="O160" s="335"/>
      <c r="P160" s="335"/>
      <c r="Q160" s="335"/>
      <c r="R160" s="335"/>
      <c r="S160" s="335"/>
      <c r="T160" s="335"/>
      <c r="U160" s="335"/>
      <c r="V160" s="335"/>
      <c r="W160" s="346"/>
      <c r="X160" s="346"/>
      <c r="Y160" s="335"/>
      <c r="Z160" s="336"/>
      <c r="AA160" s="340">
        <f>(291169.34+12874353.02+24539.07-10717.67)/1000</f>
        <v>13179.34376</v>
      </c>
      <c r="AB160" s="347"/>
      <c r="AC160" s="335"/>
      <c r="AD160" s="338">
        <f>SUM(C160:AC160)</f>
        <v>13179.34376</v>
      </c>
      <c r="AE160" s="101"/>
    </row>
    <row r="161" spans="1:31" s="46" customFormat="1" ht="15.95" customHeight="1">
      <c r="A161" s="513" t="s">
        <v>187</v>
      </c>
      <c r="B161" s="514"/>
      <c r="C161" s="335">
        <f>SUM(C157:C160)</f>
        <v>0</v>
      </c>
      <c r="D161" s="335">
        <f t="shared" ref="D161:AC161" si="24">SUM(D157:D160)</f>
        <v>0</v>
      </c>
      <c r="E161" s="335">
        <f t="shared" si="24"/>
        <v>0</v>
      </c>
      <c r="F161" s="335">
        <f t="shared" si="24"/>
        <v>0</v>
      </c>
      <c r="G161" s="335">
        <f t="shared" si="24"/>
        <v>0</v>
      </c>
      <c r="H161" s="335">
        <f t="shared" si="24"/>
        <v>0</v>
      </c>
      <c r="I161" s="335">
        <f t="shared" si="24"/>
        <v>0</v>
      </c>
      <c r="J161" s="335">
        <f t="shared" si="24"/>
        <v>0</v>
      </c>
      <c r="K161" s="335">
        <f t="shared" si="24"/>
        <v>0</v>
      </c>
      <c r="L161" s="335">
        <f t="shared" si="24"/>
        <v>0</v>
      </c>
      <c r="M161" s="335">
        <f t="shared" si="24"/>
        <v>0</v>
      </c>
      <c r="N161" s="335">
        <f t="shared" si="24"/>
        <v>0</v>
      </c>
      <c r="O161" s="335">
        <f t="shared" si="24"/>
        <v>0</v>
      </c>
      <c r="P161" s="335">
        <f t="shared" si="24"/>
        <v>0</v>
      </c>
      <c r="Q161" s="335">
        <f t="shared" si="24"/>
        <v>0</v>
      </c>
      <c r="R161" s="335">
        <f t="shared" si="24"/>
        <v>0</v>
      </c>
      <c r="S161" s="335">
        <f t="shared" si="24"/>
        <v>0</v>
      </c>
      <c r="T161" s="335">
        <f t="shared" si="24"/>
        <v>0</v>
      </c>
      <c r="U161" s="335">
        <f t="shared" si="24"/>
        <v>0</v>
      </c>
      <c r="V161" s="336">
        <f t="shared" si="24"/>
        <v>0</v>
      </c>
      <c r="W161" s="339">
        <f t="shared" si="24"/>
        <v>0</v>
      </c>
      <c r="X161" s="339">
        <f t="shared" si="24"/>
        <v>132887.69735999999</v>
      </c>
      <c r="Y161" s="347">
        <f t="shared" si="24"/>
        <v>0</v>
      </c>
      <c r="Z161" s="336">
        <f t="shared" si="24"/>
        <v>0</v>
      </c>
      <c r="AA161" s="339">
        <f t="shared" si="24"/>
        <v>72655.052750000003</v>
      </c>
      <c r="AB161" s="347">
        <f t="shared" si="24"/>
        <v>0</v>
      </c>
      <c r="AC161" s="362">
        <f t="shared" si="24"/>
        <v>0</v>
      </c>
      <c r="AD161" s="338">
        <f>SUM(C161:AC161)</f>
        <v>205542.75010999999</v>
      </c>
      <c r="AE161" s="101"/>
    </row>
    <row r="162" spans="1:31" s="46" customFormat="1" ht="8.25" customHeight="1" thickBot="1">
      <c r="A162" s="515"/>
      <c r="B162" s="516"/>
      <c r="C162" s="335"/>
      <c r="D162" s="335"/>
      <c r="E162" s="335"/>
      <c r="F162" s="335"/>
      <c r="G162" s="335"/>
      <c r="H162" s="335"/>
      <c r="I162" s="335"/>
      <c r="J162" s="335"/>
      <c r="K162" s="335"/>
      <c r="L162" s="335"/>
      <c r="M162" s="335"/>
      <c r="N162" s="335"/>
      <c r="O162" s="335"/>
      <c r="P162" s="335"/>
      <c r="Q162" s="335"/>
      <c r="R162" s="335"/>
      <c r="S162" s="335"/>
      <c r="T162" s="335"/>
      <c r="U162" s="335"/>
      <c r="V162" s="335"/>
      <c r="W162" s="346"/>
      <c r="X162" s="335"/>
      <c r="Y162" s="335"/>
      <c r="Z162" s="335"/>
      <c r="AA162" s="335"/>
      <c r="AB162" s="335"/>
      <c r="AC162" s="335"/>
      <c r="AD162" s="350"/>
      <c r="AE162" s="101"/>
    </row>
    <row r="163" spans="1:31" s="46" customFormat="1" ht="15.95" customHeight="1" thickBot="1">
      <c r="A163" s="115" t="s">
        <v>188</v>
      </c>
      <c r="B163" s="141"/>
      <c r="C163" s="451">
        <f>SUM(C123,C138,C154,C161)</f>
        <v>0</v>
      </c>
      <c r="D163" s="351">
        <f t="shared" ref="D163:AC163" si="25">SUM(D123,D138,D154,D161)</f>
        <v>0</v>
      </c>
      <c r="E163" s="351">
        <f t="shared" si="25"/>
        <v>0</v>
      </c>
      <c r="F163" s="351">
        <f t="shared" si="25"/>
        <v>497.34377000000001</v>
      </c>
      <c r="G163" s="351">
        <f t="shared" si="25"/>
        <v>12.051399999999999</v>
      </c>
      <c r="H163" s="351">
        <f t="shared" si="25"/>
        <v>49469.001710000004</v>
      </c>
      <c r="I163" s="351">
        <f t="shared" si="25"/>
        <v>1204.5694999999998</v>
      </c>
      <c r="J163" s="351">
        <f t="shared" si="25"/>
        <v>2019.71236</v>
      </c>
      <c r="K163" s="351">
        <f t="shared" si="25"/>
        <v>-7.4785000000000004</v>
      </c>
      <c r="L163" s="351">
        <f t="shared" si="25"/>
        <v>9.101799999999999</v>
      </c>
      <c r="M163" s="351">
        <f t="shared" si="25"/>
        <v>0</v>
      </c>
      <c r="N163" s="351">
        <f t="shared" si="25"/>
        <v>0</v>
      </c>
      <c r="O163" s="351">
        <f t="shared" si="25"/>
        <v>-0.60599999999999998</v>
      </c>
      <c r="P163" s="351">
        <f t="shared" si="25"/>
        <v>0</v>
      </c>
      <c r="Q163" s="351">
        <f t="shared" si="25"/>
        <v>0</v>
      </c>
      <c r="R163" s="355">
        <f t="shared" si="25"/>
        <v>0</v>
      </c>
      <c r="S163" s="351">
        <f t="shared" si="25"/>
        <v>183195.68158999999</v>
      </c>
      <c r="T163" s="351">
        <f t="shared" si="25"/>
        <v>225094.19465999998</v>
      </c>
      <c r="U163" s="351">
        <f t="shared" si="25"/>
        <v>0</v>
      </c>
      <c r="V163" s="351">
        <f t="shared" si="25"/>
        <v>484.74871999999999</v>
      </c>
      <c r="W163" s="351">
        <f t="shared" si="25"/>
        <v>0</v>
      </c>
      <c r="X163" s="351">
        <f t="shared" si="25"/>
        <v>132887.69735999999</v>
      </c>
      <c r="Y163" s="351">
        <f t="shared" si="25"/>
        <v>135187.98262999998</v>
      </c>
      <c r="Z163" s="351">
        <f t="shared" si="25"/>
        <v>1</v>
      </c>
      <c r="AA163" s="351">
        <f t="shared" si="25"/>
        <v>110896.19282</v>
      </c>
      <c r="AB163" s="351">
        <f t="shared" si="25"/>
        <v>3105.5165299999999</v>
      </c>
      <c r="AC163" s="356">
        <f t="shared" si="25"/>
        <v>0</v>
      </c>
      <c r="AD163" s="357">
        <f>SUM(C163:AC163)</f>
        <v>844056.71034999995</v>
      </c>
      <c r="AE163" s="101"/>
    </row>
    <row r="164" spans="1:31" s="46" customFormat="1" ht="8.25" customHeight="1" thickBot="1">
      <c r="A164" s="511"/>
      <c r="B164" s="512"/>
      <c r="C164" s="452"/>
      <c r="D164" s="344"/>
      <c r="E164" s="344"/>
      <c r="F164" s="344"/>
      <c r="G164" s="344"/>
      <c r="H164" s="344"/>
      <c r="I164" s="344"/>
      <c r="J164" s="344"/>
      <c r="K164" s="344"/>
      <c r="L164" s="344"/>
      <c r="M164" s="344"/>
      <c r="N164" s="344"/>
      <c r="O164" s="344"/>
      <c r="P164" s="344"/>
      <c r="Q164" s="344"/>
      <c r="R164" s="344"/>
      <c r="S164" s="344"/>
      <c r="T164" s="344"/>
      <c r="U164" s="344"/>
      <c r="V164" s="344"/>
      <c r="W164" s="344"/>
      <c r="X164" s="344"/>
      <c r="Y164" s="344"/>
      <c r="Z164" s="344"/>
      <c r="AA164" s="344"/>
      <c r="AB164" s="344"/>
      <c r="AC164" s="344"/>
      <c r="AD164" s="358"/>
      <c r="AE164" s="101"/>
    </row>
    <row r="165" spans="1:31" s="57" customFormat="1" ht="15.95" customHeight="1" thickBot="1">
      <c r="A165" s="116" t="s">
        <v>189</v>
      </c>
      <c r="B165" s="142"/>
      <c r="C165" s="451">
        <f>+SUM(C94,C100,C163)</f>
        <v>0</v>
      </c>
      <c r="D165" s="351">
        <f t="shared" ref="D165:AC165" si="26">+SUM(D94,D100,D163)</f>
        <v>52569.016480000006</v>
      </c>
      <c r="E165" s="351">
        <f t="shared" si="26"/>
        <v>74.162580000000005</v>
      </c>
      <c r="F165" s="351">
        <f t="shared" si="26"/>
        <v>1272.3437699999999</v>
      </c>
      <c r="G165" s="351">
        <f t="shared" si="26"/>
        <v>14.901399999999999</v>
      </c>
      <c r="H165" s="351">
        <f t="shared" si="26"/>
        <v>50498.381640000007</v>
      </c>
      <c r="I165" s="351">
        <f t="shared" si="26"/>
        <v>3461.9225499999993</v>
      </c>
      <c r="J165" s="351">
        <f t="shared" si="26"/>
        <v>48294.577808999995</v>
      </c>
      <c r="K165" s="351">
        <f t="shared" si="26"/>
        <v>193.63657000000001</v>
      </c>
      <c r="L165" s="351">
        <f t="shared" si="26"/>
        <v>837.32463999999993</v>
      </c>
      <c r="M165" s="351">
        <f t="shared" si="26"/>
        <v>16169.40768</v>
      </c>
      <c r="N165" s="351">
        <f t="shared" si="26"/>
        <v>133425.35584</v>
      </c>
      <c r="O165" s="351">
        <f t="shared" si="26"/>
        <v>30905.328829999999</v>
      </c>
      <c r="P165" s="351">
        <f t="shared" si="26"/>
        <v>27802.52087</v>
      </c>
      <c r="Q165" s="351">
        <f t="shared" si="26"/>
        <v>7845.9718199999988</v>
      </c>
      <c r="R165" s="351">
        <f t="shared" si="26"/>
        <v>1369.66885</v>
      </c>
      <c r="S165" s="351">
        <f t="shared" si="26"/>
        <v>396536.46591999999</v>
      </c>
      <c r="T165" s="351">
        <f t="shared" si="26"/>
        <v>225094.19465999998</v>
      </c>
      <c r="U165" s="351">
        <f t="shared" si="26"/>
        <v>0</v>
      </c>
      <c r="V165" s="351">
        <f t="shared" si="26"/>
        <v>484.74871999999999</v>
      </c>
      <c r="W165" s="351">
        <f t="shared" si="26"/>
        <v>0</v>
      </c>
      <c r="X165" s="351">
        <f t="shared" si="26"/>
        <v>132887.69735999999</v>
      </c>
      <c r="Y165" s="351">
        <f t="shared" si="26"/>
        <v>135187.98262999998</v>
      </c>
      <c r="Z165" s="351">
        <f t="shared" si="26"/>
        <v>1</v>
      </c>
      <c r="AA165" s="351">
        <f t="shared" si="26"/>
        <v>110896.19282</v>
      </c>
      <c r="AB165" s="351">
        <f t="shared" si="26"/>
        <v>3105.5165299999999</v>
      </c>
      <c r="AC165" s="356">
        <f t="shared" si="26"/>
        <v>98648.510379999992</v>
      </c>
      <c r="AD165" s="357">
        <f>SUM(C165:AC165)</f>
        <v>1477576.8303490002</v>
      </c>
      <c r="AE165" s="113"/>
    </row>
    <row r="166" spans="1:31">
      <c r="C166" s="168"/>
      <c r="D166" s="169"/>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row>
    <row r="167" spans="1:31">
      <c r="A167" s="46" t="s">
        <v>226</v>
      </c>
      <c r="B167" s="44"/>
      <c r="C167" s="168"/>
      <c r="D167" s="169"/>
      <c r="E167" s="168"/>
      <c r="F167" s="168"/>
      <c r="G167" s="168"/>
      <c r="H167" s="168"/>
      <c r="I167" s="170"/>
      <c r="J167" s="170"/>
      <c r="K167" s="170"/>
      <c r="L167" s="170"/>
      <c r="M167" s="170"/>
      <c r="N167" s="169"/>
      <c r="O167" s="170"/>
      <c r="P167" s="169"/>
      <c r="Q167" s="169"/>
      <c r="R167" s="169"/>
      <c r="S167" s="169"/>
      <c r="T167" s="169"/>
      <c r="U167" s="169"/>
      <c r="V167" s="169"/>
      <c r="W167" s="169"/>
      <c r="X167" s="169"/>
      <c r="Y167" s="169"/>
      <c r="Z167" s="169"/>
      <c r="AA167" s="169"/>
      <c r="AB167" s="169"/>
      <c r="AC167" s="169"/>
      <c r="AD167" s="471"/>
    </row>
    <row r="168" spans="1:31">
      <c r="A168" s="46" t="s">
        <v>227</v>
      </c>
      <c r="B168" s="44"/>
      <c r="C168" s="168"/>
      <c r="D168" s="169"/>
      <c r="E168" s="168"/>
      <c r="F168" s="168"/>
      <c r="G168" s="168"/>
      <c r="H168" s="168"/>
      <c r="I168" s="170"/>
      <c r="J168" s="170"/>
      <c r="K168" s="170"/>
      <c r="L168" s="170"/>
      <c r="M168" s="170"/>
      <c r="N168" s="169"/>
      <c r="O168" s="169"/>
      <c r="P168" s="169"/>
      <c r="Q168" s="169"/>
      <c r="R168" s="169"/>
      <c r="S168" s="169"/>
      <c r="T168" s="169"/>
      <c r="U168" s="169"/>
      <c r="V168" s="169"/>
      <c r="W168" s="169"/>
      <c r="X168" s="169"/>
      <c r="Y168" s="169"/>
      <c r="Z168" s="169"/>
      <c r="AA168" s="169"/>
      <c r="AB168" s="169"/>
      <c r="AC168" s="169"/>
      <c r="AD168" s="169"/>
    </row>
    <row r="169" spans="1:31">
      <c r="A169" s="46"/>
      <c r="C169" s="168"/>
      <c r="D169" s="169"/>
      <c r="E169" s="168"/>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row>
    <row r="170" spans="1:31">
      <c r="A170" s="46" t="s">
        <v>190</v>
      </c>
      <c r="C170" s="168"/>
      <c r="D170" s="169"/>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row>
    <row r="171" spans="1:31">
      <c r="C171" s="168"/>
      <c r="D171" s="169"/>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row>
    <row r="172" spans="1:31" ht="20.25">
      <c r="A172" s="180"/>
    </row>
  </sheetData>
  <sheetProtection formatCells="0" formatColumns="0" formatRows="0"/>
  <mergeCells count="21">
    <mergeCell ref="A164:B164"/>
    <mergeCell ref="A161:B161"/>
    <mergeCell ref="A123:B123"/>
    <mergeCell ref="A138:B138"/>
    <mergeCell ref="A154:B154"/>
    <mergeCell ref="A162:B162"/>
    <mergeCell ref="A155:B155"/>
    <mergeCell ref="A139:B139"/>
    <mergeCell ref="A72:B72"/>
    <mergeCell ref="A102:B102"/>
    <mergeCell ref="A53:B53"/>
    <mergeCell ref="A60:B60"/>
    <mergeCell ref="A96:B96"/>
    <mergeCell ref="A79:B79"/>
    <mergeCell ref="A92:B92"/>
    <mergeCell ref="A94:B94"/>
    <mergeCell ref="A14:B14"/>
    <mergeCell ref="A20:B20"/>
    <mergeCell ref="A28:B28"/>
    <mergeCell ref="A37:B37"/>
    <mergeCell ref="A47:B47"/>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71"/>
  <sheetViews>
    <sheetView showGridLines="0" showZeros="0" zoomScale="75" zoomScaleNormal="100" workbookViewId="0">
      <pane xSplit="2" ySplit="4" topLeftCell="AC143" activePane="bottomRight" state="frozen"/>
      <selection activeCell="C5" sqref="C5"/>
      <selection pane="topRight" activeCell="C5" sqref="C5"/>
      <selection pane="bottomLeft" activeCell="C5" sqref="C5"/>
      <selection pane="bottomRight" activeCell="AH180" sqref="AH180"/>
    </sheetView>
  </sheetViews>
  <sheetFormatPr defaultRowHeight="14.25"/>
  <cols>
    <col min="1" max="1" width="13.140625" style="49" customWidth="1"/>
    <col min="2" max="2" width="72.7109375" style="49" customWidth="1"/>
    <col min="3" max="3" width="8.7109375" style="49" hidden="1" customWidth="1"/>
    <col min="4" max="5" width="8.7109375" style="120" customWidth="1"/>
    <col min="6" max="29" width="8.7109375" style="49" customWidth="1"/>
    <col min="30" max="30" width="11.5703125" style="49" customWidth="1"/>
    <col min="31" max="16384" width="9.140625" style="117"/>
  </cols>
  <sheetData>
    <row r="1" spans="1:30" s="93" customFormat="1" ht="18">
      <c r="A1" s="37" t="str">
        <f>"Verdelingsmatrix provincie "&amp;+'4.Informatie'!C5&amp;" ("&amp;'4.Informatie'!C6&amp;"): "&amp;'4.Informatie'!C7&amp;" periode "&amp;'4.Informatie'!C8&amp;", baten"</f>
        <v>Verdelingsmatrix provincie provincie Groningen (0001): 2014 periode 5, baten</v>
      </c>
      <c r="B1" s="38"/>
      <c r="C1" s="127" t="s">
        <v>23</v>
      </c>
      <c r="D1" s="127" t="s">
        <v>361</v>
      </c>
      <c r="E1" s="39" t="s">
        <v>362</v>
      </c>
      <c r="F1" s="39" t="s">
        <v>24</v>
      </c>
      <c r="G1" s="39" t="s">
        <v>238</v>
      </c>
      <c r="H1" s="39" t="s">
        <v>239</v>
      </c>
      <c r="I1" s="39" t="s">
        <v>26</v>
      </c>
      <c r="J1" s="39" t="s">
        <v>363</v>
      </c>
      <c r="K1" s="39" t="s">
        <v>364</v>
      </c>
      <c r="L1" s="39" t="s">
        <v>28</v>
      </c>
      <c r="M1" s="39" t="s">
        <v>29</v>
      </c>
      <c r="N1" s="39" t="s">
        <v>192</v>
      </c>
      <c r="O1" s="39" t="s">
        <v>193</v>
      </c>
      <c r="P1" s="39" t="s">
        <v>31</v>
      </c>
      <c r="Q1" s="39" t="s">
        <v>32</v>
      </c>
      <c r="R1" s="39" t="s">
        <v>242</v>
      </c>
      <c r="S1" s="39" t="s">
        <v>39</v>
      </c>
      <c r="T1" s="39" t="s">
        <v>243</v>
      </c>
      <c r="U1" s="39" t="s">
        <v>244</v>
      </c>
      <c r="V1" s="39" t="s">
        <v>245</v>
      </c>
      <c r="W1" s="39" t="s">
        <v>246</v>
      </c>
      <c r="X1" s="39" t="s">
        <v>247</v>
      </c>
      <c r="Y1" s="39" t="s">
        <v>248</v>
      </c>
      <c r="Z1" s="39" t="s">
        <v>249</v>
      </c>
      <c r="AA1" s="39" t="s">
        <v>250</v>
      </c>
      <c r="AB1" s="39" t="s">
        <v>251</v>
      </c>
      <c r="AC1" s="40" t="s">
        <v>252</v>
      </c>
      <c r="AD1" s="41"/>
    </row>
    <row r="2" spans="1:30" ht="125.25" customHeight="1" thickBot="1">
      <c r="A2" s="42" t="s">
        <v>41</v>
      </c>
      <c r="B2" s="43" t="s">
        <v>42</v>
      </c>
      <c r="C2" s="161" t="s">
        <v>411</v>
      </c>
      <c r="D2" s="163" t="s">
        <v>197</v>
      </c>
      <c r="E2" s="164" t="s">
        <v>198</v>
      </c>
      <c r="F2" s="164" t="s">
        <v>365</v>
      </c>
      <c r="G2" s="164" t="s">
        <v>366</v>
      </c>
      <c r="H2" s="164" t="s">
        <v>367</v>
      </c>
      <c r="I2" s="164" t="s">
        <v>368</v>
      </c>
      <c r="J2" s="164" t="s">
        <v>195</v>
      </c>
      <c r="K2" s="164" t="s">
        <v>369</v>
      </c>
      <c r="L2" s="164" t="s">
        <v>196</v>
      </c>
      <c r="M2" s="164" t="s">
        <v>370</v>
      </c>
      <c r="N2" s="164" t="s">
        <v>371</v>
      </c>
      <c r="O2" s="164" t="s">
        <v>372</v>
      </c>
      <c r="P2" s="167" t="s">
        <v>373</v>
      </c>
      <c r="Q2" s="164" t="s">
        <v>374</v>
      </c>
      <c r="R2" s="164" t="s">
        <v>261</v>
      </c>
      <c r="S2" s="164" t="s">
        <v>262</v>
      </c>
      <c r="T2" s="164" t="s">
        <v>263</v>
      </c>
      <c r="U2" s="164" t="s">
        <v>47</v>
      </c>
      <c r="V2" s="164" t="s">
        <v>264</v>
      </c>
      <c r="W2" s="164" t="s">
        <v>48</v>
      </c>
      <c r="X2" s="164" t="s">
        <v>49</v>
      </c>
      <c r="Y2" s="164" t="s">
        <v>50</v>
      </c>
      <c r="Z2" s="164" t="s">
        <v>51</v>
      </c>
      <c r="AA2" s="164" t="s">
        <v>52</v>
      </c>
      <c r="AB2" s="164" t="s">
        <v>265</v>
      </c>
      <c r="AC2" s="165" t="s">
        <v>53</v>
      </c>
      <c r="AD2" s="166" t="s">
        <v>382</v>
      </c>
    </row>
    <row r="3" spans="1:30" s="94" customFormat="1" ht="2.25" customHeight="1">
      <c r="A3" s="95"/>
      <c r="B3" s="128"/>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98"/>
      <c r="AD3" s="162"/>
    </row>
    <row r="4" spans="1:30" s="94" customFormat="1" ht="2.25" customHeight="1">
      <c r="A4" s="96"/>
      <c r="B4" s="129"/>
      <c r="C4" s="121"/>
      <c r="D4" s="121"/>
      <c r="E4" s="121"/>
      <c r="F4" s="121"/>
      <c r="G4" s="121"/>
      <c r="H4" s="121"/>
      <c r="I4" s="121"/>
      <c r="J4" s="121"/>
      <c r="K4" s="121"/>
      <c r="L4" s="121"/>
      <c r="M4" s="122"/>
      <c r="N4" s="121"/>
      <c r="O4" s="121"/>
      <c r="P4" s="121"/>
      <c r="Q4" s="121"/>
      <c r="R4" s="122"/>
      <c r="S4" s="121"/>
      <c r="T4" s="122"/>
      <c r="U4" s="122"/>
      <c r="V4" s="122"/>
      <c r="W4" s="122"/>
      <c r="X4" s="122"/>
      <c r="Y4" s="122"/>
      <c r="Z4" s="121"/>
      <c r="AA4" s="122"/>
      <c r="AB4" s="121"/>
      <c r="AC4" s="97"/>
      <c r="AD4" s="99"/>
    </row>
    <row r="5" spans="1:30" s="46" customFormat="1" ht="15">
      <c r="A5" s="91" t="s">
        <v>57</v>
      </c>
      <c r="B5" s="130" t="s">
        <v>55</v>
      </c>
      <c r="C5" s="459"/>
      <c r="D5" s="331"/>
      <c r="E5" s="331"/>
      <c r="F5" s="330"/>
      <c r="G5" s="330"/>
      <c r="H5" s="330"/>
      <c r="I5" s="330"/>
      <c r="J5" s="330"/>
      <c r="K5" s="330"/>
      <c r="L5" s="330"/>
      <c r="M5" s="330"/>
      <c r="N5" s="330"/>
      <c r="O5" s="330"/>
      <c r="P5" s="330"/>
      <c r="Q5" s="330"/>
      <c r="R5" s="330"/>
      <c r="S5" s="330"/>
      <c r="T5" s="331"/>
      <c r="U5" s="331"/>
      <c r="V5" s="331"/>
      <c r="W5" s="331"/>
      <c r="X5" s="331"/>
      <c r="Y5" s="331"/>
      <c r="Z5" s="330"/>
      <c r="AA5" s="331"/>
      <c r="AB5" s="330"/>
      <c r="AC5" s="332"/>
      <c r="AD5" s="333"/>
    </row>
    <row r="6" spans="1:30" s="46" customFormat="1">
      <c r="A6" s="100" t="s">
        <v>266</v>
      </c>
      <c r="B6" s="131" t="s">
        <v>267</v>
      </c>
      <c r="C6" s="454"/>
      <c r="D6" s="335"/>
      <c r="E6" s="336"/>
      <c r="F6" s="334"/>
      <c r="G6" s="334"/>
      <c r="H6" s="334"/>
      <c r="I6" s="334"/>
      <c r="J6" s="334"/>
      <c r="K6" s="334"/>
      <c r="L6" s="334"/>
      <c r="M6" s="334"/>
      <c r="N6" s="334"/>
      <c r="O6" s="334"/>
      <c r="P6" s="334"/>
      <c r="Q6" s="334"/>
      <c r="R6" s="334"/>
      <c r="S6" s="334"/>
      <c r="T6" s="335"/>
      <c r="U6" s="335"/>
      <c r="V6" s="335"/>
      <c r="W6" s="335"/>
      <c r="X6" s="335"/>
      <c r="Y6" s="336"/>
      <c r="Z6" s="334"/>
      <c r="AA6" s="336"/>
      <c r="AB6" s="334"/>
      <c r="AC6" s="337"/>
      <c r="AD6" s="338">
        <f t="shared" ref="AD6:AD14" si="0">SUM(C6:AC6)</f>
        <v>0</v>
      </c>
    </row>
    <row r="7" spans="1:30" s="46" customFormat="1">
      <c r="A7" s="100" t="s">
        <v>24</v>
      </c>
      <c r="B7" s="131" t="s">
        <v>268</v>
      </c>
      <c r="C7" s="454"/>
      <c r="D7" s="335"/>
      <c r="E7" s="336"/>
      <c r="F7" s="339"/>
      <c r="G7" s="339"/>
      <c r="H7" s="339"/>
      <c r="I7" s="339"/>
      <c r="J7" s="339"/>
      <c r="K7" s="339"/>
      <c r="L7" s="339">
        <f>73170.16/1000</f>
        <v>73.17016000000001</v>
      </c>
      <c r="M7" s="339"/>
      <c r="N7" s="339">
        <f>2853.6/1000</f>
        <v>2.8535999999999997</v>
      </c>
      <c r="O7" s="339"/>
      <c r="P7" s="339"/>
      <c r="Q7" s="339"/>
      <c r="R7" s="339"/>
      <c r="S7" s="339">
        <f>58803.54/1000</f>
        <v>58.803539999999998</v>
      </c>
      <c r="T7" s="335"/>
      <c r="U7" s="335"/>
      <c r="V7" s="335"/>
      <c r="W7" s="335"/>
      <c r="X7" s="335"/>
      <c r="Y7" s="336"/>
      <c r="Z7" s="339"/>
      <c r="AA7" s="336"/>
      <c r="AB7" s="339"/>
      <c r="AC7" s="337"/>
      <c r="AD7" s="338">
        <f t="shared" si="0"/>
        <v>134.82730000000001</v>
      </c>
    </row>
    <row r="8" spans="1:30" s="46" customFormat="1">
      <c r="A8" s="100" t="s">
        <v>25</v>
      </c>
      <c r="B8" s="131" t="s">
        <v>269</v>
      </c>
      <c r="C8" s="454"/>
      <c r="D8" s="335"/>
      <c r="E8" s="336"/>
      <c r="F8" s="339"/>
      <c r="G8" s="339"/>
      <c r="H8" s="339"/>
      <c r="I8" s="339"/>
      <c r="J8" s="339"/>
      <c r="K8" s="339"/>
      <c r="L8" s="339"/>
      <c r="M8" s="339"/>
      <c r="N8" s="339"/>
      <c r="O8" s="339"/>
      <c r="P8" s="339"/>
      <c r="Q8" s="339"/>
      <c r="R8" s="339"/>
      <c r="S8" s="339"/>
      <c r="T8" s="335"/>
      <c r="U8" s="335"/>
      <c r="V8" s="335"/>
      <c r="W8" s="335"/>
      <c r="X8" s="335"/>
      <c r="Y8" s="336"/>
      <c r="Z8" s="339"/>
      <c r="AA8" s="336"/>
      <c r="AB8" s="339"/>
      <c r="AC8" s="337"/>
      <c r="AD8" s="338">
        <f t="shared" si="0"/>
        <v>0</v>
      </c>
    </row>
    <row r="9" spans="1:30" s="46" customFormat="1">
      <c r="A9" s="100" t="s">
        <v>270</v>
      </c>
      <c r="B9" s="131" t="s">
        <v>271</v>
      </c>
      <c r="C9" s="454"/>
      <c r="D9" s="335"/>
      <c r="E9" s="336"/>
      <c r="F9" s="339"/>
      <c r="G9" s="339"/>
      <c r="H9" s="339"/>
      <c r="I9" s="339"/>
      <c r="J9" s="339"/>
      <c r="K9" s="339"/>
      <c r="L9" s="339"/>
      <c r="M9" s="339"/>
      <c r="N9" s="339"/>
      <c r="O9" s="339"/>
      <c r="P9" s="339"/>
      <c r="Q9" s="339"/>
      <c r="R9" s="339"/>
      <c r="S9" s="339"/>
      <c r="T9" s="335"/>
      <c r="U9" s="335"/>
      <c r="V9" s="335"/>
      <c r="W9" s="335"/>
      <c r="X9" s="335"/>
      <c r="Y9" s="336"/>
      <c r="Z9" s="339"/>
      <c r="AA9" s="336"/>
      <c r="AB9" s="339"/>
      <c r="AC9" s="337"/>
      <c r="AD9" s="338">
        <f t="shared" si="0"/>
        <v>0</v>
      </c>
    </row>
    <row r="10" spans="1:30" s="46" customFormat="1">
      <c r="A10" s="100" t="s">
        <v>272</v>
      </c>
      <c r="B10" s="131" t="s">
        <v>273</v>
      </c>
      <c r="C10" s="454"/>
      <c r="D10" s="335"/>
      <c r="E10" s="336"/>
      <c r="F10" s="339"/>
      <c r="G10" s="339"/>
      <c r="H10" s="339"/>
      <c r="I10" s="339"/>
      <c r="J10" s="339"/>
      <c r="K10" s="339"/>
      <c r="L10" s="339"/>
      <c r="M10" s="339"/>
      <c r="N10" s="339"/>
      <c r="O10" s="339"/>
      <c r="P10" s="339"/>
      <c r="Q10" s="339"/>
      <c r="R10" s="339"/>
      <c r="S10" s="339"/>
      <c r="T10" s="335"/>
      <c r="U10" s="335"/>
      <c r="V10" s="335"/>
      <c r="W10" s="335"/>
      <c r="X10" s="335"/>
      <c r="Y10" s="336"/>
      <c r="Z10" s="339"/>
      <c r="AA10" s="336"/>
      <c r="AB10" s="339"/>
      <c r="AC10" s="337"/>
      <c r="AD10" s="338">
        <f t="shared" si="0"/>
        <v>0</v>
      </c>
    </row>
    <row r="11" spans="1:30" s="46" customFormat="1">
      <c r="A11" s="100" t="s">
        <v>274</v>
      </c>
      <c r="B11" s="131" t="s">
        <v>275</v>
      </c>
      <c r="C11" s="454"/>
      <c r="D11" s="335"/>
      <c r="E11" s="336"/>
      <c r="F11" s="339"/>
      <c r="G11" s="339"/>
      <c r="H11" s="339"/>
      <c r="I11" s="339"/>
      <c r="J11" s="339"/>
      <c r="K11" s="339"/>
      <c r="L11" s="339">
        <f>45209/1000</f>
        <v>45.209000000000003</v>
      </c>
      <c r="M11" s="339"/>
      <c r="N11" s="339"/>
      <c r="O11" s="339"/>
      <c r="P11" s="339"/>
      <c r="Q11" s="339"/>
      <c r="R11" s="339"/>
      <c r="S11" s="339"/>
      <c r="T11" s="335"/>
      <c r="U11" s="335"/>
      <c r="V11" s="335"/>
      <c r="W11" s="335"/>
      <c r="X11" s="335"/>
      <c r="Y11" s="336"/>
      <c r="Z11" s="339"/>
      <c r="AA11" s="336"/>
      <c r="AB11" s="339"/>
      <c r="AC11" s="337"/>
      <c r="AD11" s="338">
        <f t="shared" si="0"/>
        <v>45.209000000000003</v>
      </c>
    </row>
    <row r="12" spans="1:30" s="46" customFormat="1">
      <c r="A12" s="100" t="s">
        <v>276</v>
      </c>
      <c r="B12" s="131" t="s">
        <v>277</v>
      </c>
      <c r="C12" s="454"/>
      <c r="D12" s="335"/>
      <c r="E12" s="336"/>
      <c r="F12" s="339"/>
      <c r="G12" s="339"/>
      <c r="H12" s="339"/>
      <c r="I12" s="339"/>
      <c r="J12" s="339"/>
      <c r="K12" s="339"/>
      <c r="L12" s="339">
        <f>84660/1000</f>
        <v>84.66</v>
      </c>
      <c r="M12" s="339"/>
      <c r="N12" s="339"/>
      <c r="O12" s="339"/>
      <c r="P12" s="339"/>
      <c r="Q12" s="339"/>
      <c r="R12" s="339"/>
      <c r="S12" s="339">
        <f>123048/1000</f>
        <v>123.048</v>
      </c>
      <c r="T12" s="335"/>
      <c r="U12" s="335"/>
      <c r="V12" s="335"/>
      <c r="W12" s="335"/>
      <c r="X12" s="335"/>
      <c r="Y12" s="336"/>
      <c r="Z12" s="339"/>
      <c r="AA12" s="336"/>
      <c r="AB12" s="339"/>
      <c r="AC12" s="337"/>
      <c r="AD12" s="338">
        <f t="shared" si="0"/>
        <v>207.708</v>
      </c>
    </row>
    <row r="13" spans="1:30" s="46" customFormat="1">
      <c r="A13" s="100" t="s">
        <v>278</v>
      </c>
      <c r="B13" s="131" t="s">
        <v>279</v>
      </c>
      <c r="C13" s="454"/>
      <c r="D13" s="335"/>
      <c r="E13" s="336"/>
      <c r="F13" s="340">
        <f>4232.34/1000</f>
        <v>4.2323399999999998</v>
      </c>
      <c r="G13" s="340"/>
      <c r="H13" s="340"/>
      <c r="I13" s="340"/>
      <c r="J13" s="340">
        <f>60839.24/1000</f>
        <v>60.839239999999997</v>
      </c>
      <c r="K13" s="340">
        <f>-23401.35/1000</f>
        <v>-23.401349999999997</v>
      </c>
      <c r="L13" s="340">
        <f>10643398.53/1000</f>
        <v>10643.398529999999</v>
      </c>
      <c r="M13" s="340"/>
      <c r="N13" s="340">
        <f>-250/1000</f>
        <v>-0.25</v>
      </c>
      <c r="O13" s="340">
        <f>82638.85/1000</f>
        <v>82.638850000000005</v>
      </c>
      <c r="P13" s="340"/>
      <c r="Q13" s="340"/>
      <c r="R13" s="340"/>
      <c r="S13" s="340">
        <f>(0.01+24091.5)/1000</f>
        <v>24.09151</v>
      </c>
      <c r="T13" s="335"/>
      <c r="U13" s="335"/>
      <c r="V13" s="335"/>
      <c r="W13" s="335"/>
      <c r="X13" s="335"/>
      <c r="Y13" s="336"/>
      <c r="Z13" s="340"/>
      <c r="AA13" s="336"/>
      <c r="AB13" s="340"/>
      <c r="AC13" s="341"/>
      <c r="AD13" s="342">
        <f t="shared" si="0"/>
        <v>10791.549119999998</v>
      </c>
    </row>
    <row r="14" spans="1:30" s="46" customFormat="1" ht="15">
      <c r="A14" s="501" t="s">
        <v>60</v>
      </c>
      <c r="B14" s="502"/>
      <c r="C14" s="454">
        <f>SUM(C6:C13)</f>
        <v>0</v>
      </c>
      <c r="D14" s="335">
        <f t="shared" ref="D14:AC14" si="1">SUM(D6:D13)</f>
        <v>0</v>
      </c>
      <c r="E14" s="336">
        <f t="shared" si="1"/>
        <v>0</v>
      </c>
      <c r="F14" s="339">
        <f t="shared" si="1"/>
        <v>4.2323399999999998</v>
      </c>
      <c r="G14" s="339">
        <f t="shared" si="1"/>
        <v>0</v>
      </c>
      <c r="H14" s="339">
        <f t="shared" si="1"/>
        <v>0</v>
      </c>
      <c r="I14" s="339">
        <f t="shared" si="1"/>
        <v>0</v>
      </c>
      <c r="J14" s="339">
        <f t="shared" si="1"/>
        <v>60.839239999999997</v>
      </c>
      <c r="K14" s="339">
        <f t="shared" si="1"/>
        <v>-23.401349999999997</v>
      </c>
      <c r="L14" s="339">
        <f t="shared" si="1"/>
        <v>10846.437689999999</v>
      </c>
      <c r="M14" s="339">
        <f t="shared" si="1"/>
        <v>0</v>
      </c>
      <c r="N14" s="339">
        <f t="shared" si="1"/>
        <v>2.6035999999999997</v>
      </c>
      <c r="O14" s="339">
        <f t="shared" si="1"/>
        <v>82.638850000000005</v>
      </c>
      <c r="P14" s="339">
        <f t="shared" si="1"/>
        <v>0</v>
      </c>
      <c r="Q14" s="339">
        <f t="shared" si="1"/>
        <v>0</v>
      </c>
      <c r="R14" s="339">
        <f t="shared" si="1"/>
        <v>0</v>
      </c>
      <c r="S14" s="339">
        <f t="shared" si="1"/>
        <v>205.94305</v>
      </c>
      <c r="T14" s="335">
        <f t="shared" si="1"/>
        <v>0</v>
      </c>
      <c r="U14" s="335">
        <f t="shared" si="1"/>
        <v>0</v>
      </c>
      <c r="V14" s="335">
        <f t="shared" si="1"/>
        <v>0</v>
      </c>
      <c r="W14" s="335">
        <f t="shared" si="1"/>
        <v>0</v>
      </c>
      <c r="X14" s="335">
        <f t="shared" si="1"/>
        <v>0</v>
      </c>
      <c r="Y14" s="336">
        <f t="shared" si="1"/>
        <v>0</v>
      </c>
      <c r="Z14" s="339">
        <f t="shared" si="1"/>
        <v>0</v>
      </c>
      <c r="AA14" s="336">
        <f t="shared" si="1"/>
        <v>0</v>
      </c>
      <c r="AB14" s="339">
        <f t="shared" si="1"/>
        <v>0</v>
      </c>
      <c r="AC14" s="337">
        <f t="shared" si="1"/>
        <v>0</v>
      </c>
      <c r="AD14" s="338">
        <f t="shared" si="0"/>
        <v>11179.293419999998</v>
      </c>
    </row>
    <row r="15" spans="1:30" s="46" customFormat="1">
      <c r="A15" s="103"/>
      <c r="B15" s="48"/>
      <c r="C15" s="452"/>
      <c r="D15" s="344"/>
      <c r="E15" s="344"/>
      <c r="F15" s="343"/>
      <c r="G15" s="343"/>
      <c r="H15" s="343"/>
      <c r="I15" s="343"/>
      <c r="J15" s="343"/>
      <c r="K15" s="343"/>
      <c r="L15" s="343"/>
      <c r="M15" s="343"/>
      <c r="N15" s="343"/>
      <c r="O15" s="343"/>
      <c r="P15" s="343"/>
      <c r="Q15" s="343"/>
      <c r="R15" s="343"/>
      <c r="S15" s="343"/>
      <c r="T15" s="344"/>
      <c r="U15" s="344"/>
      <c r="V15" s="344"/>
      <c r="W15" s="344"/>
      <c r="X15" s="344"/>
      <c r="Y15" s="344"/>
      <c r="Z15" s="343"/>
      <c r="AA15" s="344"/>
      <c r="AB15" s="343"/>
      <c r="AC15" s="343"/>
      <c r="AD15" s="345"/>
    </row>
    <row r="16" spans="1:30" s="46" customFormat="1" ht="15">
      <c r="A16" s="104" t="s">
        <v>61</v>
      </c>
      <c r="B16" s="133" t="s">
        <v>58</v>
      </c>
      <c r="C16" s="454"/>
      <c r="D16" s="346"/>
      <c r="E16" s="346"/>
      <c r="F16" s="343"/>
      <c r="G16" s="343"/>
      <c r="H16" s="343"/>
      <c r="I16" s="343"/>
      <c r="J16" s="343"/>
      <c r="K16" s="343"/>
      <c r="L16" s="343"/>
      <c r="M16" s="343"/>
      <c r="N16" s="343"/>
      <c r="O16" s="343"/>
      <c r="P16" s="343"/>
      <c r="Q16" s="343"/>
      <c r="R16" s="343"/>
      <c r="S16" s="343"/>
      <c r="T16" s="346"/>
      <c r="U16" s="346"/>
      <c r="V16" s="346"/>
      <c r="W16" s="346"/>
      <c r="X16" s="346"/>
      <c r="Y16" s="346"/>
      <c r="Z16" s="343"/>
      <c r="AA16" s="346"/>
      <c r="AB16" s="343"/>
      <c r="AC16" s="343"/>
      <c r="AD16" s="345"/>
    </row>
    <row r="17" spans="1:30" s="46" customFormat="1">
      <c r="A17" s="100" t="s">
        <v>280</v>
      </c>
      <c r="B17" s="131" t="s">
        <v>281</v>
      </c>
      <c r="C17" s="454"/>
      <c r="D17" s="335"/>
      <c r="E17" s="336"/>
      <c r="F17" s="334"/>
      <c r="G17" s="334"/>
      <c r="H17" s="334"/>
      <c r="I17" s="334"/>
      <c r="J17" s="334"/>
      <c r="K17" s="334"/>
      <c r="L17" s="334">
        <f>16411/1000</f>
        <v>16.411000000000001</v>
      </c>
      <c r="M17" s="334"/>
      <c r="N17" s="334"/>
      <c r="O17" s="334"/>
      <c r="P17" s="334"/>
      <c r="Q17" s="334"/>
      <c r="R17" s="334"/>
      <c r="S17" s="334"/>
      <c r="T17" s="335"/>
      <c r="U17" s="335"/>
      <c r="V17" s="335"/>
      <c r="W17" s="335"/>
      <c r="X17" s="335"/>
      <c r="Y17" s="336"/>
      <c r="Z17" s="334"/>
      <c r="AA17" s="336"/>
      <c r="AB17" s="334"/>
      <c r="AC17" s="337"/>
      <c r="AD17" s="338">
        <f>SUM(C17:AC17)</f>
        <v>16.411000000000001</v>
      </c>
    </row>
    <row r="18" spans="1:30" s="46" customFormat="1">
      <c r="A18" s="100" t="s">
        <v>26</v>
      </c>
      <c r="B18" s="131" t="s">
        <v>59</v>
      </c>
      <c r="C18" s="454"/>
      <c r="D18" s="335"/>
      <c r="E18" s="336"/>
      <c r="F18" s="339"/>
      <c r="G18" s="339"/>
      <c r="H18" s="339"/>
      <c r="I18" s="339"/>
      <c r="J18" s="339"/>
      <c r="K18" s="339"/>
      <c r="L18" s="339"/>
      <c r="M18" s="339"/>
      <c r="N18" s="339"/>
      <c r="O18" s="339"/>
      <c r="P18" s="339"/>
      <c r="Q18" s="339"/>
      <c r="R18" s="339"/>
      <c r="S18" s="339"/>
      <c r="T18" s="335"/>
      <c r="U18" s="335"/>
      <c r="V18" s="335"/>
      <c r="W18" s="335"/>
      <c r="X18" s="335"/>
      <c r="Y18" s="336"/>
      <c r="Z18" s="339"/>
      <c r="AA18" s="336"/>
      <c r="AB18" s="339"/>
      <c r="AC18" s="337"/>
      <c r="AD18" s="338">
        <f>SUM(C18:AC18)</f>
        <v>0</v>
      </c>
    </row>
    <row r="19" spans="1:30" s="46" customFormat="1">
      <c r="A19" s="100" t="s">
        <v>27</v>
      </c>
      <c r="B19" s="131" t="s">
        <v>282</v>
      </c>
      <c r="C19" s="454"/>
      <c r="D19" s="335"/>
      <c r="E19" s="336"/>
      <c r="F19" s="340"/>
      <c r="G19" s="340"/>
      <c r="H19" s="340"/>
      <c r="I19" s="340"/>
      <c r="J19" s="340"/>
      <c r="K19" s="340"/>
      <c r="L19" s="340"/>
      <c r="M19" s="340"/>
      <c r="N19" s="340"/>
      <c r="O19" s="340"/>
      <c r="P19" s="340"/>
      <c r="Q19" s="340"/>
      <c r="R19" s="340"/>
      <c r="S19" s="340"/>
      <c r="T19" s="335"/>
      <c r="U19" s="335"/>
      <c r="V19" s="335"/>
      <c r="W19" s="335"/>
      <c r="X19" s="335"/>
      <c r="Y19" s="336"/>
      <c r="Z19" s="340"/>
      <c r="AA19" s="336"/>
      <c r="AB19" s="340"/>
      <c r="AC19" s="341"/>
      <c r="AD19" s="342">
        <f>SUM(C19:AC19)</f>
        <v>0</v>
      </c>
    </row>
    <row r="20" spans="1:30" s="46" customFormat="1" ht="15">
      <c r="A20" s="501" t="s">
        <v>62</v>
      </c>
      <c r="B20" s="502"/>
      <c r="C20" s="454">
        <f>SUM(C17:C19)</f>
        <v>0</v>
      </c>
      <c r="D20" s="335">
        <f t="shared" ref="D20:AC20" si="2">SUM(D17:D19)</f>
        <v>0</v>
      </c>
      <c r="E20" s="336">
        <f t="shared" si="2"/>
        <v>0</v>
      </c>
      <c r="F20" s="339">
        <f t="shared" si="2"/>
        <v>0</v>
      </c>
      <c r="G20" s="339">
        <f t="shared" si="2"/>
        <v>0</v>
      </c>
      <c r="H20" s="339">
        <f t="shared" si="2"/>
        <v>0</v>
      </c>
      <c r="I20" s="339">
        <f t="shared" si="2"/>
        <v>0</v>
      </c>
      <c r="J20" s="339">
        <f t="shared" si="2"/>
        <v>0</v>
      </c>
      <c r="K20" s="339">
        <f t="shared" si="2"/>
        <v>0</v>
      </c>
      <c r="L20" s="339">
        <f t="shared" si="2"/>
        <v>16.411000000000001</v>
      </c>
      <c r="M20" s="339">
        <f t="shared" si="2"/>
        <v>0</v>
      </c>
      <c r="N20" s="339">
        <f t="shared" si="2"/>
        <v>0</v>
      </c>
      <c r="O20" s="339">
        <f t="shared" si="2"/>
        <v>0</v>
      </c>
      <c r="P20" s="339">
        <f t="shared" si="2"/>
        <v>0</v>
      </c>
      <c r="Q20" s="339">
        <f t="shared" si="2"/>
        <v>0</v>
      </c>
      <c r="R20" s="339">
        <f t="shared" si="2"/>
        <v>0</v>
      </c>
      <c r="S20" s="339">
        <f t="shared" si="2"/>
        <v>0</v>
      </c>
      <c r="T20" s="335">
        <f t="shared" si="2"/>
        <v>0</v>
      </c>
      <c r="U20" s="335">
        <f t="shared" si="2"/>
        <v>0</v>
      </c>
      <c r="V20" s="335">
        <f t="shared" si="2"/>
        <v>0</v>
      </c>
      <c r="W20" s="335">
        <f t="shared" si="2"/>
        <v>0</v>
      </c>
      <c r="X20" s="335">
        <f t="shared" si="2"/>
        <v>0</v>
      </c>
      <c r="Y20" s="336">
        <f t="shared" si="2"/>
        <v>0</v>
      </c>
      <c r="Z20" s="339">
        <f t="shared" si="2"/>
        <v>0</v>
      </c>
      <c r="AA20" s="336">
        <f t="shared" si="2"/>
        <v>0</v>
      </c>
      <c r="AB20" s="339">
        <f t="shared" si="2"/>
        <v>0</v>
      </c>
      <c r="AC20" s="337">
        <f t="shared" si="2"/>
        <v>0</v>
      </c>
      <c r="AD20" s="338">
        <f>SUM(C20:AC20)</f>
        <v>16.411000000000001</v>
      </c>
    </row>
    <row r="21" spans="1:30" s="46" customFormat="1">
      <c r="A21" s="103"/>
      <c r="B21" s="48"/>
      <c r="C21" s="454"/>
      <c r="D21" s="344"/>
      <c r="E21" s="344"/>
      <c r="F21" s="343"/>
      <c r="G21" s="343"/>
      <c r="H21" s="343"/>
      <c r="I21" s="343"/>
      <c r="J21" s="343"/>
      <c r="K21" s="343"/>
      <c r="L21" s="343"/>
      <c r="M21" s="343"/>
      <c r="N21" s="343"/>
      <c r="O21" s="343"/>
      <c r="P21" s="343"/>
      <c r="Q21" s="343"/>
      <c r="R21" s="343"/>
      <c r="S21" s="343"/>
      <c r="T21" s="344"/>
      <c r="U21" s="344"/>
      <c r="V21" s="344"/>
      <c r="W21" s="344"/>
      <c r="X21" s="344"/>
      <c r="Y21" s="344"/>
      <c r="Z21" s="343"/>
      <c r="AA21" s="344"/>
      <c r="AB21" s="343"/>
      <c r="AC21" s="343"/>
      <c r="AD21" s="345"/>
    </row>
    <row r="22" spans="1:30" s="46" customFormat="1" ht="15">
      <c r="A22" s="104" t="s">
        <v>63</v>
      </c>
      <c r="B22" s="133" t="s">
        <v>283</v>
      </c>
      <c r="C22" s="455"/>
      <c r="D22" s="346"/>
      <c r="E22" s="346"/>
      <c r="F22" s="343"/>
      <c r="G22" s="343"/>
      <c r="H22" s="343"/>
      <c r="I22" s="343"/>
      <c r="J22" s="343"/>
      <c r="K22" s="343"/>
      <c r="L22" s="343"/>
      <c r="M22" s="343"/>
      <c r="N22" s="343"/>
      <c r="O22" s="343"/>
      <c r="P22" s="343"/>
      <c r="Q22" s="343"/>
      <c r="R22" s="343"/>
      <c r="S22" s="343"/>
      <c r="T22" s="346"/>
      <c r="U22" s="346"/>
      <c r="V22" s="346"/>
      <c r="W22" s="346"/>
      <c r="X22" s="346"/>
      <c r="Y22" s="346"/>
      <c r="Z22" s="343"/>
      <c r="AA22" s="346"/>
      <c r="AB22" s="343"/>
      <c r="AC22" s="343"/>
      <c r="AD22" s="345"/>
    </row>
    <row r="23" spans="1:30" s="46" customFormat="1">
      <c r="A23" s="100" t="s">
        <v>29</v>
      </c>
      <c r="B23" s="131" t="s">
        <v>284</v>
      </c>
      <c r="C23" s="454"/>
      <c r="D23" s="335"/>
      <c r="E23" s="336"/>
      <c r="F23" s="334"/>
      <c r="G23" s="334"/>
      <c r="H23" s="334"/>
      <c r="I23" s="334"/>
      <c r="J23" s="334"/>
      <c r="K23" s="334"/>
      <c r="L23" s="334"/>
      <c r="M23" s="334"/>
      <c r="N23" s="334">
        <f>970457.7/1000</f>
        <v>970.45769999999993</v>
      </c>
      <c r="O23" s="334"/>
      <c r="P23" s="334">
        <f>8073349.6/1000</f>
        <v>8073.3495999999996</v>
      </c>
      <c r="Q23" s="334"/>
      <c r="R23" s="334"/>
      <c r="S23" s="334"/>
      <c r="T23" s="335"/>
      <c r="U23" s="335"/>
      <c r="V23" s="335"/>
      <c r="W23" s="335"/>
      <c r="X23" s="335"/>
      <c r="Y23" s="336"/>
      <c r="Z23" s="334"/>
      <c r="AA23" s="336"/>
      <c r="AB23" s="334"/>
      <c r="AC23" s="337"/>
      <c r="AD23" s="338">
        <f t="shared" ref="AD23:AD28" si="3">SUM(C23:AC23)</f>
        <v>9043.8073000000004</v>
      </c>
    </row>
    <row r="24" spans="1:30" s="46" customFormat="1">
      <c r="A24" s="100" t="s">
        <v>30</v>
      </c>
      <c r="B24" s="131" t="s">
        <v>285</v>
      </c>
      <c r="C24" s="454"/>
      <c r="D24" s="335"/>
      <c r="E24" s="336"/>
      <c r="F24" s="339">
        <f>122004.42/1000</f>
        <v>122.00442</v>
      </c>
      <c r="G24" s="339"/>
      <c r="H24" s="339"/>
      <c r="I24" s="339"/>
      <c r="J24" s="339"/>
      <c r="K24" s="339">
        <f>110982.63/1000</f>
        <v>110.98263</v>
      </c>
      <c r="L24" s="339">
        <f>699369.82/1000</f>
        <v>699.36982</v>
      </c>
      <c r="M24" s="339"/>
      <c r="N24" s="339">
        <f>1016404.1/1000</f>
        <v>1016.4041</v>
      </c>
      <c r="O24" s="339">
        <f>69361.54/1000</f>
        <v>69.361539999999991</v>
      </c>
      <c r="P24" s="339">
        <f>196802/1000</f>
        <v>196.80199999999999</v>
      </c>
      <c r="Q24" s="339">
        <f>5000/1000</f>
        <v>5</v>
      </c>
      <c r="R24" s="339"/>
      <c r="S24" s="339">
        <f>8674070/1000</f>
        <v>8674.07</v>
      </c>
      <c r="T24" s="335"/>
      <c r="U24" s="335"/>
      <c r="V24" s="335"/>
      <c r="W24" s="335"/>
      <c r="X24" s="335"/>
      <c r="Y24" s="336"/>
      <c r="Z24" s="339"/>
      <c r="AA24" s="336"/>
      <c r="AB24" s="339"/>
      <c r="AC24" s="337"/>
      <c r="AD24" s="338">
        <f t="shared" si="3"/>
        <v>10893.99451</v>
      </c>
    </row>
    <row r="25" spans="1:30" s="46" customFormat="1">
      <c r="A25" s="100" t="s">
        <v>286</v>
      </c>
      <c r="B25" s="131" t="s">
        <v>287</v>
      </c>
      <c r="C25" s="454"/>
      <c r="D25" s="335"/>
      <c r="E25" s="336"/>
      <c r="F25" s="339"/>
      <c r="G25" s="339"/>
      <c r="H25" s="339"/>
      <c r="I25" s="339"/>
      <c r="J25" s="339"/>
      <c r="K25" s="339"/>
      <c r="L25" s="339"/>
      <c r="M25" s="339"/>
      <c r="N25" s="339"/>
      <c r="O25" s="339"/>
      <c r="P25" s="339"/>
      <c r="Q25" s="339"/>
      <c r="R25" s="339"/>
      <c r="S25" s="339"/>
      <c r="T25" s="335"/>
      <c r="U25" s="335"/>
      <c r="V25" s="335"/>
      <c r="W25" s="335"/>
      <c r="X25" s="335"/>
      <c r="Y25" s="336"/>
      <c r="Z25" s="339"/>
      <c r="AA25" s="336"/>
      <c r="AB25" s="339"/>
      <c r="AC25" s="337"/>
      <c r="AD25" s="338">
        <f t="shared" si="3"/>
        <v>0</v>
      </c>
    </row>
    <row r="26" spans="1:30" s="46" customFormat="1">
      <c r="A26" s="100" t="s">
        <v>288</v>
      </c>
      <c r="B26" s="131" t="s">
        <v>289</v>
      </c>
      <c r="C26" s="454"/>
      <c r="D26" s="335"/>
      <c r="E26" s="336"/>
      <c r="F26" s="339">
        <f>107880.33/1000</f>
        <v>107.88033</v>
      </c>
      <c r="G26" s="339"/>
      <c r="H26" s="339"/>
      <c r="I26" s="339"/>
      <c r="J26" s="339">
        <f>2791.69/1000</f>
        <v>2.79169</v>
      </c>
      <c r="K26" s="339">
        <f>-99.55/1000</f>
        <v>-9.955E-2</v>
      </c>
      <c r="L26" s="339">
        <f>30306.54/1000</f>
        <v>30.306540000000002</v>
      </c>
      <c r="M26" s="339"/>
      <c r="N26" s="339">
        <f>1249612.13/1000</f>
        <v>1249.61213</v>
      </c>
      <c r="O26" s="339">
        <f>88330.4/1000</f>
        <v>88.330399999999997</v>
      </c>
      <c r="P26" s="339"/>
      <c r="Q26" s="339"/>
      <c r="R26" s="339"/>
      <c r="S26" s="339">
        <f>(13491.25+61603.2)/1000</f>
        <v>75.094449999999995</v>
      </c>
      <c r="T26" s="335"/>
      <c r="U26" s="335"/>
      <c r="V26" s="335"/>
      <c r="W26" s="335"/>
      <c r="X26" s="335"/>
      <c r="Y26" s="336"/>
      <c r="Z26" s="339"/>
      <c r="AA26" s="336"/>
      <c r="AB26" s="339"/>
      <c r="AC26" s="337"/>
      <c r="AD26" s="338">
        <f t="shared" si="3"/>
        <v>1553.9159900000002</v>
      </c>
    </row>
    <row r="27" spans="1:30" s="46" customFormat="1">
      <c r="A27" s="100" t="s">
        <v>191</v>
      </c>
      <c r="B27" s="131" t="s">
        <v>290</v>
      </c>
      <c r="C27" s="454"/>
      <c r="D27" s="335"/>
      <c r="E27" s="336"/>
      <c r="F27" s="340"/>
      <c r="G27" s="340"/>
      <c r="H27" s="340"/>
      <c r="I27" s="340"/>
      <c r="J27" s="340"/>
      <c r="K27" s="340"/>
      <c r="L27" s="340"/>
      <c r="M27" s="340"/>
      <c r="N27" s="340">
        <f>56845445.73/1000</f>
        <v>56845.445729999999</v>
      </c>
      <c r="O27" s="340">
        <f>300753/1000</f>
        <v>300.75299999999999</v>
      </c>
      <c r="P27" s="340">
        <f>71000/1000</f>
        <v>71</v>
      </c>
      <c r="Q27" s="340"/>
      <c r="R27" s="340"/>
      <c r="S27" s="340"/>
      <c r="T27" s="335"/>
      <c r="U27" s="335"/>
      <c r="V27" s="335"/>
      <c r="W27" s="335"/>
      <c r="X27" s="335"/>
      <c r="Y27" s="336"/>
      <c r="Z27" s="340"/>
      <c r="AA27" s="336"/>
      <c r="AB27" s="340"/>
      <c r="AC27" s="341"/>
      <c r="AD27" s="342">
        <f t="shared" si="3"/>
        <v>57217.198729999996</v>
      </c>
    </row>
    <row r="28" spans="1:30" s="46" customFormat="1" ht="15">
      <c r="A28" s="501" t="s">
        <v>64</v>
      </c>
      <c r="B28" s="502"/>
      <c r="C28" s="454">
        <f>SUM(C23:C27)</f>
        <v>0</v>
      </c>
      <c r="D28" s="335">
        <f t="shared" ref="D28:AC28" si="4">SUM(D23:D27)</f>
        <v>0</v>
      </c>
      <c r="E28" s="336">
        <f t="shared" si="4"/>
        <v>0</v>
      </c>
      <c r="F28" s="339">
        <f t="shared" si="4"/>
        <v>229.88475</v>
      </c>
      <c r="G28" s="339">
        <f t="shared" si="4"/>
        <v>0</v>
      </c>
      <c r="H28" s="339">
        <f t="shared" si="4"/>
        <v>0</v>
      </c>
      <c r="I28" s="339">
        <f t="shared" si="4"/>
        <v>0</v>
      </c>
      <c r="J28" s="339">
        <f t="shared" si="4"/>
        <v>2.79169</v>
      </c>
      <c r="K28" s="339">
        <f t="shared" si="4"/>
        <v>110.88308000000001</v>
      </c>
      <c r="L28" s="339">
        <f t="shared" si="4"/>
        <v>729.67636000000005</v>
      </c>
      <c r="M28" s="339">
        <f t="shared" si="4"/>
        <v>0</v>
      </c>
      <c r="N28" s="339">
        <f t="shared" si="4"/>
        <v>60081.91966</v>
      </c>
      <c r="O28" s="339">
        <f t="shared" si="4"/>
        <v>458.44493999999997</v>
      </c>
      <c r="P28" s="339">
        <f t="shared" si="4"/>
        <v>8341.1515999999992</v>
      </c>
      <c r="Q28" s="339">
        <f t="shared" si="4"/>
        <v>5</v>
      </c>
      <c r="R28" s="339">
        <f t="shared" si="4"/>
        <v>0</v>
      </c>
      <c r="S28" s="339">
        <f t="shared" si="4"/>
        <v>8749.1644500000002</v>
      </c>
      <c r="T28" s="335">
        <f t="shared" si="4"/>
        <v>0</v>
      </c>
      <c r="U28" s="335">
        <f t="shared" si="4"/>
        <v>0</v>
      </c>
      <c r="V28" s="335">
        <f t="shared" si="4"/>
        <v>0</v>
      </c>
      <c r="W28" s="335">
        <f t="shared" si="4"/>
        <v>0</v>
      </c>
      <c r="X28" s="335">
        <f t="shared" si="4"/>
        <v>0</v>
      </c>
      <c r="Y28" s="336">
        <f t="shared" si="4"/>
        <v>0</v>
      </c>
      <c r="Z28" s="339">
        <f t="shared" si="4"/>
        <v>0</v>
      </c>
      <c r="AA28" s="336">
        <f t="shared" si="4"/>
        <v>0</v>
      </c>
      <c r="AB28" s="339">
        <f t="shared" si="4"/>
        <v>0</v>
      </c>
      <c r="AC28" s="337">
        <f t="shared" si="4"/>
        <v>0</v>
      </c>
      <c r="AD28" s="338">
        <f t="shared" si="3"/>
        <v>78708.916530000002</v>
      </c>
    </row>
    <row r="29" spans="1:30" s="46" customFormat="1">
      <c r="A29" s="103"/>
      <c r="B29" s="48"/>
      <c r="C29" s="452"/>
      <c r="D29" s="344"/>
      <c r="E29" s="344"/>
      <c r="F29" s="343"/>
      <c r="G29" s="343"/>
      <c r="H29" s="343"/>
      <c r="I29" s="343"/>
      <c r="J29" s="343"/>
      <c r="K29" s="343"/>
      <c r="L29" s="343"/>
      <c r="M29" s="343"/>
      <c r="N29" s="343"/>
      <c r="O29" s="343"/>
      <c r="P29" s="343"/>
      <c r="Q29" s="343"/>
      <c r="R29" s="343"/>
      <c r="S29" s="343"/>
      <c r="T29" s="344"/>
      <c r="U29" s="344"/>
      <c r="V29" s="344"/>
      <c r="W29" s="344"/>
      <c r="X29" s="344"/>
      <c r="Y29" s="344"/>
      <c r="Z29" s="343"/>
      <c r="AA29" s="344"/>
      <c r="AB29" s="343"/>
      <c r="AC29" s="343"/>
      <c r="AD29" s="345"/>
    </row>
    <row r="30" spans="1:30" s="46" customFormat="1" ht="15">
      <c r="A30" s="104" t="s">
        <v>65</v>
      </c>
      <c r="B30" s="133" t="s">
        <v>291</v>
      </c>
      <c r="C30" s="455"/>
      <c r="D30" s="346"/>
      <c r="E30" s="346"/>
      <c r="F30" s="343"/>
      <c r="G30" s="343"/>
      <c r="H30" s="343"/>
      <c r="I30" s="343"/>
      <c r="J30" s="343"/>
      <c r="K30" s="343"/>
      <c r="L30" s="343"/>
      <c r="M30" s="343"/>
      <c r="N30" s="343"/>
      <c r="O30" s="343"/>
      <c r="P30" s="343"/>
      <c r="Q30" s="343"/>
      <c r="R30" s="343"/>
      <c r="S30" s="343"/>
      <c r="T30" s="346"/>
      <c r="U30" s="346"/>
      <c r="V30" s="346"/>
      <c r="W30" s="346"/>
      <c r="X30" s="346"/>
      <c r="Y30" s="346"/>
      <c r="Z30" s="343"/>
      <c r="AA30" s="346"/>
      <c r="AB30" s="343"/>
      <c r="AC30" s="343"/>
      <c r="AD30" s="345"/>
    </row>
    <row r="31" spans="1:30" s="46" customFormat="1">
      <c r="A31" s="100" t="s">
        <v>292</v>
      </c>
      <c r="B31" s="131" t="s">
        <v>293</v>
      </c>
      <c r="C31" s="454"/>
      <c r="D31" s="335"/>
      <c r="E31" s="336"/>
      <c r="F31" s="334">
        <f>412839.34/1000</f>
        <v>412.83934000000005</v>
      </c>
      <c r="G31" s="334"/>
      <c r="H31" s="334"/>
      <c r="I31" s="334"/>
      <c r="J31" s="334"/>
      <c r="K31" s="334"/>
      <c r="L31" s="334"/>
      <c r="M31" s="334"/>
      <c r="N31" s="334">
        <f>57804.53/1000</f>
        <v>57.80453</v>
      </c>
      <c r="O31" s="334">
        <f>8300/1000</f>
        <v>8.3000000000000007</v>
      </c>
      <c r="P31" s="334"/>
      <c r="Q31" s="334"/>
      <c r="R31" s="334">
        <f>177021.14/1000</f>
        <v>177.02114</v>
      </c>
      <c r="S31" s="334">
        <f>9445.1/1000</f>
        <v>9.4451000000000001</v>
      </c>
      <c r="T31" s="347"/>
      <c r="U31" s="335"/>
      <c r="V31" s="335"/>
      <c r="W31" s="335"/>
      <c r="X31" s="335"/>
      <c r="Y31" s="336"/>
      <c r="Z31" s="334"/>
      <c r="AA31" s="348"/>
      <c r="AB31" s="334"/>
      <c r="AC31" s="337"/>
      <c r="AD31" s="338">
        <f t="shared" ref="AD31:AD37" si="5">SUM(C31:AC31)</f>
        <v>665.41011000000015</v>
      </c>
    </row>
    <row r="32" spans="1:30" s="46" customFormat="1">
      <c r="A32" s="100" t="s">
        <v>294</v>
      </c>
      <c r="B32" s="131" t="s">
        <v>295</v>
      </c>
      <c r="C32" s="454"/>
      <c r="D32" s="335"/>
      <c r="E32" s="336"/>
      <c r="F32" s="339"/>
      <c r="G32" s="339"/>
      <c r="H32" s="339"/>
      <c r="I32" s="339"/>
      <c r="J32" s="339"/>
      <c r="K32" s="339"/>
      <c r="L32" s="339"/>
      <c r="M32" s="339"/>
      <c r="N32" s="339"/>
      <c r="O32" s="339"/>
      <c r="P32" s="339"/>
      <c r="Q32" s="339"/>
      <c r="R32" s="339"/>
      <c r="S32" s="339"/>
      <c r="T32" s="347"/>
      <c r="U32" s="335"/>
      <c r="V32" s="335"/>
      <c r="W32" s="335"/>
      <c r="X32" s="335"/>
      <c r="Y32" s="336"/>
      <c r="Z32" s="339"/>
      <c r="AA32" s="348"/>
      <c r="AB32" s="339"/>
      <c r="AC32" s="337"/>
      <c r="AD32" s="338">
        <f t="shared" si="5"/>
        <v>0</v>
      </c>
    </row>
    <row r="33" spans="1:30" s="46" customFormat="1">
      <c r="A33" s="100" t="s">
        <v>296</v>
      </c>
      <c r="B33" s="131" t="s">
        <v>297</v>
      </c>
      <c r="C33" s="454"/>
      <c r="D33" s="335"/>
      <c r="E33" s="335"/>
      <c r="F33" s="339"/>
      <c r="G33" s="339"/>
      <c r="H33" s="339"/>
      <c r="I33" s="339"/>
      <c r="J33" s="339"/>
      <c r="K33" s="339"/>
      <c r="L33" s="339"/>
      <c r="M33" s="339"/>
      <c r="N33" s="339"/>
      <c r="O33" s="339"/>
      <c r="P33" s="339"/>
      <c r="Q33" s="339"/>
      <c r="R33" s="339"/>
      <c r="S33" s="339"/>
      <c r="T33" s="347"/>
      <c r="U33" s="335"/>
      <c r="V33" s="335"/>
      <c r="W33" s="335"/>
      <c r="X33" s="335"/>
      <c r="Y33" s="336"/>
      <c r="Z33" s="339"/>
      <c r="AA33" s="348"/>
      <c r="AB33" s="339"/>
      <c r="AC33" s="337"/>
      <c r="AD33" s="338">
        <f t="shared" si="5"/>
        <v>0</v>
      </c>
    </row>
    <row r="34" spans="1:30" s="46" customFormat="1">
      <c r="A34" s="100" t="s">
        <v>298</v>
      </c>
      <c r="B34" s="131" t="s">
        <v>299</v>
      </c>
      <c r="C34" s="454"/>
      <c r="D34" s="335"/>
      <c r="E34" s="335"/>
      <c r="F34" s="339"/>
      <c r="G34" s="339"/>
      <c r="H34" s="339"/>
      <c r="I34" s="339"/>
      <c r="J34" s="339"/>
      <c r="K34" s="339"/>
      <c r="L34" s="339"/>
      <c r="M34" s="339"/>
      <c r="N34" s="339"/>
      <c r="O34" s="339"/>
      <c r="P34" s="339"/>
      <c r="Q34" s="339"/>
      <c r="R34" s="339"/>
      <c r="S34" s="339"/>
      <c r="T34" s="347"/>
      <c r="U34" s="335"/>
      <c r="V34" s="335"/>
      <c r="W34" s="335"/>
      <c r="X34" s="335"/>
      <c r="Y34" s="336"/>
      <c r="Z34" s="339"/>
      <c r="AA34" s="348"/>
      <c r="AB34" s="339"/>
      <c r="AC34" s="337"/>
      <c r="AD34" s="338">
        <f t="shared" si="5"/>
        <v>0</v>
      </c>
    </row>
    <row r="35" spans="1:30" s="46" customFormat="1">
      <c r="A35" s="100" t="s">
        <v>300</v>
      </c>
      <c r="B35" s="131" t="s">
        <v>301</v>
      </c>
      <c r="C35" s="454"/>
      <c r="D35" s="339"/>
      <c r="E35" s="335"/>
      <c r="F35" s="339"/>
      <c r="G35" s="339"/>
      <c r="H35" s="339"/>
      <c r="I35" s="339"/>
      <c r="J35" s="339"/>
      <c r="K35" s="339"/>
      <c r="L35" s="339"/>
      <c r="M35" s="339"/>
      <c r="N35" s="339"/>
      <c r="O35" s="339"/>
      <c r="P35" s="339"/>
      <c r="Q35" s="339"/>
      <c r="R35" s="339"/>
      <c r="S35" s="339"/>
      <c r="T35" s="347"/>
      <c r="U35" s="335"/>
      <c r="V35" s="335"/>
      <c r="W35" s="335"/>
      <c r="X35" s="335"/>
      <c r="Y35" s="336"/>
      <c r="Z35" s="339"/>
      <c r="AA35" s="348"/>
      <c r="AB35" s="339"/>
      <c r="AC35" s="337"/>
      <c r="AD35" s="338">
        <f t="shared" si="5"/>
        <v>0</v>
      </c>
    </row>
    <row r="36" spans="1:30" s="46" customFormat="1">
      <c r="A36" s="100" t="s">
        <v>302</v>
      </c>
      <c r="B36" s="131" t="s">
        <v>303</v>
      </c>
      <c r="C36" s="454"/>
      <c r="D36" s="335"/>
      <c r="E36" s="335"/>
      <c r="F36" s="340"/>
      <c r="G36" s="340"/>
      <c r="H36" s="340"/>
      <c r="I36" s="340"/>
      <c r="J36" s="340"/>
      <c r="K36" s="340"/>
      <c r="L36" s="340"/>
      <c r="M36" s="340"/>
      <c r="N36" s="340"/>
      <c r="O36" s="340"/>
      <c r="P36" s="340"/>
      <c r="Q36" s="340"/>
      <c r="R36" s="340"/>
      <c r="S36" s="340"/>
      <c r="T36" s="347"/>
      <c r="U36" s="335"/>
      <c r="V36" s="335"/>
      <c r="W36" s="335"/>
      <c r="X36" s="335"/>
      <c r="Y36" s="336"/>
      <c r="Z36" s="340"/>
      <c r="AA36" s="348"/>
      <c r="AB36" s="340"/>
      <c r="AC36" s="341"/>
      <c r="AD36" s="342">
        <f t="shared" si="5"/>
        <v>0</v>
      </c>
    </row>
    <row r="37" spans="1:30" s="46" customFormat="1" ht="15">
      <c r="A37" s="501" t="s">
        <v>66</v>
      </c>
      <c r="B37" s="502"/>
      <c r="C37" s="454">
        <f>SUM(C31:C36)</f>
        <v>0</v>
      </c>
      <c r="D37" s="339">
        <f t="shared" ref="D37:AC37" si="6">SUM(D31:D36)</f>
        <v>0</v>
      </c>
      <c r="E37" s="348">
        <f t="shared" si="6"/>
        <v>0</v>
      </c>
      <c r="F37" s="339">
        <f t="shared" si="6"/>
        <v>412.83934000000005</v>
      </c>
      <c r="G37" s="339">
        <f t="shared" si="6"/>
        <v>0</v>
      </c>
      <c r="H37" s="339">
        <f t="shared" si="6"/>
        <v>0</v>
      </c>
      <c r="I37" s="339">
        <f t="shared" si="6"/>
        <v>0</v>
      </c>
      <c r="J37" s="339">
        <f t="shared" si="6"/>
        <v>0</v>
      </c>
      <c r="K37" s="339">
        <f t="shared" si="6"/>
        <v>0</v>
      </c>
      <c r="L37" s="339">
        <f t="shared" si="6"/>
        <v>0</v>
      </c>
      <c r="M37" s="339">
        <f t="shared" si="6"/>
        <v>0</v>
      </c>
      <c r="N37" s="339">
        <f t="shared" si="6"/>
        <v>57.80453</v>
      </c>
      <c r="O37" s="339">
        <f t="shared" si="6"/>
        <v>8.3000000000000007</v>
      </c>
      <c r="P37" s="339">
        <f t="shared" si="6"/>
        <v>0</v>
      </c>
      <c r="Q37" s="339">
        <f t="shared" si="6"/>
        <v>0</v>
      </c>
      <c r="R37" s="339">
        <f t="shared" si="6"/>
        <v>177.02114</v>
      </c>
      <c r="S37" s="339">
        <f t="shared" si="6"/>
        <v>9.4451000000000001</v>
      </c>
      <c r="T37" s="347">
        <f t="shared" si="6"/>
        <v>0</v>
      </c>
      <c r="U37" s="335">
        <f t="shared" si="6"/>
        <v>0</v>
      </c>
      <c r="V37" s="335">
        <f t="shared" si="6"/>
        <v>0</v>
      </c>
      <c r="W37" s="335">
        <f t="shared" si="6"/>
        <v>0</v>
      </c>
      <c r="X37" s="335">
        <f t="shared" si="6"/>
        <v>0</v>
      </c>
      <c r="Y37" s="336">
        <f t="shared" si="6"/>
        <v>0</v>
      </c>
      <c r="Z37" s="339">
        <f t="shared" si="6"/>
        <v>0</v>
      </c>
      <c r="AA37" s="348">
        <f t="shared" si="6"/>
        <v>0</v>
      </c>
      <c r="AB37" s="339">
        <f t="shared" si="6"/>
        <v>0</v>
      </c>
      <c r="AC37" s="337">
        <f t="shared" si="6"/>
        <v>0</v>
      </c>
      <c r="AD37" s="338">
        <f t="shared" si="5"/>
        <v>665.41011000000015</v>
      </c>
    </row>
    <row r="38" spans="1:30" s="46" customFormat="1">
      <c r="A38" s="103"/>
      <c r="B38" s="48"/>
      <c r="C38" s="452"/>
      <c r="D38" s="343"/>
      <c r="E38" s="344"/>
      <c r="F38" s="343"/>
      <c r="G38" s="343"/>
      <c r="H38" s="343"/>
      <c r="I38" s="343"/>
      <c r="J38" s="343"/>
      <c r="K38" s="343"/>
      <c r="L38" s="343"/>
      <c r="M38" s="343"/>
      <c r="N38" s="343"/>
      <c r="O38" s="343"/>
      <c r="P38" s="343"/>
      <c r="Q38" s="343"/>
      <c r="R38" s="343"/>
      <c r="S38" s="343"/>
      <c r="T38" s="344"/>
      <c r="U38" s="344"/>
      <c r="V38" s="344"/>
      <c r="W38" s="344"/>
      <c r="X38" s="344"/>
      <c r="Y38" s="344"/>
      <c r="Z38" s="343"/>
      <c r="AA38" s="344"/>
      <c r="AB38" s="343"/>
      <c r="AC38" s="343"/>
      <c r="AD38" s="345"/>
    </row>
    <row r="39" spans="1:30" s="46" customFormat="1" ht="15">
      <c r="A39" s="104" t="s">
        <v>67</v>
      </c>
      <c r="B39" s="133" t="s">
        <v>304</v>
      </c>
      <c r="C39" s="455"/>
      <c r="D39" s="346"/>
      <c r="E39" s="346"/>
      <c r="F39" s="343"/>
      <c r="G39" s="343"/>
      <c r="H39" s="343"/>
      <c r="I39" s="343"/>
      <c r="J39" s="343"/>
      <c r="K39" s="343"/>
      <c r="L39" s="343"/>
      <c r="M39" s="343"/>
      <c r="N39" s="343"/>
      <c r="O39" s="343"/>
      <c r="P39" s="343"/>
      <c r="Q39" s="343"/>
      <c r="R39" s="343"/>
      <c r="S39" s="343"/>
      <c r="T39" s="346"/>
      <c r="U39" s="346"/>
      <c r="V39" s="346"/>
      <c r="W39" s="346"/>
      <c r="X39" s="346"/>
      <c r="Y39" s="346"/>
      <c r="Z39" s="343"/>
      <c r="AA39" s="346"/>
      <c r="AB39" s="343"/>
      <c r="AC39" s="343"/>
      <c r="AD39" s="345"/>
    </row>
    <row r="40" spans="1:30" s="46" customFormat="1">
      <c r="A40" s="100" t="s">
        <v>242</v>
      </c>
      <c r="B40" s="131" t="s">
        <v>305</v>
      </c>
      <c r="C40" s="454"/>
      <c r="D40" s="335"/>
      <c r="E40" s="336"/>
      <c r="F40" s="334"/>
      <c r="G40" s="334"/>
      <c r="H40" s="334"/>
      <c r="I40" s="334"/>
      <c r="J40" s="334"/>
      <c r="K40" s="334"/>
      <c r="L40" s="334">
        <f>454.99/1000</f>
        <v>0.45499000000000001</v>
      </c>
      <c r="M40" s="334"/>
      <c r="N40" s="334">
        <f>280125.09/1000</f>
        <v>280.12509</v>
      </c>
      <c r="O40" s="334">
        <f>3662543/1000</f>
        <v>3662.5430000000001</v>
      </c>
      <c r="P40" s="334"/>
      <c r="Q40" s="334"/>
      <c r="R40" s="334"/>
      <c r="S40" s="334"/>
      <c r="T40" s="347"/>
      <c r="U40" s="335"/>
      <c r="V40" s="335"/>
      <c r="W40" s="335"/>
      <c r="X40" s="335"/>
      <c r="Y40" s="336"/>
      <c r="Z40" s="334"/>
      <c r="AA40" s="348"/>
      <c r="AB40" s="334"/>
      <c r="AC40" s="337"/>
      <c r="AD40" s="338">
        <f t="shared" ref="AD40:AD47" si="7">SUM(C40:AC40)</f>
        <v>3943.1230800000003</v>
      </c>
    </row>
    <row r="41" spans="1:30" s="46" customFormat="1">
      <c r="A41" s="100" t="s">
        <v>33</v>
      </c>
      <c r="B41" s="131" t="s">
        <v>306</v>
      </c>
      <c r="C41" s="454"/>
      <c r="D41" s="335"/>
      <c r="E41" s="335"/>
      <c r="F41" s="339"/>
      <c r="G41" s="339"/>
      <c r="H41" s="339"/>
      <c r="I41" s="339"/>
      <c r="J41" s="339"/>
      <c r="K41" s="339"/>
      <c r="L41" s="339"/>
      <c r="M41" s="339"/>
      <c r="N41" s="339"/>
      <c r="O41" s="339"/>
      <c r="P41" s="339"/>
      <c r="Q41" s="339"/>
      <c r="R41" s="339"/>
      <c r="S41" s="339"/>
      <c r="T41" s="347"/>
      <c r="U41" s="335"/>
      <c r="V41" s="335"/>
      <c r="W41" s="335"/>
      <c r="X41" s="335"/>
      <c r="Y41" s="336"/>
      <c r="Z41" s="339"/>
      <c r="AA41" s="348"/>
      <c r="AB41" s="339"/>
      <c r="AC41" s="337"/>
      <c r="AD41" s="338">
        <f t="shared" si="7"/>
        <v>0</v>
      </c>
    </row>
    <row r="42" spans="1:30" s="46" customFormat="1">
      <c r="A42" s="100" t="s">
        <v>34</v>
      </c>
      <c r="B42" s="131" t="s">
        <v>307</v>
      </c>
      <c r="C42" s="454"/>
      <c r="D42" s="339"/>
      <c r="E42" s="335"/>
      <c r="F42" s="339"/>
      <c r="G42" s="339"/>
      <c r="H42" s="339"/>
      <c r="I42" s="339"/>
      <c r="J42" s="339"/>
      <c r="K42" s="339"/>
      <c r="L42" s="339"/>
      <c r="M42" s="339"/>
      <c r="N42" s="339">
        <f>90906.52/1000</f>
        <v>90.90652</v>
      </c>
      <c r="O42" s="339"/>
      <c r="P42" s="339"/>
      <c r="Q42" s="339"/>
      <c r="R42" s="339"/>
      <c r="S42" s="339">
        <f>193507.86/1000</f>
        <v>193.50785999999999</v>
      </c>
      <c r="T42" s="347"/>
      <c r="U42" s="335"/>
      <c r="V42" s="335"/>
      <c r="W42" s="335"/>
      <c r="X42" s="335"/>
      <c r="Y42" s="336"/>
      <c r="Z42" s="339"/>
      <c r="AA42" s="348"/>
      <c r="AB42" s="339"/>
      <c r="AC42" s="337"/>
      <c r="AD42" s="338">
        <f t="shared" si="7"/>
        <v>284.41437999999999</v>
      </c>
    </row>
    <row r="43" spans="1:30" s="46" customFormat="1">
      <c r="A43" s="100" t="s">
        <v>35</v>
      </c>
      <c r="B43" s="131" t="s">
        <v>308</v>
      </c>
      <c r="C43" s="454"/>
      <c r="D43" s="335"/>
      <c r="E43" s="335"/>
      <c r="F43" s="339"/>
      <c r="G43" s="339"/>
      <c r="H43" s="339"/>
      <c r="I43" s="339"/>
      <c r="J43" s="339"/>
      <c r="K43" s="339"/>
      <c r="L43" s="339"/>
      <c r="M43" s="339"/>
      <c r="N43" s="339"/>
      <c r="O43" s="339"/>
      <c r="P43" s="339"/>
      <c r="Q43" s="339"/>
      <c r="R43" s="339"/>
      <c r="S43" s="339"/>
      <c r="T43" s="347"/>
      <c r="U43" s="335"/>
      <c r="V43" s="335"/>
      <c r="W43" s="335"/>
      <c r="X43" s="335"/>
      <c r="Y43" s="336"/>
      <c r="Z43" s="339"/>
      <c r="AA43" s="348"/>
      <c r="AB43" s="339"/>
      <c r="AC43" s="337"/>
      <c r="AD43" s="338">
        <f t="shared" si="7"/>
        <v>0</v>
      </c>
    </row>
    <row r="44" spans="1:30" s="46" customFormat="1">
      <c r="A44" s="100" t="s">
        <v>36</v>
      </c>
      <c r="B44" s="131" t="s">
        <v>309</v>
      </c>
      <c r="C44" s="454"/>
      <c r="D44" s="335"/>
      <c r="E44" s="335"/>
      <c r="F44" s="339"/>
      <c r="G44" s="339"/>
      <c r="H44" s="339"/>
      <c r="I44" s="339"/>
      <c r="J44" s="339"/>
      <c r="K44" s="339"/>
      <c r="L44" s="339"/>
      <c r="M44" s="339"/>
      <c r="N44" s="339"/>
      <c r="O44" s="339"/>
      <c r="P44" s="339"/>
      <c r="Q44" s="339"/>
      <c r="R44" s="339"/>
      <c r="S44" s="339"/>
      <c r="T44" s="347"/>
      <c r="U44" s="335"/>
      <c r="V44" s="335"/>
      <c r="W44" s="335"/>
      <c r="X44" s="335"/>
      <c r="Y44" s="336"/>
      <c r="Z44" s="339"/>
      <c r="AA44" s="348"/>
      <c r="AB44" s="339"/>
      <c r="AC44" s="337"/>
      <c r="AD44" s="338">
        <f t="shared" si="7"/>
        <v>0</v>
      </c>
    </row>
    <row r="45" spans="1:30" s="46" customFormat="1">
      <c r="A45" s="100" t="s">
        <v>37</v>
      </c>
      <c r="B45" s="131" t="s">
        <v>310</v>
      </c>
      <c r="C45" s="454"/>
      <c r="D45" s="335"/>
      <c r="E45" s="335"/>
      <c r="F45" s="339">
        <f>1183228.5/1000</f>
        <v>1183.2284999999999</v>
      </c>
      <c r="G45" s="339"/>
      <c r="H45" s="339"/>
      <c r="I45" s="339"/>
      <c r="J45" s="339"/>
      <c r="K45" s="339"/>
      <c r="L45" s="339">
        <f>3833.64/1000</f>
        <v>3.8336399999999999</v>
      </c>
      <c r="M45" s="339"/>
      <c r="N45" s="339">
        <f>6834.91/1000</f>
        <v>6.8349099999999998</v>
      </c>
      <c r="O45" s="339">
        <f>108000/1000</f>
        <v>108</v>
      </c>
      <c r="P45" s="339"/>
      <c r="Q45" s="339"/>
      <c r="R45" s="339"/>
      <c r="S45" s="339"/>
      <c r="T45" s="347"/>
      <c r="U45" s="335"/>
      <c r="V45" s="335"/>
      <c r="W45" s="335"/>
      <c r="X45" s="335"/>
      <c r="Y45" s="336"/>
      <c r="Z45" s="339"/>
      <c r="AA45" s="348"/>
      <c r="AB45" s="339"/>
      <c r="AC45" s="337"/>
      <c r="AD45" s="338">
        <f t="shared" si="7"/>
        <v>1301.89705</v>
      </c>
    </row>
    <row r="46" spans="1:30" s="46" customFormat="1">
      <c r="A46" s="100" t="s">
        <v>38</v>
      </c>
      <c r="B46" s="131" t="s">
        <v>311</v>
      </c>
      <c r="C46" s="454"/>
      <c r="D46" s="335"/>
      <c r="E46" s="335"/>
      <c r="F46" s="340">
        <f>2500/1000</f>
        <v>2.5</v>
      </c>
      <c r="G46" s="340"/>
      <c r="H46" s="340"/>
      <c r="I46" s="340"/>
      <c r="J46" s="340"/>
      <c r="K46" s="340"/>
      <c r="L46" s="340"/>
      <c r="M46" s="340"/>
      <c r="N46" s="340"/>
      <c r="O46" s="340"/>
      <c r="P46" s="340"/>
      <c r="Q46" s="340"/>
      <c r="R46" s="340"/>
      <c r="S46" s="340"/>
      <c r="T46" s="347"/>
      <c r="U46" s="335"/>
      <c r="V46" s="335"/>
      <c r="W46" s="335"/>
      <c r="X46" s="335"/>
      <c r="Y46" s="336"/>
      <c r="Z46" s="340"/>
      <c r="AA46" s="348"/>
      <c r="AB46" s="340"/>
      <c r="AC46" s="341"/>
      <c r="AD46" s="342">
        <f t="shared" si="7"/>
        <v>2.5</v>
      </c>
    </row>
    <row r="47" spans="1:30" s="46" customFormat="1" ht="15">
      <c r="A47" s="501" t="s">
        <v>68</v>
      </c>
      <c r="B47" s="502"/>
      <c r="C47" s="454">
        <f>SUM(C40:C46)</f>
        <v>0</v>
      </c>
      <c r="D47" s="339">
        <f t="shared" ref="D47:AC47" si="8">SUM(D40:D46)</f>
        <v>0</v>
      </c>
      <c r="E47" s="336">
        <f t="shared" si="8"/>
        <v>0</v>
      </c>
      <c r="F47" s="339">
        <f t="shared" si="8"/>
        <v>1185.7284999999999</v>
      </c>
      <c r="G47" s="339">
        <f t="shared" si="8"/>
        <v>0</v>
      </c>
      <c r="H47" s="339">
        <f t="shared" si="8"/>
        <v>0</v>
      </c>
      <c r="I47" s="339">
        <f t="shared" si="8"/>
        <v>0</v>
      </c>
      <c r="J47" s="339">
        <f t="shared" si="8"/>
        <v>0</v>
      </c>
      <c r="K47" s="339">
        <f t="shared" si="8"/>
        <v>0</v>
      </c>
      <c r="L47" s="339">
        <f t="shared" si="8"/>
        <v>4.2886299999999995</v>
      </c>
      <c r="M47" s="339">
        <f t="shared" si="8"/>
        <v>0</v>
      </c>
      <c r="N47" s="339">
        <f t="shared" si="8"/>
        <v>377.86651999999998</v>
      </c>
      <c r="O47" s="339">
        <f t="shared" si="8"/>
        <v>3770.5430000000001</v>
      </c>
      <c r="P47" s="339">
        <f t="shared" si="8"/>
        <v>0</v>
      </c>
      <c r="Q47" s="339">
        <f t="shared" si="8"/>
        <v>0</v>
      </c>
      <c r="R47" s="339">
        <f t="shared" si="8"/>
        <v>0</v>
      </c>
      <c r="S47" s="339">
        <f t="shared" si="8"/>
        <v>193.50785999999999</v>
      </c>
      <c r="T47" s="347">
        <f t="shared" si="8"/>
        <v>0</v>
      </c>
      <c r="U47" s="335">
        <f t="shared" si="8"/>
        <v>0</v>
      </c>
      <c r="V47" s="335">
        <f t="shared" si="8"/>
        <v>0</v>
      </c>
      <c r="W47" s="335">
        <f t="shared" si="8"/>
        <v>0</v>
      </c>
      <c r="X47" s="335">
        <f t="shared" si="8"/>
        <v>0</v>
      </c>
      <c r="Y47" s="336">
        <f t="shared" si="8"/>
        <v>0</v>
      </c>
      <c r="Z47" s="339">
        <f t="shared" si="8"/>
        <v>0</v>
      </c>
      <c r="AA47" s="348">
        <f t="shared" si="8"/>
        <v>0</v>
      </c>
      <c r="AB47" s="339">
        <f t="shared" si="8"/>
        <v>0</v>
      </c>
      <c r="AC47" s="337">
        <f t="shared" si="8"/>
        <v>0</v>
      </c>
      <c r="AD47" s="338">
        <f t="shared" si="7"/>
        <v>5531.93451</v>
      </c>
    </row>
    <row r="48" spans="1:30" s="46" customFormat="1">
      <c r="A48" s="103"/>
      <c r="B48" s="48"/>
      <c r="C48" s="452"/>
      <c r="D48" s="343"/>
      <c r="E48" s="344"/>
      <c r="F48" s="343"/>
      <c r="G48" s="343"/>
      <c r="H48" s="343"/>
      <c r="I48" s="343"/>
      <c r="J48" s="343"/>
      <c r="K48" s="343"/>
      <c r="L48" s="343"/>
      <c r="M48" s="343"/>
      <c r="N48" s="343"/>
      <c r="O48" s="343"/>
      <c r="P48" s="343"/>
      <c r="Q48" s="343"/>
      <c r="R48" s="343"/>
      <c r="S48" s="343"/>
      <c r="T48" s="344"/>
      <c r="U48" s="344"/>
      <c r="V48" s="344"/>
      <c r="W48" s="344"/>
      <c r="X48" s="344"/>
      <c r="Y48" s="344"/>
      <c r="Z48" s="343"/>
      <c r="AA48" s="344"/>
      <c r="AB48" s="343"/>
      <c r="AC48" s="343"/>
      <c r="AD48" s="345"/>
    </row>
    <row r="49" spans="1:30" s="46" customFormat="1" ht="15">
      <c r="A49" s="104" t="s">
        <v>69</v>
      </c>
      <c r="B49" s="133" t="s">
        <v>312</v>
      </c>
      <c r="C49" s="455"/>
      <c r="D49" s="346"/>
      <c r="E49" s="346"/>
      <c r="F49" s="343"/>
      <c r="G49" s="343"/>
      <c r="H49" s="343"/>
      <c r="I49" s="343"/>
      <c r="J49" s="343"/>
      <c r="K49" s="343"/>
      <c r="L49" s="343"/>
      <c r="M49" s="343"/>
      <c r="N49" s="343"/>
      <c r="O49" s="343"/>
      <c r="P49" s="343"/>
      <c r="Q49" s="343"/>
      <c r="R49" s="343"/>
      <c r="S49" s="343"/>
      <c r="T49" s="346"/>
      <c r="U49" s="346"/>
      <c r="V49" s="346"/>
      <c r="W49" s="346"/>
      <c r="X49" s="346"/>
      <c r="Y49" s="346"/>
      <c r="Z49" s="343"/>
      <c r="AA49" s="346"/>
      <c r="AB49" s="343"/>
      <c r="AC49" s="343"/>
      <c r="AD49" s="345"/>
    </row>
    <row r="50" spans="1:30" s="46" customFormat="1">
      <c r="A50" s="100" t="s">
        <v>39</v>
      </c>
      <c r="B50" s="131" t="s">
        <v>313</v>
      </c>
      <c r="C50" s="454"/>
      <c r="D50" s="335"/>
      <c r="E50" s="336"/>
      <c r="F50" s="334"/>
      <c r="G50" s="334"/>
      <c r="H50" s="334"/>
      <c r="I50" s="334"/>
      <c r="J50" s="334"/>
      <c r="K50" s="334"/>
      <c r="L50" s="334"/>
      <c r="M50" s="334"/>
      <c r="N50" s="334"/>
      <c r="O50" s="334"/>
      <c r="P50" s="334"/>
      <c r="Q50" s="334"/>
      <c r="R50" s="334"/>
      <c r="S50" s="334"/>
      <c r="T50" s="335"/>
      <c r="U50" s="335"/>
      <c r="V50" s="335"/>
      <c r="W50" s="335"/>
      <c r="X50" s="335"/>
      <c r="Y50" s="336"/>
      <c r="Z50" s="334"/>
      <c r="AA50" s="336"/>
      <c r="AB50" s="334"/>
      <c r="AC50" s="337"/>
      <c r="AD50" s="338">
        <f>SUM(C50:AC50)</f>
        <v>0</v>
      </c>
    </row>
    <row r="51" spans="1:30" s="46" customFormat="1">
      <c r="A51" s="100" t="s">
        <v>40</v>
      </c>
      <c r="B51" s="131" t="s">
        <v>314</v>
      </c>
      <c r="C51" s="454"/>
      <c r="D51" s="335"/>
      <c r="E51" s="336"/>
      <c r="F51" s="339"/>
      <c r="G51" s="339"/>
      <c r="H51" s="339"/>
      <c r="I51" s="339"/>
      <c r="J51" s="339"/>
      <c r="K51" s="339"/>
      <c r="L51" s="339"/>
      <c r="M51" s="339"/>
      <c r="N51" s="339">
        <f>814953.27/1000</f>
        <v>814.95326999999997</v>
      </c>
      <c r="O51" s="339">
        <f>1075/1000</f>
        <v>1.075</v>
      </c>
      <c r="P51" s="339"/>
      <c r="Q51" s="339"/>
      <c r="R51" s="339"/>
      <c r="S51" s="339"/>
      <c r="T51" s="335"/>
      <c r="U51" s="335"/>
      <c r="V51" s="335"/>
      <c r="W51" s="335"/>
      <c r="X51" s="335"/>
      <c r="Y51" s="336"/>
      <c r="Z51" s="339"/>
      <c r="AA51" s="336"/>
      <c r="AB51" s="339"/>
      <c r="AC51" s="337"/>
      <c r="AD51" s="338">
        <f>SUM(C51:AC51)</f>
        <v>816.02827000000002</v>
      </c>
    </row>
    <row r="52" spans="1:30" s="46" customFormat="1">
      <c r="A52" s="100" t="s">
        <v>315</v>
      </c>
      <c r="B52" s="131" t="s">
        <v>316</v>
      </c>
      <c r="C52" s="454"/>
      <c r="D52" s="335"/>
      <c r="E52" s="336"/>
      <c r="F52" s="340"/>
      <c r="G52" s="340">
        <f>67056.81/1000</f>
        <v>67.056809999999999</v>
      </c>
      <c r="H52" s="340"/>
      <c r="I52" s="340"/>
      <c r="J52" s="340"/>
      <c r="K52" s="340">
        <f>98691.97/1000</f>
        <v>98.691969999999998</v>
      </c>
      <c r="L52" s="340">
        <f>8500/1000</f>
        <v>8.5</v>
      </c>
      <c r="M52" s="340"/>
      <c r="N52" s="340">
        <f>176172.98/1000</f>
        <v>176.17298000000002</v>
      </c>
      <c r="O52" s="340"/>
      <c r="P52" s="340"/>
      <c r="Q52" s="340"/>
      <c r="R52" s="340"/>
      <c r="S52" s="340"/>
      <c r="T52" s="335"/>
      <c r="U52" s="335"/>
      <c r="V52" s="335"/>
      <c r="W52" s="335"/>
      <c r="X52" s="335"/>
      <c r="Y52" s="336"/>
      <c r="Z52" s="340"/>
      <c r="AA52" s="336"/>
      <c r="AB52" s="340"/>
      <c r="AC52" s="341"/>
      <c r="AD52" s="342">
        <f>SUM(C52:AC52)</f>
        <v>350.42176000000006</v>
      </c>
    </row>
    <row r="53" spans="1:30" s="46" customFormat="1" ht="15">
      <c r="A53" s="501" t="s">
        <v>70</v>
      </c>
      <c r="B53" s="502"/>
      <c r="C53" s="454">
        <f>+SUM(C50:C52)</f>
        <v>0</v>
      </c>
      <c r="D53" s="335">
        <f t="shared" ref="D53:AC53" si="9">+SUM(D50:D52)</f>
        <v>0</v>
      </c>
      <c r="E53" s="336">
        <f t="shared" si="9"/>
        <v>0</v>
      </c>
      <c r="F53" s="339">
        <f t="shared" si="9"/>
        <v>0</v>
      </c>
      <c r="G53" s="339">
        <f t="shared" si="9"/>
        <v>67.056809999999999</v>
      </c>
      <c r="H53" s="339">
        <f t="shared" si="9"/>
        <v>0</v>
      </c>
      <c r="I53" s="339">
        <f t="shared" si="9"/>
        <v>0</v>
      </c>
      <c r="J53" s="339">
        <f t="shared" si="9"/>
        <v>0</v>
      </c>
      <c r="K53" s="339">
        <f t="shared" si="9"/>
        <v>98.691969999999998</v>
      </c>
      <c r="L53" s="339">
        <f t="shared" si="9"/>
        <v>8.5</v>
      </c>
      <c r="M53" s="339">
        <f t="shared" si="9"/>
        <v>0</v>
      </c>
      <c r="N53" s="339">
        <f t="shared" si="9"/>
        <v>991.12625000000003</v>
      </c>
      <c r="O53" s="339">
        <f t="shared" si="9"/>
        <v>1.075</v>
      </c>
      <c r="P53" s="339">
        <f t="shared" si="9"/>
        <v>0</v>
      </c>
      <c r="Q53" s="339">
        <f t="shared" si="9"/>
        <v>0</v>
      </c>
      <c r="R53" s="339">
        <f t="shared" si="9"/>
        <v>0</v>
      </c>
      <c r="S53" s="339">
        <f t="shared" si="9"/>
        <v>0</v>
      </c>
      <c r="T53" s="335">
        <f t="shared" si="9"/>
        <v>0</v>
      </c>
      <c r="U53" s="335">
        <f t="shared" si="9"/>
        <v>0</v>
      </c>
      <c r="V53" s="335">
        <f t="shared" si="9"/>
        <v>0</v>
      </c>
      <c r="W53" s="335">
        <f t="shared" si="9"/>
        <v>0</v>
      </c>
      <c r="X53" s="335">
        <f t="shared" si="9"/>
        <v>0</v>
      </c>
      <c r="Y53" s="336">
        <f t="shared" si="9"/>
        <v>0</v>
      </c>
      <c r="Z53" s="339">
        <f t="shared" si="9"/>
        <v>0</v>
      </c>
      <c r="AA53" s="336">
        <f t="shared" si="9"/>
        <v>0</v>
      </c>
      <c r="AB53" s="339">
        <f t="shared" si="9"/>
        <v>0</v>
      </c>
      <c r="AC53" s="337">
        <f t="shared" si="9"/>
        <v>0</v>
      </c>
      <c r="AD53" s="338">
        <f>SUM(C53:AC53)</f>
        <v>1166.4500300000002</v>
      </c>
    </row>
    <row r="54" spans="1:30" s="46" customFormat="1">
      <c r="A54" s="103"/>
      <c r="B54" s="48"/>
      <c r="C54" s="452"/>
      <c r="D54" s="344"/>
      <c r="E54" s="344"/>
      <c r="F54" s="343"/>
      <c r="G54" s="343"/>
      <c r="H54" s="343"/>
      <c r="I54" s="343"/>
      <c r="J54" s="343"/>
      <c r="K54" s="343"/>
      <c r="L54" s="343"/>
      <c r="M54" s="343"/>
      <c r="N54" s="343"/>
      <c r="O54" s="343"/>
      <c r="P54" s="343"/>
      <c r="Q54" s="343"/>
      <c r="R54" s="343"/>
      <c r="S54" s="343"/>
      <c r="T54" s="344"/>
      <c r="U54" s="344"/>
      <c r="V54" s="344"/>
      <c r="W54" s="344"/>
      <c r="X54" s="344"/>
      <c r="Y54" s="344"/>
      <c r="Z54" s="343"/>
      <c r="AA54" s="344"/>
      <c r="AB54" s="343"/>
      <c r="AC54" s="343"/>
      <c r="AD54" s="345"/>
    </row>
    <row r="55" spans="1:30" s="46" customFormat="1" ht="15">
      <c r="A55" s="104" t="s">
        <v>71</v>
      </c>
      <c r="B55" s="133" t="s">
        <v>317</v>
      </c>
      <c r="C55" s="455"/>
      <c r="D55" s="346"/>
      <c r="E55" s="346"/>
      <c r="F55" s="343"/>
      <c r="G55" s="343"/>
      <c r="H55" s="343"/>
      <c r="I55" s="343"/>
      <c r="J55" s="343"/>
      <c r="K55" s="343"/>
      <c r="L55" s="343"/>
      <c r="M55" s="343"/>
      <c r="N55" s="343"/>
      <c r="O55" s="343"/>
      <c r="P55" s="343"/>
      <c r="Q55" s="343"/>
      <c r="R55" s="343"/>
      <c r="S55" s="343"/>
      <c r="T55" s="346"/>
      <c r="U55" s="346"/>
      <c r="V55" s="346"/>
      <c r="W55" s="346"/>
      <c r="X55" s="346"/>
      <c r="Y55" s="346"/>
      <c r="Z55" s="343"/>
      <c r="AA55" s="346"/>
      <c r="AB55" s="343"/>
      <c r="AC55" s="343"/>
      <c r="AD55" s="345"/>
    </row>
    <row r="56" spans="1:30" s="46" customFormat="1">
      <c r="A56" s="100" t="s">
        <v>318</v>
      </c>
      <c r="B56" s="131" t="s">
        <v>319</v>
      </c>
      <c r="C56" s="454"/>
      <c r="D56" s="335"/>
      <c r="E56" s="336"/>
      <c r="F56" s="334"/>
      <c r="G56" s="334"/>
      <c r="H56" s="334"/>
      <c r="I56" s="334"/>
      <c r="J56" s="334"/>
      <c r="K56" s="334"/>
      <c r="L56" s="334">
        <f>5893.87/1000</f>
        <v>5.8938699999999997</v>
      </c>
      <c r="M56" s="334"/>
      <c r="N56" s="334"/>
      <c r="O56" s="334"/>
      <c r="P56" s="334"/>
      <c r="Q56" s="334"/>
      <c r="R56" s="334"/>
      <c r="S56" s="334"/>
      <c r="T56" s="335"/>
      <c r="U56" s="335"/>
      <c r="V56" s="335"/>
      <c r="W56" s="335"/>
      <c r="X56" s="335"/>
      <c r="Y56" s="336"/>
      <c r="Z56" s="334"/>
      <c r="AA56" s="336"/>
      <c r="AB56" s="334"/>
      <c r="AC56" s="337"/>
      <c r="AD56" s="338">
        <f>SUM(C56:AC56)</f>
        <v>5.8938699999999997</v>
      </c>
    </row>
    <row r="57" spans="1:30" s="46" customFormat="1">
      <c r="A57" s="100" t="s">
        <v>243</v>
      </c>
      <c r="B57" s="131" t="s">
        <v>320</v>
      </c>
      <c r="C57" s="454"/>
      <c r="D57" s="335"/>
      <c r="E57" s="336"/>
      <c r="F57" s="339"/>
      <c r="G57" s="339"/>
      <c r="H57" s="339"/>
      <c r="I57" s="339"/>
      <c r="J57" s="339"/>
      <c r="K57" s="339"/>
      <c r="L57" s="339"/>
      <c r="M57" s="339"/>
      <c r="N57" s="339">
        <f>-5014430.97/1000</f>
        <v>-5014.4309699999994</v>
      </c>
      <c r="O57" s="339"/>
      <c r="P57" s="339"/>
      <c r="Q57" s="339"/>
      <c r="R57" s="339"/>
      <c r="S57" s="339">
        <f>32700.77/1000</f>
        <v>32.700769999999999</v>
      </c>
      <c r="T57" s="335"/>
      <c r="U57" s="335"/>
      <c r="V57" s="335"/>
      <c r="W57" s="335"/>
      <c r="X57" s="335"/>
      <c r="Y57" s="336"/>
      <c r="Z57" s="339"/>
      <c r="AA57" s="336"/>
      <c r="AB57" s="339"/>
      <c r="AC57" s="337"/>
      <c r="AD57" s="338">
        <f>SUM(C57:AC57)</f>
        <v>-4981.7301999999991</v>
      </c>
    </row>
    <row r="58" spans="1:30" s="46" customFormat="1">
      <c r="A58" s="100" t="s">
        <v>244</v>
      </c>
      <c r="B58" s="131" t="s">
        <v>321</v>
      </c>
      <c r="C58" s="454"/>
      <c r="D58" s="335"/>
      <c r="E58" s="336"/>
      <c r="F58" s="339"/>
      <c r="G58" s="339"/>
      <c r="H58" s="339"/>
      <c r="I58" s="339"/>
      <c r="J58" s="339"/>
      <c r="K58" s="339"/>
      <c r="L58" s="339"/>
      <c r="M58" s="339">
        <f>7639528.7/1000</f>
        <v>7639.5286999999998</v>
      </c>
      <c r="N58" s="339"/>
      <c r="O58" s="339"/>
      <c r="P58" s="339"/>
      <c r="Q58" s="339"/>
      <c r="R58" s="339">
        <f>5305651.26/1000</f>
        <v>5305.6512599999996</v>
      </c>
      <c r="S58" s="339"/>
      <c r="T58" s="335"/>
      <c r="U58" s="335"/>
      <c r="V58" s="335"/>
      <c r="W58" s="335"/>
      <c r="X58" s="335"/>
      <c r="Y58" s="336"/>
      <c r="Z58" s="339">
        <f>9035004.7/1000</f>
        <v>9035.0046999999995</v>
      </c>
      <c r="AA58" s="336"/>
      <c r="AB58" s="339"/>
      <c r="AC58" s="337"/>
      <c r="AD58" s="338">
        <f>SUM(C58:AC58)</f>
        <v>21980.184659999999</v>
      </c>
    </row>
    <row r="59" spans="1:30" s="46" customFormat="1">
      <c r="A59" s="100" t="s">
        <v>245</v>
      </c>
      <c r="B59" s="131" t="s">
        <v>322</v>
      </c>
      <c r="C59" s="454"/>
      <c r="D59" s="335"/>
      <c r="E59" s="336"/>
      <c r="F59" s="340"/>
      <c r="G59" s="340"/>
      <c r="H59" s="340"/>
      <c r="I59" s="340"/>
      <c r="J59" s="340"/>
      <c r="K59" s="340"/>
      <c r="L59" s="340"/>
      <c r="M59" s="340"/>
      <c r="N59" s="340">
        <f>6929/1000</f>
        <v>6.9290000000000003</v>
      </c>
      <c r="O59" s="340">
        <f>15000/1000</f>
        <v>15</v>
      </c>
      <c r="P59" s="340"/>
      <c r="Q59" s="340"/>
      <c r="R59" s="340"/>
      <c r="S59" s="340"/>
      <c r="T59" s="335"/>
      <c r="U59" s="335"/>
      <c r="V59" s="335"/>
      <c r="W59" s="335"/>
      <c r="X59" s="335"/>
      <c r="Y59" s="336"/>
      <c r="Z59" s="340"/>
      <c r="AA59" s="336"/>
      <c r="AB59" s="340"/>
      <c r="AC59" s="341"/>
      <c r="AD59" s="342">
        <f>SUM(C59:AC59)</f>
        <v>21.929000000000002</v>
      </c>
    </row>
    <row r="60" spans="1:30" s="118" customFormat="1" ht="15">
      <c r="A60" s="501" t="s">
        <v>72</v>
      </c>
      <c r="B60" s="502"/>
      <c r="C60" s="454">
        <f>+SUM(C56:C59)</f>
        <v>0</v>
      </c>
      <c r="D60" s="335">
        <f t="shared" ref="D60:AC60" si="10">+SUM(D56:D59)</f>
        <v>0</v>
      </c>
      <c r="E60" s="336">
        <f t="shared" si="10"/>
        <v>0</v>
      </c>
      <c r="F60" s="339">
        <f t="shared" si="10"/>
        <v>0</v>
      </c>
      <c r="G60" s="339">
        <f t="shared" si="10"/>
        <v>0</v>
      </c>
      <c r="H60" s="339">
        <f t="shared" si="10"/>
        <v>0</v>
      </c>
      <c r="I60" s="339">
        <f t="shared" si="10"/>
        <v>0</v>
      </c>
      <c r="J60" s="339">
        <f t="shared" si="10"/>
        <v>0</v>
      </c>
      <c r="K60" s="339">
        <f t="shared" si="10"/>
        <v>0</v>
      </c>
      <c r="L60" s="339">
        <f t="shared" si="10"/>
        <v>5.8938699999999997</v>
      </c>
      <c r="M60" s="339">
        <f t="shared" si="10"/>
        <v>7639.5286999999998</v>
      </c>
      <c r="N60" s="339">
        <f t="shared" si="10"/>
        <v>-5007.5019699999993</v>
      </c>
      <c r="O60" s="339">
        <f t="shared" si="10"/>
        <v>15</v>
      </c>
      <c r="P60" s="339">
        <f t="shared" si="10"/>
        <v>0</v>
      </c>
      <c r="Q60" s="339">
        <f t="shared" si="10"/>
        <v>0</v>
      </c>
      <c r="R60" s="339">
        <f t="shared" si="10"/>
        <v>5305.6512599999996</v>
      </c>
      <c r="S60" s="339">
        <f t="shared" si="10"/>
        <v>32.700769999999999</v>
      </c>
      <c r="T60" s="335">
        <f t="shared" si="10"/>
        <v>0</v>
      </c>
      <c r="U60" s="335">
        <f t="shared" si="10"/>
        <v>0</v>
      </c>
      <c r="V60" s="335">
        <f t="shared" si="10"/>
        <v>0</v>
      </c>
      <c r="W60" s="335">
        <f t="shared" si="10"/>
        <v>0</v>
      </c>
      <c r="X60" s="335">
        <f t="shared" si="10"/>
        <v>0</v>
      </c>
      <c r="Y60" s="336">
        <f t="shared" si="10"/>
        <v>0</v>
      </c>
      <c r="Z60" s="339">
        <f t="shared" si="10"/>
        <v>9035.0046999999995</v>
      </c>
      <c r="AA60" s="336">
        <f t="shared" si="10"/>
        <v>0</v>
      </c>
      <c r="AB60" s="339">
        <f t="shared" si="10"/>
        <v>0</v>
      </c>
      <c r="AC60" s="337">
        <f t="shared" si="10"/>
        <v>0</v>
      </c>
      <c r="AD60" s="338">
        <f>SUM(C60:AC60)</f>
        <v>17026.277330000001</v>
      </c>
    </row>
    <row r="61" spans="1:30" s="46" customFormat="1">
      <c r="A61" s="103"/>
      <c r="B61" s="48"/>
      <c r="C61" s="452"/>
      <c r="D61" s="344"/>
      <c r="E61" s="344"/>
      <c r="F61" s="343"/>
      <c r="G61" s="343"/>
      <c r="H61" s="343"/>
      <c r="I61" s="343"/>
      <c r="J61" s="343"/>
      <c r="K61" s="343"/>
      <c r="L61" s="343"/>
      <c r="M61" s="343"/>
      <c r="N61" s="343"/>
      <c r="O61" s="343"/>
      <c r="P61" s="343"/>
      <c r="Q61" s="343"/>
      <c r="R61" s="343"/>
      <c r="S61" s="343"/>
      <c r="T61" s="344"/>
      <c r="U61" s="344"/>
      <c r="V61" s="344"/>
      <c r="W61" s="344"/>
      <c r="X61" s="344"/>
      <c r="Y61" s="344"/>
      <c r="Z61" s="343"/>
      <c r="AA61" s="344"/>
      <c r="AB61" s="343"/>
      <c r="AC61" s="343"/>
      <c r="AD61" s="345"/>
    </row>
    <row r="62" spans="1:30" s="46" customFormat="1" ht="15">
      <c r="A62" s="104" t="s">
        <v>73</v>
      </c>
      <c r="B62" s="133" t="s">
        <v>323</v>
      </c>
      <c r="C62" s="455"/>
      <c r="D62" s="346"/>
      <c r="E62" s="346"/>
      <c r="F62" s="343"/>
      <c r="G62" s="343"/>
      <c r="H62" s="343"/>
      <c r="I62" s="343"/>
      <c r="J62" s="343"/>
      <c r="K62" s="343"/>
      <c r="L62" s="343"/>
      <c r="M62" s="343"/>
      <c r="N62" s="343"/>
      <c r="O62" s="343"/>
      <c r="P62" s="343"/>
      <c r="Q62" s="343"/>
      <c r="R62" s="343"/>
      <c r="S62" s="343"/>
      <c r="T62" s="346"/>
      <c r="U62" s="346"/>
      <c r="V62" s="346"/>
      <c r="W62" s="346"/>
      <c r="X62" s="346"/>
      <c r="Y62" s="346"/>
      <c r="Z62" s="343"/>
      <c r="AA62" s="346"/>
      <c r="AB62" s="343"/>
      <c r="AC62" s="343"/>
      <c r="AD62" s="345"/>
    </row>
    <row r="63" spans="1:30" s="46" customFormat="1">
      <c r="A63" s="100" t="s">
        <v>324</v>
      </c>
      <c r="B63" s="131" t="s">
        <v>325</v>
      </c>
      <c r="C63" s="454"/>
      <c r="D63" s="335"/>
      <c r="E63" s="336"/>
      <c r="F63" s="334"/>
      <c r="G63" s="334"/>
      <c r="H63" s="334"/>
      <c r="I63" s="334"/>
      <c r="J63" s="334"/>
      <c r="K63" s="334"/>
      <c r="L63" s="334"/>
      <c r="M63" s="334"/>
      <c r="N63" s="334"/>
      <c r="O63" s="334"/>
      <c r="P63" s="334"/>
      <c r="Q63" s="334"/>
      <c r="R63" s="334"/>
      <c r="S63" s="334"/>
      <c r="T63" s="335"/>
      <c r="U63" s="335"/>
      <c r="V63" s="335"/>
      <c r="W63" s="335"/>
      <c r="X63" s="335"/>
      <c r="Y63" s="336"/>
      <c r="Z63" s="334"/>
      <c r="AA63" s="336"/>
      <c r="AB63" s="334"/>
      <c r="AC63" s="337"/>
      <c r="AD63" s="338">
        <f t="shared" ref="AD63:AD72" si="11">SUM(C63:AC63)</f>
        <v>0</v>
      </c>
    </row>
    <row r="64" spans="1:30" s="46" customFormat="1">
      <c r="A64" s="100" t="s">
        <v>251</v>
      </c>
      <c r="B64" s="131" t="s">
        <v>326</v>
      </c>
      <c r="C64" s="454"/>
      <c r="D64" s="335"/>
      <c r="E64" s="336"/>
      <c r="F64" s="339"/>
      <c r="G64" s="339"/>
      <c r="H64" s="339"/>
      <c r="I64" s="339"/>
      <c r="J64" s="339"/>
      <c r="K64" s="339"/>
      <c r="L64" s="339"/>
      <c r="M64" s="339"/>
      <c r="N64" s="339"/>
      <c r="O64" s="339"/>
      <c r="P64" s="339"/>
      <c r="Q64" s="339"/>
      <c r="R64" s="339"/>
      <c r="S64" s="339"/>
      <c r="T64" s="335"/>
      <c r="U64" s="335"/>
      <c r="V64" s="335"/>
      <c r="W64" s="335"/>
      <c r="X64" s="335"/>
      <c r="Y64" s="336"/>
      <c r="Z64" s="339"/>
      <c r="AA64" s="336"/>
      <c r="AB64" s="339"/>
      <c r="AC64" s="337"/>
      <c r="AD64" s="338">
        <f t="shared" si="11"/>
        <v>0</v>
      </c>
    </row>
    <row r="65" spans="1:30" s="46" customFormat="1">
      <c r="A65" s="100" t="s">
        <v>252</v>
      </c>
      <c r="B65" s="131" t="s">
        <v>327</v>
      </c>
      <c r="C65" s="454"/>
      <c r="D65" s="335"/>
      <c r="E65" s="336"/>
      <c r="F65" s="339"/>
      <c r="G65" s="339"/>
      <c r="H65" s="339"/>
      <c r="I65" s="339"/>
      <c r="J65" s="339"/>
      <c r="K65" s="339"/>
      <c r="L65" s="339"/>
      <c r="M65" s="339"/>
      <c r="N65" s="339"/>
      <c r="O65" s="339"/>
      <c r="P65" s="339"/>
      <c r="Q65" s="339"/>
      <c r="R65" s="339"/>
      <c r="S65" s="339"/>
      <c r="T65" s="335"/>
      <c r="U65" s="335"/>
      <c r="V65" s="335"/>
      <c r="W65" s="335"/>
      <c r="X65" s="335"/>
      <c r="Y65" s="336"/>
      <c r="Z65" s="339"/>
      <c r="AA65" s="336"/>
      <c r="AB65" s="339"/>
      <c r="AC65" s="337"/>
      <c r="AD65" s="338">
        <f t="shared" si="11"/>
        <v>0</v>
      </c>
    </row>
    <row r="66" spans="1:30" s="46" customFormat="1">
      <c r="A66" s="100" t="s">
        <v>328</v>
      </c>
      <c r="B66" s="131" t="s">
        <v>329</v>
      </c>
      <c r="C66" s="454"/>
      <c r="D66" s="335"/>
      <c r="E66" s="336"/>
      <c r="F66" s="339"/>
      <c r="G66" s="339"/>
      <c r="H66" s="339"/>
      <c r="I66" s="339"/>
      <c r="J66" s="339"/>
      <c r="K66" s="339"/>
      <c r="L66" s="339"/>
      <c r="M66" s="339"/>
      <c r="N66" s="339">
        <f>254123.21/1000</f>
        <v>254.12321</v>
      </c>
      <c r="O66" s="339"/>
      <c r="P66" s="339">
        <f>6363.31/1000</f>
        <v>6.3633100000000002</v>
      </c>
      <c r="Q66" s="339"/>
      <c r="R66" s="339">
        <f>17500/1000</f>
        <v>17.5</v>
      </c>
      <c r="S66" s="339"/>
      <c r="T66" s="335"/>
      <c r="U66" s="335"/>
      <c r="V66" s="335"/>
      <c r="W66" s="335"/>
      <c r="X66" s="335"/>
      <c r="Y66" s="336"/>
      <c r="Z66" s="339"/>
      <c r="AA66" s="336"/>
      <c r="AB66" s="339"/>
      <c r="AC66" s="337"/>
      <c r="AD66" s="338">
        <f t="shared" si="11"/>
        <v>277.98651999999998</v>
      </c>
    </row>
    <row r="67" spans="1:30" s="46" customFormat="1">
      <c r="A67" s="100" t="s">
        <v>330</v>
      </c>
      <c r="B67" s="131" t="s">
        <v>331</v>
      </c>
      <c r="C67" s="454"/>
      <c r="D67" s="335"/>
      <c r="E67" s="336"/>
      <c r="F67" s="339"/>
      <c r="G67" s="339"/>
      <c r="H67" s="339"/>
      <c r="I67" s="339"/>
      <c r="J67" s="339"/>
      <c r="K67" s="339"/>
      <c r="L67" s="339"/>
      <c r="M67" s="339"/>
      <c r="N67" s="339">
        <f>91628.19/1000</f>
        <v>91.628190000000004</v>
      </c>
      <c r="O67" s="339"/>
      <c r="P67" s="339"/>
      <c r="Q67" s="339"/>
      <c r="R67" s="339"/>
      <c r="S67" s="339"/>
      <c r="T67" s="335"/>
      <c r="U67" s="335"/>
      <c r="V67" s="335"/>
      <c r="W67" s="335"/>
      <c r="X67" s="335"/>
      <c r="Y67" s="336"/>
      <c r="Z67" s="339"/>
      <c r="AA67" s="336"/>
      <c r="AB67" s="339"/>
      <c r="AC67" s="337"/>
      <c r="AD67" s="338">
        <f t="shared" si="11"/>
        <v>91.628190000000004</v>
      </c>
    </row>
    <row r="68" spans="1:30" s="46" customFormat="1">
      <c r="A68" s="100" t="s">
        <v>332</v>
      </c>
      <c r="B68" s="131" t="s">
        <v>333</v>
      </c>
      <c r="C68" s="454"/>
      <c r="D68" s="335"/>
      <c r="E68" s="336"/>
      <c r="F68" s="339"/>
      <c r="G68" s="339"/>
      <c r="H68" s="339"/>
      <c r="I68" s="339"/>
      <c r="J68" s="339"/>
      <c r="K68" s="339"/>
      <c r="L68" s="339"/>
      <c r="M68" s="339"/>
      <c r="N68" s="339"/>
      <c r="O68" s="339"/>
      <c r="P68" s="339"/>
      <c r="Q68" s="339"/>
      <c r="R68" s="339"/>
      <c r="S68" s="339"/>
      <c r="T68" s="335"/>
      <c r="U68" s="335"/>
      <c r="V68" s="335"/>
      <c r="W68" s="335"/>
      <c r="X68" s="335"/>
      <c r="Y68" s="336"/>
      <c r="Z68" s="339"/>
      <c r="AA68" s="336"/>
      <c r="AB68" s="339"/>
      <c r="AC68" s="337"/>
      <c r="AD68" s="338">
        <f t="shared" si="11"/>
        <v>0</v>
      </c>
    </row>
    <row r="69" spans="1:30" s="46" customFormat="1">
      <c r="A69" s="100" t="s">
        <v>334</v>
      </c>
      <c r="B69" s="131" t="s">
        <v>335</v>
      </c>
      <c r="C69" s="454"/>
      <c r="D69" s="335"/>
      <c r="E69" s="336"/>
      <c r="F69" s="339"/>
      <c r="G69" s="339"/>
      <c r="H69" s="339"/>
      <c r="I69" s="339"/>
      <c r="J69" s="339"/>
      <c r="K69" s="339"/>
      <c r="L69" s="339"/>
      <c r="M69" s="339"/>
      <c r="N69" s="339"/>
      <c r="O69" s="339"/>
      <c r="P69" s="339"/>
      <c r="Q69" s="339"/>
      <c r="R69" s="339">
        <f>123375/1000</f>
        <v>123.375</v>
      </c>
      <c r="S69" s="339"/>
      <c r="T69" s="335"/>
      <c r="U69" s="335"/>
      <c r="V69" s="335"/>
      <c r="W69" s="335"/>
      <c r="X69" s="335"/>
      <c r="Y69" s="336"/>
      <c r="Z69" s="339"/>
      <c r="AA69" s="336"/>
      <c r="AB69" s="339"/>
      <c r="AC69" s="337"/>
      <c r="AD69" s="338">
        <f t="shared" si="11"/>
        <v>123.375</v>
      </c>
    </row>
    <row r="70" spans="1:30" s="46" customFormat="1">
      <c r="A70" s="100" t="s">
        <v>336</v>
      </c>
      <c r="B70" s="131" t="s">
        <v>337</v>
      </c>
      <c r="C70" s="454"/>
      <c r="D70" s="335"/>
      <c r="E70" s="336"/>
      <c r="F70" s="339"/>
      <c r="G70" s="339"/>
      <c r="H70" s="339"/>
      <c r="I70" s="339"/>
      <c r="J70" s="339"/>
      <c r="K70" s="339"/>
      <c r="L70" s="339"/>
      <c r="M70" s="339"/>
      <c r="N70" s="339"/>
      <c r="O70" s="339"/>
      <c r="P70" s="339"/>
      <c r="Q70" s="339"/>
      <c r="R70" s="339"/>
      <c r="S70" s="339"/>
      <c r="T70" s="335"/>
      <c r="U70" s="335"/>
      <c r="V70" s="335"/>
      <c r="W70" s="335"/>
      <c r="X70" s="335"/>
      <c r="Y70" s="336"/>
      <c r="Z70" s="339"/>
      <c r="AA70" s="336"/>
      <c r="AB70" s="339"/>
      <c r="AC70" s="337"/>
      <c r="AD70" s="338">
        <f t="shared" si="11"/>
        <v>0</v>
      </c>
    </row>
    <row r="71" spans="1:30" s="46" customFormat="1">
      <c r="A71" s="100" t="s">
        <v>338</v>
      </c>
      <c r="B71" s="131" t="s">
        <v>339</v>
      </c>
      <c r="C71" s="454"/>
      <c r="D71" s="335"/>
      <c r="E71" s="336"/>
      <c r="F71" s="340"/>
      <c r="G71" s="340"/>
      <c r="H71" s="340"/>
      <c r="I71" s="340"/>
      <c r="J71" s="340"/>
      <c r="K71" s="340"/>
      <c r="L71" s="340"/>
      <c r="M71" s="340"/>
      <c r="N71" s="340">
        <f>49235860.14/1000</f>
        <v>49235.860139999997</v>
      </c>
      <c r="O71" s="340"/>
      <c r="P71" s="340"/>
      <c r="Q71" s="340"/>
      <c r="R71" s="340"/>
      <c r="S71" s="340"/>
      <c r="T71" s="335"/>
      <c r="U71" s="335"/>
      <c r="V71" s="335"/>
      <c r="W71" s="335"/>
      <c r="X71" s="335"/>
      <c r="Y71" s="336"/>
      <c r="Z71" s="340"/>
      <c r="AA71" s="336"/>
      <c r="AB71" s="340"/>
      <c r="AC71" s="341"/>
      <c r="AD71" s="342">
        <f t="shared" si="11"/>
        <v>49235.860139999997</v>
      </c>
    </row>
    <row r="72" spans="1:30" s="46" customFormat="1" ht="15">
      <c r="A72" s="501" t="s">
        <v>76</v>
      </c>
      <c r="B72" s="502"/>
      <c r="C72" s="454">
        <f>SUM(C63:C71)</f>
        <v>0</v>
      </c>
      <c r="D72" s="335">
        <f t="shared" ref="D72:AC72" si="12">SUM(D63:D71)</f>
        <v>0</v>
      </c>
      <c r="E72" s="336">
        <f t="shared" si="12"/>
        <v>0</v>
      </c>
      <c r="F72" s="339">
        <f t="shared" si="12"/>
        <v>0</v>
      </c>
      <c r="G72" s="339">
        <f t="shared" si="12"/>
        <v>0</v>
      </c>
      <c r="H72" s="339">
        <f t="shared" si="12"/>
        <v>0</v>
      </c>
      <c r="I72" s="339">
        <f t="shared" si="12"/>
        <v>0</v>
      </c>
      <c r="J72" s="339">
        <f t="shared" si="12"/>
        <v>0</v>
      </c>
      <c r="K72" s="339">
        <f t="shared" si="12"/>
        <v>0</v>
      </c>
      <c r="L72" s="339">
        <f t="shared" si="12"/>
        <v>0</v>
      </c>
      <c r="M72" s="339">
        <f t="shared" si="12"/>
        <v>0</v>
      </c>
      <c r="N72" s="339">
        <f t="shared" si="12"/>
        <v>49581.611539999998</v>
      </c>
      <c r="O72" s="339">
        <f t="shared" si="12"/>
        <v>0</v>
      </c>
      <c r="P72" s="339">
        <f t="shared" si="12"/>
        <v>6.3633100000000002</v>
      </c>
      <c r="Q72" s="339">
        <f t="shared" si="12"/>
        <v>0</v>
      </c>
      <c r="R72" s="339">
        <f t="shared" si="12"/>
        <v>140.875</v>
      </c>
      <c r="S72" s="339">
        <f t="shared" si="12"/>
        <v>0</v>
      </c>
      <c r="T72" s="335">
        <f t="shared" si="12"/>
        <v>0</v>
      </c>
      <c r="U72" s="335">
        <f t="shared" si="12"/>
        <v>0</v>
      </c>
      <c r="V72" s="335">
        <f t="shared" si="12"/>
        <v>0</v>
      </c>
      <c r="W72" s="335">
        <f t="shared" si="12"/>
        <v>0</v>
      </c>
      <c r="X72" s="335">
        <f t="shared" si="12"/>
        <v>0</v>
      </c>
      <c r="Y72" s="336">
        <f t="shared" si="12"/>
        <v>0</v>
      </c>
      <c r="Z72" s="339">
        <f t="shared" si="12"/>
        <v>0</v>
      </c>
      <c r="AA72" s="336">
        <f t="shared" si="12"/>
        <v>0</v>
      </c>
      <c r="AB72" s="339">
        <f t="shared" si="12"/>
        <v>0</v>
      </c>
      <c r="AC72" s="337">
        <f t="shared" si="12"/>
        <v>0</v>
      </c>
      <c r="AD72" s="338">
        <f t="shared" si="11"/>
        <v>49728.849849999999</v>
      </c>
    </row>
    <row r="73" spans="1:30" s="46" customFormat="1">
      <c r="A73" s="103"/>
      <c r="B73" s="48"/>
      <c r="C73" s="452"/>
      <c r="D73" s="344"/>
      <c r="E73" s="344"/>
      <c r="F73" s="343"/>
      <c r="G73" s="343"/>
      <c r="H73" s="343"/>
      <c r="I73" s="343"/>
      <c r="J73" s="343"/>
      <c r="K73" s="343"/>
      <c r="L73" s="343"/>
      <c r="M73" s="343"/>
      <c r="N73" s="343"/>
      <c r="O73" s="343"/>
      <c r="P73" s="343"/>
      <c r="Q73" s="343"/>
      <c r="R73" s="343"/>
      <c r="S73" s="343"/>
      <c r="T73" s="344"/>
      <c r="U73" s="344"/>
      <c r="V73" s="344"/>
      <c r="W73" s="344"/>
      <c r="X73" s="344"/>
      <c r="Y73" s="344"/>
      <c r="Z73" s="343"/>
      <c r="AA73" s="344"/>
      <c r="AB73" s="343"/>
      <c r="AC73" s="343"/>
      <c r="AD73" s="345"/>
    </row>
    <row r="74" spans="1:30" s="46" customFormat="1" ht="15">
      <c r="A74" s="104" t="s">
        <v>77</v>
      </c>
      <c r="B74" s="133" t="s">
        <v>74</v>
      </c>
      <c r="C74" s="455"/>
      <c r="D74" s="346"/>
      <c r="E74" s="346"/>
      <c r="F74" s="343"/>
      <c r="G74" s="343"/>
      <c r="H74" s="343"/>
      <c r="I74" s="343"/>
      <c r="J74" s="343"/>
      <c r="K74" s="343"/>
      <c r="L74" s="343"/>
      <c r="M74" s="343"/>
      <c r="N74" s="343"/>
      <c r="O74" s="343"/>
      <c r="P74" s="343"/>
      <c r="Q74" s="343"/>
      <c r="R74" s="343"/>
      <c r="S74" s="343"/>
      <c r="T74" s="346"/>
      <c r="U74" s="346"/>
      <c r="V74" s="346"/>
      <c r="W74" s="346"/>
      <c r="X74" s="346"/>
      <c r="Y74" s="346"/>
      <c r="Z74" s="343"/>
      <c r="AA74" s="346"/>
      <c r="AB74" s="343"/>
      <c r="AC74" s="343"/>
      <c r="AD74" s="345"/>
    </row>
    <row r="75" spans="1:30" s="46" customFormat="1">
      <c r="A75" s="100" t="s">
        <v>340</v>
      </c>
      <c r="B75" s="131" t="s">
        <v>341</v>
      </c>
      <c r="C75" s="454"/>
      <c r="D75" s="335"/>
      <c r="E75" s="336"/>
      <c r="F75" s="334"/>
      <c r="G75" s="334"/>
      <c r="H75" s="334"/>
      <c r="I75" s="334"/>
      <c r="J75" s="334"/>
      <c r="K75" s="334"/>
      <c r="L75" s="334"/>
      <c r="M75" s="334"/>
      <c r="N75" s="334"/>
      <c r="O75" s="334"/>
      <c r="P75" s="334"/>
      <c r="Q75" s="334"/>
      <c r="R75" s="334"/>
      <c r="S75" s="334"/>
      <c r="T75" s="335"/>
      <c r="U75" s="335"/>
      <c r="V75" s="335"/>
      <c r="W75" s="335"/>
      <c r="X75" s="335"/>
      <c r="Y75" s="336"/>
      <c r="Z75" s="334"/>
      <c r="AA75" s="336"/>
      <c r="AB75" s="334"/>
      <c r="AC75" s="337"/>
      <c r="AD75" s="338">
        <f>SUM(C75:AC75)</f>
        <v>0</v>
      </c>
    </row>
    <row r="76" spans="1:30" s="46" customFormat="1">
      <c r="A76" s="100" t="s">
        <v>342</v>
      </c>
      <c r="B76" s="131" t="s">
        <v>75</v>
      </c>
      <c r="C76" s="454"/>
      <c r="D76" s="335"/>
      <c r="E76" s="336"/>
      <c r="F76" s="339"/>
      <c r="G76" s="339">
        <f>165289.26/1000</f>
        <v>165.28926000000001</v>
      </c>
      <c r="H76" s="339">
        <f>75000/1000</f>
        <v>75</v>
      </c>
      <c r="I76" s="339"/>
      <c r="J76" s="339">
        <f>575.04/1000</f>
        <v>0.57504</v>
      </c>
      <c r="K76" s="339">
        <f>25274/1000</f>
        <v>25.274000000000001</v>
      </c>
      <c r="L76" s="339">
        <f>438253.59/1000</f>
        <v>438.25359000000003</v>
      </c>
      <c r="M76" s="339"/>
      <c r="N76" s="339">
        <f>18318/1000</f>
        <v>18.318000000000001</v>
      </c>
      <c r="O76" s="339">
        <f>300/1000</f>
        <v>0.3</v>
      </c>
      <c r="P76" s="339">
        <f>-20516.69/1000</f>
        <v>-20.516689999999997</v>
      </c>
      <c r="Q76" s="339"/>
      <c r="R76" s="339">
        <f>26040/1000</f>
        <v>26.04</v>
      </c>
      <c r="S76" s="339">
        <f>4128227.67/1000</f>
        <v>4128.2276700000002</v>
      </c>
      <c r="T76" s="335"/>
      <c r="U76" s="335"/>
      <c r="V76" s="335"/>
      <c r="W76" s="335"/>
      <c r="X76" s="335"/>
      <c r="Y76" s="336"/>
      <c r="Z76" s="339"/>
      <c r="AA76" s="336"/>
      <c r="AB76" s="339"/>
      <c r="AC76" s="337"/>
      <c r="AD76" s="338">
        <f>SUM(C76:AC76)</f>
        <v>4856.7608700000001</v>
      </c>
    </row>
    <row r="77" spans="1:30" s="46" customFormat="1">
      <c r="A77" s="100" t="s">
        <v>343</v>
      </c>
      <c r="B77" s="131" t="s">
        <v>344</v>
      </c>
      <c r="C77" s="454"/>
      <c r="D77" s="335"/>
      <c r="E77" s="336"/>
      <c r="F77" s="339"/>
      <c r="G77" s="339"/>
      <c r="H77" s="339"/>
      <c r="I77" s="339"/>
      <c r="J77" s="339"/>
      <c r="K77" s="339"/>
      <c r="L77" s="339"/>
      <c r="M77" s="339"/>
      <c r="N77" s="339"/>
      <c r="O77" s="339"/>
      <c r="P77" s="339">
        <f>6092852.16/1000</f>
        <v>6092.8521600000004</v>
      </c>
      <c r="Q77" s="339"/>
      <c r="R77" s="339">
        <f>7742.78/1000</f>
        <v>7.7427799999999998</v>
      </c>
      <c r="S77" s="339"/>
      <c r="T77" s="335"/>
      <c r="U77" s="335"/>
      <c r="V77" s="335"/>
      <c r="W77" s="335"/>
      <c r="X77" s="335"/>
      <c r="Y77" s="336"/>
      <c r="Z77" s="339"/>
      <c r="AA77" s="336"/>
      <c r="AB77" s="339"/>
      <c r="AC77" s="337"/>
      <c r="AD77" s="338">
        <f>SUM(C77:AC77)</f>
        <v>6100.59494</v>
      </c>
    </row>
    <row r="78" spans="1:30" s="46" customFormat="1">
      <c r="A78" s="100" t="s">
        <v>345</v>
      </c>
      <c r="B78" s="131" t="s">
        <v>346</v>
      </c>
      <c r="C78" s="454"/>
      <c r="D78" s="335"/>
      <c r="E78" s="336"/>
      <c r="F78" s="340"/>
      <c r="G78" s="340"/>
      <c r="H78" s="340"/>
      <c r="I78" s="340"/>
      <c r="J78" s="340"/>
      <c r="K78" s="340"/>
      <c r="L78" s="340"/>
      <c r="M78" s="340"/>
      <c r="N78" s="340"/>
      <c r="O78" s="340"/>
      <c r="P78" s="340"/>
      <c r="Q78" s="340"/>
      <c r="R78" s="340"/>
      <c r="S78" s="340"/>
      <c r="T78" s="335"/>
      <c r="U78" s="335"/>
      <c r="V78" s="335"/>
      <c r="W78" s="335"/>
      <c r="X78" s="335"/>
      <c r="Y78" s="336"/>
      <c r="Z78" s="340"/>
      <c r="AA78" s="336"/>
      <c r="AB78" s="340"/>
      <c r="AC78" s="341"/>
      <c r="AD78" s="342">
        <f>SUM(C78:AC78)</f>
        <v>0</v>
      </c>
    </row>
    <row r="79" spans="1:30" s="46" customFormat="1" ht="15">
      <c r="A79" s="501" t="s">
        <v>83</v>
      </c>
      <c r="B79" s="502"/>
      <c r="C79" s="454">
        <f>SUM(C75:C78)</f>
        <v>0</v>
      </c>
      <c r="D79" s="335">
        <f t="shared" ref="D79:AC79" si="13">SUM(D75:D78)</f>
        <v>0</v>
      </c>
      <c r="E79" s="336">
        <f t="shared" si="13"/>
        <v>0</v>
      </c>
      <c r="F79" s="339">
        <f t="shared" si="13"/>
        <v>0</v>
      </c>
      <c r="G79" s="339">
        <f t="shared" si="13"/>
        <v>165.28926000000001</v>
      </c>
      <c r="H79" s="339">
        <f t="shared" si="13"/>
        <v>75</v>
      </c>
      <c r="I79" s="339">
        <f t="shared" si="13"/>
        <v>0</v>
      </c>
      <c r="J79" s="339">
        <f t="shared" si="13"/>
        <v>0.57504</v>
      </c>
      <c r="K79" s="339">
        <f t="shared" si="13"/>
        <v>25.274000000000001</v>
      </c>
      <c r="L79" s="339">
        <f t="shared" si="13"/>
        <v>438.25359000000003</v>
      </c>
      <c r="M79" s="339">
        <f t="shared" si="13"/>
        <v>0</v>
      </c>
      <c r="N79" s="339">
        <f t="shared" si="13"/>
        <v>18.318000000000001</v>
      </c>
      <c r="O79" s="339">
        <f t="shared" si="13"/>
        <v>0.3</v>
      </c>
      <c r="P79" s="339">
        <f t="shared" si="13"/>
        <v>6072.33547</v>
      </c>
      <c r="Q79" s="339">
        <f t="shared" si="13"/>
        <v>0</v>
      </c>
      <c r="R79" s="339">
        <f t="shared" si="13"/>
        <v>33.782780000000002</v>
      </c>
      <c r="S79" s="339">
        <f t="shared" si="13"/>
        <v>4128.2276700000002</v>
      </c>
      <c r="T79" s="335">
        <f t="shared" si="13"/>
        <v>0</v>
      </c>
      <c r="U79" s="335">
        <f t="shared" si="13"/>
        <v>0</v>
      </c>
      <c r="V79" s="335">
        <f t="shared" si="13"/>
        <v>0</v>
      </c>
      <c r="W79" s="335">
        <f t="shared" si="13"/>
        <v>0</v>
      </c>
      <c r="X79" s="335">
        <f t="shared" si="13"/>
        <v>0</v>
      </c>
      <c r="Y79" s="336">
        <f t="shared" si="13"/>
        <v>0</v>
      </c>
      <c r="Z79" s="339">
        <f t="shared" si="13"/>
        <v>0</v>
      </c>
      <c r="AA79" s="336">
        <f t="shared" si="13"/>
        <v>0</v>
      </c>
      <c r="AB79" s="339">
        <f t="shared" si="13"/>
        <v>0</v>
      </c>
      <c r="AC79" s="337">
        <f t="shared" si="13"/>
        <v>0</v>
      </c>
      <c r="AD79" s="338">
        <f>SUM(C79:AC79)</f>
        <v>10957.355810000001</v>
      </c>
    </row>
    <row r="80" spans="1:30" s="46" customFormat="1">
      <c r="A80" s="103"/>
      <c r="B80" s="48"/>
      <c r="C80" s="344"/>
      <c r="D80" s="344"/>
      <c r="E80" s="344"/>
      <c r="F80" s="343"/>
      <c r="G80" s="343"/>
      <c r="H80" s="343"/>
      <c r="I80" s="343"/>
      <c r="J80" s="343"/>
      <c r="K80" s="343"/>
      <c r="L80" s="343"/>
      <c r="M80" s="343"/>
      <c r="N80" s="343"/>
      <c r="O80" s="343"/>
      <c r="P80" s="343"/>
      <c r="Q80" s="343"/>
      <c r="R80" s="343"/>
      <c r="S80" s="343"/>
      <c r="T80" s="344"/>
      <c r="U80" s="344"/>
      <c r="V80" s="344"/>
      <c r="W80" s="344"/>
      <c r="X80" s="344"/>
      <c r="Y80" s="344"/>
      <c r="Z80" s="343"/>
      <c r="AA80" s="344"/>
      <c r="AB80" s="343"/>
      <c r="AC80" s="343"/>
      <c r="AD80" s="345"/>
    </row>
    <row r="81" spans="1:30" s="46" customFormat="1" ht="15">
      <c r="A81" s="45" t="s">
        <v>54</v>
      </c>
      <c r="B81" s="134" t="s">
        <v>78</v>
      </c>
      <c r="C81" s="455"/>
      <c r="D81" s="346"/>
      <c r="E81" s="346"/>
      <c r="F81" s="343"/>
      <c r="G81" s="343"/>
      <c r="H81" s="343"/>
      <c r="I81" s="343"/>
      <c r="J81" s="343"/>
      <c r="K81" s="343"/>
      <c r="L81" s="343"/>
      <c r="M81" s="343"/>
      <c r="N81" s="343"/>
      <c r="O81" s="343"/>
      <c r="P81" s="343"/>
      <c r="Q81" s="343"/>
      <c r="R81" s="343"/>
      <c r="S81" s="343"/>
      <c r="T81" s="346"/>
      <c r="U81" s="346"/>
      <c r="V81" s="346"/>
      <c r="W81" s="343"/>
      <c r="X81" s="346"/>
      <c r="Y81" s="346"/>
      <c r="Z81" s="346"/>
      <c r="AA81" s="346"/>
      <c r="AB81" s="343"/>
      <c r="AC81" s="343"/>
      <c r="AD81" s="345"/>
    </row>
    <row r="82" spans="1:30" s="46" customFormat="1">
      <c r="A82" s="100" t="s">
        <v>23</v>
      </c>
      <c r="B82" s="131" t="s">
        <v>79</v>
      </c>
      <c r="C82" s="454"/>
      <c r="D82" s="335"/>
      <c r="E82" s="335"/>
      <c r="F82" s="334"/>
      <c r="G82" s="334"/>
      <c r="H82" s="334"/>
      <c r="I82" s="334"/>
      <c r="J82" s="334"/>
      <c r="K82" s="334"/>
      <c r="L82" s="334"/>
      <c r="M82" s="334"/>
      <c r="N82" s="334"/>
      <c r="O82" s="334"/>
      <c r="P82" s="334"/>
      <c r="Q82" s="334"/>
      <c r="R82" s="334">
        <f>1207751.58/1000</f>
        <v>1207.7515800000001</v>
      </c>
      <c r="S82" s="334">
        <f>1512741.66/1000</f>
        <v>1512.7416599999999</v>
      </c>
      <c r="T82" s="335"/>
      <c r="U82" s="335"/>
      <c r="V82" s="335"/>
      <c r="W82" s="334"/>
      <c r="X82" s="335"/>
      <c r="Y82" s="335"/>
      <c r="Z82" s="335"/>
      <c r="AA82" s="335"/>
      <c r="AB82" s="334"/>
      <c r="AC82" s="337"/>
      <c r="AD82" s="338">
        <f t="shared" ref="AD82:AD92" si="14">SUM(C82:AC82)</f>
        <v>2720.4932399999998</v>
      </c>
    </row>
    <row r="83" spans="1:30" s="46" customFormat="1">
      <c r="A83" s="100" t="s">
        <v>347</v>
      </c>
      <c r="B83" s="131" t="s">
        <v>81</v>
      </c>
      <c r="C83" s="454"/>
      <c r="D83" s="335"/>
      <c r="E83" s="335"/>
      <c r="F83" s="339"/>
      <c r="G83" s="339"/>
      <c r="H83" s="339"/>
      <c r="I83" s="339"/>
      <c r="J83" s="339"/>
      <c r="K83" s="339"/>
      <c r="L83" s="339"/>
      <c r="M83" s="339"/>
      <c r="N83" s="339"/>
      <c r="O83" s="339"/>
      <c r="P83" s="339"/>
      <c r="Q83" s="339"/>
      <c r="R83" s="339">
        <f>7279230.27/1000</f>
        <v>7279.2302699999991</v>
      </c>
      <c r="S83" s="339">
        <f>34086873.92/1000</f>
        <v>34086.873919999998</v>
      </c>
      <c r="T83" s="335"/>
      <c r="U83" s="335"/>
      <c r="V83" s="339"/>
      <c r="W83" s="339"/>
      <c r="X83" s="335"/>
      <c r="Y83" s="335"/>
      <c r="Z83" s="335"/>
      <c r="AA83" s="335"/>
      <c r="AB83" s="339"/>
      <c r="AC83" s="337"/>
      <c r="AD83" s="338">
        <f t="shared" si="14"/>
        <v>41366.104189999998</v>
      </c>
    </row>
    <row r="84" spans="1:30" s="46" customFormat="1">
      <c r="A84" s="100" t="s">
        <v>348</v>
      </c>
      <c r="B84" s="131" t="s">
        <v>349</v>
      </c>
      <c r="C84" s="454"/>
      <c r="D84" s="335"/>
      <c r="E84" s="335"/>
      <c r="F84" s="339"/>
      <c r="G84" s="339"/>
      <c r="H84" s="339"/>
      <c r="I84" s="339"/>
      <c r="J84" s="339"/>
      <c r="K84" s="339"/>
      <c r="L84" s="339"/>
      <c r="M84" s="339"/>
      <c r="N84" s="339">
        <f>104271941/1000</f>
        <v>104271.94100000001</v>
      </c>
      <c r="O84" s="339">
        <f>113570.27/1000</f>
        <v>113.57027000000001</v>
      </c>
      <c r="P84" s="339"/>
      <c r="Q84" s="339"/>
      <c r="R84" s="339"/>
      <c r="S84" s="339">
        <f>154318.94/1000</f>
        <v>154.31894</v>
      </c>
      <c r="T84" s="335"/>
      <c r="U84" s="335"/>
      <c r="V84" s="335"/>
      <c r="W84" s="335"/>
      <c r="X84" s="335"/>
      <c r="Y84" s="335"/>
      <c r="Z84" s="335"/>
      <c r="AA84" s="335"/>
      <c r="AB84" s="339"/>
      <c r="AC84" s="337"/>
      <c r="AD84" s="338">
        <f t="shared" si="14"/>
        <v>104539.83021</v>
      </c>
    </row>
    <row r="85" spans="1:30" s="46" customFormat="1">
      <c r="A85" s="100" t="s">
        <v>350</v>
      </c>
      <c r="B85" s="135" t="s">
        <v>351</v>
      </c>
      <c r="C85" s="454"/>
      <c r="D85" s="339"/>
      <c r="E85" s="337">
        <f>52155896.17/1000</f>
        <v>52155.89617</v>
      </c>
      <c r="F85" s="339"/>
      <c r="G85" s="339"/>
      <c r="H85" s="339"/>
      <c r="I85" s="339"/>
      <c r="J85" s="339"/>
      <c r="K85" s="339"/>
      <c r="L85" s="339"/>
      <c r="M85" s="339"/>
      <c r="N85" s="339"/>
      <c r="O85" s="339"/>
      <c r="P85" s="339"/>
      <c r="Q85" s="339"/>
      <c r="R85" s="339"/>
      <c r="S85" s="339"/>
      <c r="T85" s="335"/>
      <c r="U85" s="335"/>
      <c r="V85" s="335"/>
      <c r="W85" s="335"/>
      <c r="X85" s="335"/>
      <c r="Y85" s="335"/>
      <c r="Z85" s="335"/>
      <c r="AA85" s="335"/>
      <c r="AB85" s="339"/>
      <c r="AC85" s="337"/>
      <c r="AD85" s="338">
        <f t="shared" si="14"/>
        <v>52155.89617</v>
      </c>
    </row>
    <row r="86" spans="1:30" s="46" customFormat="1">
      <c r="A86" s="105" t="s">
        <v>352</v>
      </c>
      <c r="B86" s="135" t="s">
        <v>80</v>
      </c>
      <c r="C86" s="454"/>
      <c r="D86" s="335"/>
      <c r="E86" s="335"/>
      <c r="F86" s="339"/>
      <c r="G86" s="339"/>
      <c r="H86" s="339"/>
      <c r="I86" s="339"/>
      <c r="J86" s="339"/>
      <c r="K86" s="339"/>
      <c r="L86" s="339"/>
      <c r="M86" s="339">
        <f>95720.03/1000</f>
        <v>95.720029999999994</v>
      </c>
      <c r="N86" s="339"/>
      <c r="O86" s="339"/>
      <c r="P86" s="339"/>
      <c r="Q86" s="339"/>
      <c r="R86" s="339"/>
      <c r="S86" s="339"/>
      <c r="T86" s="335"/>
      <c r="U86" s="335"/>
      <c r="V86" s="335"/>
      <c r="W86" s="335"/>
      <c r="X86" s="335"/>
      <c r="Y86" s="335"/>
      <c r="Z86" s="339"/>
      <c r="AA86" s="335"/>
      <c r="AB86" s="339"/>
      <c r="AC86" s="341"/>
      <c r="AD86" s="338">
        <f t="shared" si="14"/>
        <v>95.720029999999994</v>
      </c>
    </row>
    <row r="87" spans="1:30" s="46" customFormat="1">
      <c r="A87" s="105" t="s">
        <v>353</v>
      </c>
      <c r="B87" s="135" t="s">
        <v>354</v>
      </c>
      <c r="C87" s="454"/>
      <c r="D87" s="335"/>
      <c r="E87" s="335"/>
      <c r="F87" s="339"/>
      <c r="G87" s="339"/>
      <c r="H87" s="339"/>
      <c r="I87" s="339"/>
      <c r="J87" s="339"/>
      <c r="K87" s="339"/>
      <c r="L87" s="339"/>
      <c r="M87" s="339"/>
      <c r="N87" s="339"/>
      <c r="O87" s="339"/>
      <c r="P87" s="339"/>
      <c r="Q87" s="339"/>
      <c r="R87" s="339"/>
      <c r="S87" s="340"/>
      <c r="T87" s="335"/>
      <c r="U87" s="335"/>
      <c r="V87" s="335"/>
      <c r="W87" s="335"/>
      <c r="X87" s="335"/>
      <c r="Y87" s="335"/>
      <c r="Z87" s="335"/>
      <c r="AA87" s="335"/>
      <c r="AB87" s="339"/>
      <c r="AC87" s="341"/>
      <c r="AD87" s="338">
        <f t="shared" si="14"/>
        <v>0</v>
      </c>
    </row>
    <row r="88" spans="1:30" s="46" customFormat="1">
      <c r="A88" s="105" t="s">
        <v>355</v>
      </c>
      <c r="B88" s="135" t="s">
        <v>82</v>
      </c>
      <c r="C88" s="454"/>
      <c r="D88" s="335"/>
      <c r="E88" s="335"/>
      <c r="F88" s="335"/>
      <c r="G88" s="335"/>
      <c r="H88" s="335"/>
      <c r="I88" s="335"/>
      <c r="J88" s="335"/>
      <c r="K88" s="335"/>
      <c r="L88" s="335"/>
      <c r="M88" s="335"/>
      <c r="N88" s="335"/>
      <c r="O88" s="335"/>
      <c r="P88" s="335"/>
      <c r="Q88" s="335"/>
      <c r="R88" s="335"/>
      <c r="S88" s="339"/>
      <c r="T88" s="335"/>
      <c r="U88" s="335"/>
      <c r="V88" s="335"/>
      <c r="W88" s="335"/>
      <c r="X88" s="335"/>
      <c r="Y88" s="335"/>
      <c r="Z88" s="335"/>
      <c r="AA88" s="335"/>
      <c r="AB88" s="339"/>
      <c r="AC88" s="341"/>
      <c r="AD88" s="338">
        <f t="shared" si="14"/>
        <v>0</v>
      </c>
    </row>
    <row r="89" spans="1:30" s="46" customFormat="1">
      <c r="A89" s="105" t="s">
        <v>356</v>
      </c>
      <c r="B89" s="135" t="s">
        <v>525</v>
      </c>
      <c r="C89" s="454"/>
      <c r="D89" s="335"/>
      <c r="E89" s="335"/>
      <c r="F89" s="335"/>
      <c r="G89" s="335"/>
      <c r="H89" s="335"/>
      <c r="I89" s="335"/>
      <c r="J89" s="335"/>
      <c r="K89" s="335"/>
      <c r="L89" s="335"/>
      <c r="M89" s="335"/>
      <c r="N89" s="335"/>
      <c r="O89" s="335"/>
      <c r="P89" s="335"/>
      <c r="Q89" s="335"/>
      <c r="R89" s="335"/>
      <c r="S89" s="339"/>
      <c r="T89" s="335"/>
      <c r="U89" s="335"/>
      <c r="V89" s="335"/>
      <c r="W89" s="335"/>
      <c r="X89" s="335"/>
      <c r="Y89" s="335"/>
      <c r="Z89" s="335"/>
      <c r="AA89" s="335"/>
      <c r="AB89" s="339"/>
      <c r="AC89" s="341"/>
      <c r="AD89" s="338">
        <f t="shared" si="14"/>
        <v>0</v>
      </c>
    </row>
    <row r="90" spans="1:30" s="46" customFormat="1">
      <c r="A90" s="105" t="s">
        <v>357</v>
      </c>
      <c r="B90" s="136" t="s">
        <v>358</v>
      </c>
      <c r="C90" s="454"/>
      <c r="D90" s="335"/>
      <c r="E90" s="335"/>
      <c r="F90" s="335"/>
      <c r="G90" s="335"/>
      <c r="H90" s="335"/>
      <c r="I90" s="335"/>
      <c r="J90" s="335"/>
      <c r="K90" s="335"/>
      <c r="L90" s="335"/>
      <c r="M90" s="335"/>
      <c r="N90" s="335"/>
      <c r="O90" s="335"/>
      <c r="P90" s="335"/>
      <c r="Q90" s="335"/>
      <c r="R90" s="335"/>
      <c r="S90" s="339">
        <f>148697895.77/1000</f>
        <v>148697.89577</v>
      </c>
      <c r="T90" s="335"/>
      <c r="U90" s="335"/>
      <c r="V90" s="335"/>
      <c r="W90" s="335"/>
      <c r="X90" s="335"/>
      <c r="Y90" s="335"/>
      <c r="Z90" s="335"/>
      <c r="AA90" s="335"/>
      <c r="AB90" s="339"/>
      <c r="AC90" s="341"/>
      <c r="AD90" s="338">
        <f t="shared" si="14"/>
        <v>148697.89577</v>
      </c>
    </row>
    <row r="91" spans="1:30" s="46" customFormat="1">
      <c r="A91" s="105" t="s">
        <v>359</v>
      </c>
      <c r="B91" s="135" t="s">
        <v>526</v>
      </c>
      <c r="C91" s="454"/>
      <c r="D91" s="335"/>
      <c r="E91" s="335"/>
      <c r="F91" s="335"/>
      <c r="G91" s="335"/>
      <c r="H91" s="335"/>
      <c r="I91" s="335"/>
      <c r="J91" s="335"/>
      <c r="K91" s="335"/>
      <c r="L91" s="335"/>
      <c r="M91" s="335"/>
      <c r="N91" s="335"/>
      <c r="O91" s="335"/>
      <c r="P91" s="335"/>
      <c r="Q91" s="335"/>
      <c r="R91" s="335"/>
      <c r="S91" s="340">
        <f>5692571.42/1000</f>
        <v>5692.5714200000002</v>
      </c>
      <c r="T91" s="335"/>
      <c r="U91" s="335"/>
      <c r="V91" s="335"/>
      <c r="W91" s="335"/>
      <c r="X91" s="335"/>
      <c r="Y91" s="335"/>
      <c r="Z91" s="335"/>
      <c r="AA91" s="335"/>
      <c r="AB91" s="340"/>
      <c r="AC91" s="341"/>
      <c r="AD91" s="342">
        <f t="shared" si="14"/>
        <v>5692.5714200000002</v>
      </c>
    </row>
    <row r="92" spans="1:30" s="46" customFormat="1" ht="15">
      <c r="A92" s="501" t="s">
        <v>56</v>
      </c>
      <c r="B92" s="502"/>
      <c r="C92" s="454">
        <f>SUM(C82:C91)-C89</f>
        <v>0</v>
      </c>
      <c r="D92" s="339">
        <f t="shared" ref="D92:AC92" si="15">SUM(D82:D91)-D89</f>
        <v>0</v>
      </c>
      <c r="E92" s="339">
        <f t="shared" si="15"/>
        <v>52155.89617</v>
      </c>
      <c r="F92" s="339">
        <f t="shared" si="15"/>
        <v>0</v>
      </c>
      <c r="G92" s="339">
        <f t="shared" si="15"/>
        <v>0</v>
      </c>
      <c r="H92" s="339">
        <f t="shared" si="15"/>
        <v>0</v>
      </c>
      <c r="I92" s="339">
        <f t="shared" si="15"/>
        <v>0</v>
      </c>
      <c r="J92" s="339">
        <f t="shared" si="15"/>
        <v>0</v>
      </c>
      <c r="K92" s="339">
        <f t="shared" si="15"/>
        <v>0</v>
      </c>
      <c r="L92" s="339">
        <f t="shared" si="15"/>
        <v>0</v>
      </c>
      <c r="M92" s="339">
        <f t="shared" si="15"/>
        <v>95.720029999999994</v>
      </c>
      <c r="N92" s="339">
        <f t="shared" si="15"/>
        <v>104271.94100000001</v>
      </c>
      <c r="O92" s="339">
        <f t="shared" si="15"/>
        <v>113.57027000000001</v>
      </c>
      <c r="P92" s="339">
        <f t="shared" si="15"/>
        <v>0</v>
      </c>
      <c r="Q92" s="339">
        <f t="shared" si="15"/>
        <v>0</v>
      </c>
      <c r="R92" s="339">
        <f t="shared" si="15"/>
        <v>8486.9818500000001</v>
      </c>
      <c r="S92" s="339">
        <f t="shared" si="15"/>
        <v>190144.40171000001</v>
      </c>
      <c r="T92" s="335">
        <f t="shared" si="15"/>
        <v>0</v>
      </c>
      <c r="U92" s="335">
        <f t="shared" si="15"/>
        <v>0</v>
      </c>
      <c r="V92" s="339">
        <f t="shared" si="15"/>
        <v>0</v>
      </c>
      <c r="W92" s="339">
        <f t="shared" si="15"/>
        <v>0</v>
      </c>
      <c r="X92" s="335">
        <f t="shared" si="15"/>
        <v>0</v>
      </c>
      <c r="Y92" s="336">
        <f t="shared" si="15"/>
        <v>0</v>
      </c>
      <c r="Z92" s="339">
        <f t="shared" si="15"/>
        <v>0</v>
      </c>
      <c r="AA92" s="336">
        <f t="shared" si="15"/>
        <v>0</v>
      </c>
      <c r="AB92" s="339">
        <f t="shared" si="15"/>
        <v>0</v>
      </c>
      <c r="AC92" s="337">
        <f t="shared" si="15"/>
        <v>0</v>
      </c>
      <c r="AD92" s="338">
        <f t="shared" si="14"/>
        <v>355268.51103000005</v>
      </c>
    </row>
    <row r="93" spans="1:30" s="46" customFormat="1" ht="15" thickBot="1">
      <c r="A93" s="107"/>
      <c r="B93" s="138"/>
      <c r="C93" s="457"/>
      <c r="D93" s="335"/>
      <c r="E93" s="335"/>
      <c r="F93" s="346"/>
      <c r="G93" s="346"/>
      <c r="H93" s="346"/>
      <c r="I93" s="346"/>
      <c r="J93" s="346"/>
      <c r="K93" s="346"/>
      <c r="L93" s="346"/>
      <c r="M93" s="346"/>
      <c r="N93" s="346"/>
      <c r="O93" s="346"/>
      <c r="P93" s="346"/>
      <c r="Q93" s="346"/>
      <c r="R93" s="346"/>
      <c r="S93" s="346"/>
      <c r="T93" s="335"/>
      <c r="U93" s="335"/>
      <c r="V93" s="346"/>
      <c r="W93" s="346"/>
      <c r="X93" s="335"/>
      <c r="Y93" s="335"/>
      <c r="Z93" s="346"/>
      <c r="AA93" s="335"/>
      <c r="AB93" s="346"/>
      <c r="AC93" s="346"/>
      <c r="AD93" s="350"/>
    </row>
    <row r="94" spans="1:30" s="46" customFormat="1" ht="15.75" thickBot="1">
      <c r="A94" s="108" t="s">
        <v>360</v>
      </c>
      <c r="B94" s="143"/>
      <c r="C94" s="458">
        <f>SUM(C14,C20,C28,C37,C47,C53,C60,C72,C79,C92)</f>
        <v>0</v>
      </c>
      <c r="D94" s="351">
        <f t="shared" ref="D94:AC94" si="16">SUM(D14,D20,D28,D37,D47,D53,D60,D72,D79,D92)</f>
        <v>0</v>
      </c>
      <c r="E94" s="351">
        <f t="shared" si="16"/>
        <v>52155.89617</v>
      </c>
      <c r="F94" s="351">
        <f t="shared" si="16"/>
        <v>1832.6849299999999</v>
      </c>
      <c r="G94" s="351">
        <f t="shared" si="16"/>
        <v>232.34607</v>
      </c>
      <c r="H94" s="351">
        <f t="shared" si="16"/>
        <v>75</v>
      </c>
      <c r="I94" s="351">
        <f t="shared" si="16"/>
        <v>0</v>
      </c>
      <c r="J94" s="351">
        <f t="shared" si="16"/>
        <v>64.205969999999994</v>
      </c>
      <c r="K94" s="351">
        <f t="shared" si="16"/>
        <v>211.4477</v>
      </c>
      <c r="L94" s="351">
        <f t="shared" si="16"/>
        <v>12049.461139999998</v>
      </c>
      <c r="M94" s="351">
        <f t="shared" si="16"/>
        <v>7735.2487300000003</v>
      </c>
      <c r="N94" s="351">
        <f t="shared" si="16"/>
        <v>210375.68913000001</v>
      </c>
      <c r="O94" s="351">
        <f t="shared" si="16"/>
        <v>4449.8720600000006</v>
      </c>
      <c r="P94" s="351">
        <f t="shared" si="16"/>
        <v>14419.85038</v>
      </c>
      <c r="Q94" s="351">
        <f t="shared" si="16"/>
        <v>5</v>
      </c>
      <c r="R94" s="351">
        <f t="shared" si="16"/>
        <v>14144.312029999999</v>
      </c>
      <c r="S94" s="351">
        <f t="shared" si="16"/>
        <v>203463.39061</v>
      </c>
      <c r="T94" s="352">
        <f t="shared" si="16"/>
        <v>0</v>
      </c>
      <c r="U94" s="353">
        <f t="shared" si="16"/>
        <v>0</v>
      </c>
      <c r="V94" s="351">
        <f t="shared" si="16"/>
        <v>0</v>
      </c>
      <c r="W94" s="351">
        <f t="shared" si="16"/>
        <v>0</v>
      </c>
      <c r="X94" s="353">
        <f t="shared" si="16"/>
        <v>0</v>
      </c>
      <c r="Y94" s="354">
        <f t="shared" si="16"/>
        <v>0</v>
      </c>
      <c r="Z94" s="351">
        <f t="shared" si="16"/>
        <v>9035.0046999999995</v>
      </c>
      <c r="AA94" s="355">
        <f t="shared" si="16"/>
        <v>0</v>
      </c>
      <c r="AB94" s="351">
        <f t="shared" si="16"/>
        <v>0</v>
      </c>
      <c r="AC94" s="356">
        <f t="shared" si="16"/>
        <v>0</v>
      </c>
      <c r="AD94" s="357">
        <f>SUM(C94:AC94)</f>
        <v>530249.40962000005</v>
      </c>
    </row>
    <row r="95" spans="1:30" s="46" customFormat="1">
      <c r="A95" s="109"/>
      <c r="B95" s="139"/>
      <c r="C95" s="344"/>
      <c r="D95" s="344"/>
      <c r="E95" s="344"/>
      <c r="F95" s="344"/>
      <c r="G95" s="344"/>
      <c r="H95" s="344"/>
      <c r="I95" s="344"/>
      <c r="J95" s="344"/>
      <c r="K95" s="344"/>
      <c r="L95" s="344"/>
      <c r="M95" s="344"/>
      <c r="N95" s="344"/>
      <c r="O95" s="344"/>
      <c r="P95" s="344"/>
      <c r="Q95" s="344"/>
      <c r="R95" s="344"/>
      <c r="S95" s="344"/>
      <c r="T95" s="344"/>
      <c r="U95" s="344"/>
      <c r="V95" s="344"/>
      <c r="W95" s="344"/>
      <c r="X95" s="344"/>
      <c r="Y95" s="344"/>
      <c r="Z95" s="344"/>
      <c r="AA95" s="344"/>
      <c r="AB95" s="344"/>
      <c r="AC95" s="344"/>
      <c r="AD95" s="358"/>
    </row>
    <row r="96" spans="1:30" s="111" customFormat="1" ht="18">
      <c r="A96" s="505" t="s">
        <v>84</v>
      </c>
      <c r="B96" s="506"/>
      <c r="C96" s="359"/>
      <c r="D96" s="359"/>
      <c r="E96" s="359"/>
      <c r="F96" s="359"/>
      <c r="G96" s="359"/>
      <c r="H96" s="359"/>
      <c r="I96" s="359"/>
      <c r="J96" s="359"/>
      <c r="K96" s="359"/>
      <c r="L96" s="359"/>
      <c r="M96" s="359"/>
      <c r="N96" s="359"/>
      <c r="O96" s="359"/>
      <c r="P96" s="359"/>
      <c r="Q96" s="359"/>
      <c r="R96" s="359"/>
      <c r="S96" s="359"/>
      <c r="T96" s="359"/>
      <c r="U96" s="359"/>
      <c r="V96" s="359"/>
      <c r="W96" s="359"/>
      <c r="X96" s="359"/>
      <c r="Y96" s="359"/>
      <c r="Z96" s="359"/>
      <c r="AA96" s="359"/>
      <c r="AB96" s="359"/>
      <c r="AC96" s="359"/>
      <c r="AD96" s="360"/>
    </row>
    <row r="97" spans="1:30" s="46" customFormat="1">
      <c r="A97" s="103"/>
      <c r="B97" s="48"/>
      <c r="C97" s="335"/>
      <c r="D97" s="335"/>
      <c r="E97" s="335"/>
      <c r="F97" s="335"/>
      <c r="G97" s="335"/>
      <c r="H97" s="335"/>
      <c r="I97" s="335"/>
      <c r="J97" s="335"/>
      <c r="K97" s="335"/>
      <c r="L97" s="335"/>
      <c r="M97" s="344"/>
      <c r="N97" s="344"/>
      <c r="O97" s="344"/>
      <c r="P97" s="344"/>
      <c r="Q97" s="344"/>
      <c r="R97" s="344"/>
      <c r="S97" s="344"/>
      <c r="T97" s="335"/>
      <c r="U97" s="335"/>
      <c r="V97" s="335"/>
      <c r="W97" s="335"/>
      <c r="X97" s="335"/>
      <c r="Y97" s="335"/>
      <c r="Z97" s="344"/>
      <c r="AA97" s="335"/>
      <c r="AB97" s="344"/>
      <c r="AC97" s="344"/>
      <c r="AD97" s="358"/>
    </row>
    <row r="98" spans="1:30" s="46" customFormat="1">
      <c r="A98" s="112" t="s">
        <v>490</v>
      </c>
      <c r="B98" s="131" t="s">
        <v>85</v>
      </c>
      <c r="C98" s="454"/>
      <c r="D98" s="335"/>
      <c r="E98" s="335"/>
      <c r="F98" s="335"/>
      <c r="G98" s="335"/>
      <c r="H98" s="335"/>
      <c r="I98" s="335"/>
      <c r="J98" s="335"/>
      <c r="K98" s="335"/>
      <c r="L98" s="335"/>
      <c r="M98" s="334"/>
      <c r="N98" s="334"/>
      <c r="O98" s="334"/>
      <c r="P98" s="334"/>
      <c r="Q98" s="334"/>
      <c r="R98" s="334"/>
      <c r="S98" s="334"/>
      <c r="T98" s="335"/>
      <c r="U98" s="335"/>
      <c r="V98" s="335"/>
      <c r="W98" s="335"/>
      <c r="X98" s="335"/>
      <c r="Y98" s="335"/>
      <c r="Z98" s="334"/>
      <c r="AA98" s="335"/>
      <c r="AB98" s="334"/>
      <c r="AC98" s="337"/>
      <c r="AD98" s="338">
        <f>SUM(C98:AC98)</f>
        <v>0</v>
      </c>
    </row>
    <row r="99" spans="1:30" s="46" customFormat="1">
      <c r="A99" s="112" t="s">
        <v>491</v>
      </c>
      <c r="B99" s="131" t="s">
        <v>86</v>
      </c>
      <c r="C99" s="454"/>
      <c r="D99" s="335"/>
      <c r="E99" s="335"/>
      <c r="F99" s="340"/>
      <c r="G99" s="340"/>
      <c r="H99" s="340"/>
      <c r="I99" s="340">
        <f>140012.01/1000</f>
        <v>140.01201</v>
      </c>
      <c r="J99" s="340">
        <f>11399/1000</f>
        <v>11.398999999999999</v>
      </c>
      <c r="K99" s="340"/>
      <c r="L99" s="340">
        <f>3523.81/1000</f>
        <v>3.5238100000000001</v>
      </c>
      <c r="M99" s="340"/>
      <c r="N99" s="340">
        <f>295270.23/1000</f>
        <v>295.27022999999997</v>
      </c>
      <c r="O99" s="340">
        <f>14658.56/1000</f>
        <v>14.65856</v>
      </c>
      <c r="P99" s="340"/>
      <c r="Q99" s="340"/>
      <c r="R99" s="340"/>
      <c r="S99" s="340">
        <f>1051921.29/1000</f>
        <v>1051.92129</v>
      </c>
      <c r="T99" s="335"/>
      <c r="U99" s="335"/>
      <c r="V99" s="335"/>
      <c r="W99" s="335"/>
      <c r="X99" s="335"/>
      <c r="Y99" s="335"/>
      <c r="Z99" s="340"/>
      <c r="AA99" s="335"/>
      <c r="AB99" s="340">
        <f>3105516.53/1000</f>
        <v>3105.5165299999999</v>
      </c>
      <c r="AC99" s="337">
        <f>98648510.38/1000</f>
        <v>98648.510379999992</v>
      </c>
      <c r="AD99" s="338">
        <f>SUM(C99:AC99)</f>
        <v>103270.81180999998</v>
      </c>
    </row>
    <row r="100" spans="1:30" s="46" customFormat="1" ht="15">
      <c r="A100" s="91" t="s">
        <v>87</v>
      </c>
      <c r="B100" s="131"/>
      <c r="C100" s="454">
        <f>SUM(C98:C99)</f>
        <v>0</v>
      </c>
      <c r="D100" s="335">
        <f t="shared" ref="D100:AC100" si="17">SUM(D98:D99)</f>
        <v>0</v>
      </c>
      <c r="E100" s="336">
        <f t="shared" si="17"/>
        <v>0</v>
      </c>
      <c r="F100" s="339">
        <f t="shared" si="17"/>
        <v>0</v>
      </c>
      <c r="G100" s="339">
        <f t="shared" si="17"/>
        <v>0</v>
      </c>
      <c r="H100" s="339">
        <f t="shared" si="17"/>
        <v>0</v>
      </c>
      <c r="I100" s="339">
        <f>SUM(I99)</f>
        <v>140.01201</v>
      </c>
      <c r="J100" s="339">
        <f t="shared" si="17"/>
        <v>11.398999999999999</v>
      </c>
      <c r="K100" s="339">
        <f t="shared" si="17"/>
        <v>0</v>
      </c>
      <c r="L100" s="339">
        <f t="shared" si="17"/>
        <v>3.5238100000000001</v>
      </c>
      <c r="M100" s="339">
        <f t="shared" si="17"/>
        <v>0</v>
      </c>
      <c r="N100" s="339">
        <f t="shared" si="17"/>
        <v>295.27022999999997</v>
      </c>
      <c r="O100" s="339">
        <f t="shared" si="17"/>
        <v>14.65856</v>
      </c>
      <c r="P100" s="339">
        <f t="shared" si="17"/>
        <v>0</v>
      </c>
      <c r="Q100" s="339">
        <f t="shared" si="17"/>
        <v>0</v>
      </c>
      <c r="R100" s="339">
        <f t="shared" si="17"/>
        <v>0</v>
      </c>
      <c r="S100" s="339">
        <f t="shared" si="17"/>
        <v>1051.92129</v>
      </c>
      <c r="T100" s="347">
        <f t="shared" si="17"/>
        <v>0</v>
      </c>
      <c r="U100" s="335">
        <f t="shared" si="17"/>
        <v>0</v>
      </c>
      <c r="V100" s="335">
        <f t="shared" si="17"/>
        <v>0</v>
      </c>
      <c r="W100" s="335">
        <f t="shared" si="17"/>
        <v>0</v>
      </c>
      <c r="X100" s="335">
        <f t="shared" si="17"/>
        <v>0</v>
      </c>
      <c r="Y100" s="336">
        <f t="shared" si="17"/>
        <v>0</v>
      </c>
      <c r="Z100" s="339">
        <f t="shared" si="17"/>
        <v>0</v>
      </c>
      <c r="AA100" s="348">
        <f t="shared" si="17"/>
        <v>0</v>
      </c>
      <c r="AB100" s="339">
        <f t="shared" si="17"/>
        <v>3105.5165299999999</v>
      </c>
      <c r="AC100" s="337">
        <f t="shared" si="17"/>
        <v>98648.510379999992</v>
      </c>
      <c r="AD100" s="338">
        <f>SUM(C100:AC100)</f>
        <v>103270.81180999998</v>
      </c>
    </row>
    <row r="101" spans="1:30" s="46" customFormat="1">
      <c r="A101" s="103"/>
      <c r="B101" s="48"/>
      <c r="C101" s="344"/>
      <c r="D101" s="344"/>
      <c r="E101" s="344"/>
      <c r="F101" s="343"/>
      <c r="G101" s="343"/>
      <c r="H101" s="343"/>
      <c r="I101" s="343"/>
      <c r="J101" s="343"/>
      <c r="K101" s="343"/>
      <c r="L101" s="343"/>
      <c r="M101" s="343"/>
      <c r="N101" s="343"/>
      <c r="O101" s="343"/>
      <c r="P101" s="343"/>
      <c r="Q101" s="343"/>
      <c r="R101" s="343"/>
      <c r="S101" s="343"/>
      <c r="T101" s="344"/>
      <c r="U101" s="344"/>
      <c r="V101" s="344"/>
      <c r="W101" s="344"/>
      <c r="X101" s="344"/>
      <c r="Y101" s="344"/>
      <c r="Z101" s="343"/>
      <c r="AA101" s="344"/>
      <c r="AB101" s="343"/>
      <c r="AC101" s="343"/>
      <c r="AD101" s="345"/>
    </row>
    <row r="102" spans="1:30" s="111" customFormat="1" ht="18">
      <c r="A102" s="505" t="s">
        <v>88</v>
      </c>
      <c r="B102" s="506"/>
      <c r="C102" s="359"/>
      <c r="D102" s="359"/>
      <c r="E102" s="359"/>
      <c r="F102" s="359"/>
      <c r="G102" s="359"/>
      <c r="H102" s="359"/>
      <c r="I102" s="359"/>
      <c r="J102" s="359"/>
      <c r="K102" s="359"/>
      <c r="L102" s="359"/>
      <c r="M102" s="359"/>
      <c r="N102" s="359"/>
      <c r="O102" s="359"/>
      <c r="P102" s="359"/>
      <c r="Q102" s="359"/>
      <c r="R102" s="359"/>
      <c r="S102" s="359"/>
      <c r="T102" s="359"/>
      <c r="U102" s="359"/>
      <c r="V102" s="359"/>
      <c r="W102" s="359"/>
      <c r="X102" s="359"/>
      <c r="Y102" s="359"/>
      <c r="Z102" s="359"/>
      <c r="AA102" s="359"/>
      <c r="AB102" s="359"/>
      <c r="AC102" s="359"/>
      <c r="AD102" s="360"/>
    </row>
    <row r="103" spans="1:30" s="46" customFormat="1">
      <c r="A103" s="103"/>
      <c r="B103" s="48"/>
      <c r="C103" s="344"/>
      <c r="D103" s="344"/>
      <c r="E103" s="344"/>
      <c r="F103" s="344"/>
      <c r="G103" s="344"/>
      <c r="H103" s="344"/>
      <c r="I103" s="344"/>
      <c r="J103" s="344"/>
      <c r="K103" s="344"/>
      <c r="L103" s="344"/>
      <c r="M103" s="344"/>
      <c r="N103" s="344"/>
      <c r="O103" s="344"/>
      <c r="P103" s="344"/>
      <c r="Q103" s="344"/>
      <c r="R103" s="344"/>
      <c r="S103" s="344"/>
      <c r="T103" s="344"/>
      <c r="U103" s="344"/>
      <c r="V103" s="344"/>
      <c r="W103" s="344"/>
      <c r="X103" s="344"/>
      <c r="Y103" s="344"/>
      <c r="Z103" s="344"/>
      <c r="AA103" s="344"/>
      <c r="AB103" s="344"/>
      <c r="AC103" s="344"/>
      <c r="AD103" s="358"/>
    </row>
    <row r="104" spans="1:30" s="57" customFormat="1" ht="15">
      <c r="A104" s="519" t="s">
        <v>89</v>
      </c>
      <c r="B104" s="520"/>
      <c r="C104" s="346"/>
      <c r="D104" s="346"/>
      <c r="E104" s="346"/>
      <c r="F104" s="343"/>
      <c r="G104" s="343"/>
      <c r="H104" s="343"/>
      <c r="I104" s="343"/>
      <c r="J104" s="343"/>
      <c r="K104" s="343"/>
      <c r="L104" s="343"/>
      <c r="M104" s="343"/>
      <c r="N104" s="343"/>
      <c r="O104" s="343"/>
      <c r="P104" s="343"/>
      <c r="Q104" s="343"/>
      <c r="R104" s="343"/>
      <c r="S104" s="343"/>
      <c r="T104" s="346"/>
      <c r="U104" s="346"/>
      <c r="V104" s="346"/>
      <c r="W104" s="346"/>
      <c r="X104" s="346"/>
      <c r="Y104" s="346"/>
      <c r="Z104" s="346"/>
      <c r="AA104" s="346"/>
      <c r="AB104" s="343"/>
      <c r="AC104" s="344"/>
      <c r="AD104" s="358"/>
    </row>
    <row r="105" spans="1:30" s="57" customFormat="1" ht="15">
      <c r="A105" s="50" t="s">
        <v>90</v>
      </c>
      <c r="B105" s="51" t="s">
        <v>91</v>
      </c>
      <c r="C105" s="456"/>
      <c r="D105" s="335"/>
      <c r="E105" s="335"/>
      <c r="F105" s="334"/>
      <c r="G105" s="334"/>
      <c r="H105" s="334"/>
      <c r="I105" s="334"/>
      <c r="J105" s="334"/>
      <c r="K105" s="334"/>
      <c r="L105" s="334"/>
      <c r="M105" s="334"/>
      <c r="N105" s="334"/>
      <c r="O105" s="334"/>
      <c r="P105" s="334"/>
      <c r="Q105" s="334"/>
      <c r="R105" s="334"/>
      <c r="S105" s="334"/>
      <c r="T105" s="335"/>
      <c r="U105" s="335"/>
      <c r="V105" s="339"/>
      <c r="W105" s="335"/>
      <c r="X105" s="335"/>
      <c r="Y105" s="335"/>
      <c r="Z105" s="335"/>
      <c r="AA105" s="335"/>
      <c r="AB105" s="334"/>
      <c r="AC105" s="361"/>
      <c r="AD105" s="338">
        <f t="shared" ref="AD105:AD123" si="18">SUM(C105:AC105)</f>
        <v>0</v>
      </c>
    </row>
    <row r="106" spans="1:30" s="57" customFormat="1" ht="15">
      <c r="A106" s="50" t="s">
        <v>92</v>
      </c>
      <c r="B106" s="51" t="s">
        <v>93</v>
      </c>
      <c r="C106" s="454"/>
      <c r="D106" s="335"/>
      <c r="E106" s="335"/>
      <c r="F106" s="339"/>
      <c r="G106" s="339"/>
      <c r="H106" s="339"/>
      <c r="I106" s="339"/>
      <c r="J106" s="339"/>
      <c r="K106" s="339"/>
      <c r="L106" s="339"/>
      <c r="M106" s="339"/>
      <c r="N106" s="339"/>
      <c r="O106" s="339"/>
      <c r="P106" s="339"/>
      <c r="Q106" s="339"/>
      <c r="R106" s="339"/>
      <c r="S106" s="339"/>
      <c r="T106" s="335"/>
      <c r="U106" s="335"/>
      <c r="V106" s="335"/>
      <c r="W106" s="335"/>
      <c r="X106" s="335"/>
      <c r="Y106" s="335"/>
      <c r="Z106" s="335"/>
      <c r="AA106" s="335"/>
      <c r="AB106" s="339"/>
      <c r="AC106" s="337"/>
      <c r="AD106" s="338">
        <f t="shared" si="18"/>
        <v>0</v>
      </c>
    </row>
    <row r="107" spans="1:30" s="57" customFormat="1" ht="15">
      <c r="A107" s="50" t="s">
        <v>94</v>
      </c>
      <c r="B107" s="51" t="s">
        <v>95</v>
      </c>
      <c r="C107" s="454"/>
      <c r="D107" s="335"/>
      <c r="E107" s="335"/>
      <c r="F107" s="339"/>
      <c r="G107" s="339"/>
      <c r="H107" s="339"/>
      <c r="I107" s="339"/>
      <c r="J107" s="339"/>
      <c r="K107" s="339"/>
      <c r="L107" s="339"/>
      <c r="M107" s="339"/>
      <c r="N107" s="339"/>
      <c r="O107" s="339"/>
      <c r="P107" s="339"/>
      <c r="Q107" s="339"/>
      <c r="R107" s="339"/>
      <c r="S107" s="339"/>
      <c r="T107" s="335"/>
      <c r="U107" s="335"/>
      <c r="V107" s="335"/>
      <c r="W107" s="335"/>
      <c r="X107" s="335"/>
      <c r="Y107" s="335"/>
      <c r="Z107" s="335"/>
      <c r="AA107" s="335"/>
      <c r="AB107" s="339"/>
      <c r="AC107" s="337"/>
      <c r="AD107" s="338">
        <f t="shared" si="18"/>
        <v>0</v>
      </c>
    </row>
    <row r="108" spans="1:30" s="57" customFormat="1" ht="15">
      <c r="A108" s="50" t="s">
        <v>96</v>
      </c>
      <c r="B108" s="51" t="s">
        <v>97</v>
      </c>
      <c r="C108" s="454"/>
      <c r="D108" s="335"/>
      <c r="E108" s="335"/>
      <c r="F108" s="339"/>
      <c r="G108" s="339"/>
      <c r="H108" s="339"/>
      <c r="I108" s="339"/>
      <c r="J108" s="339"/>
      <c r="K108" s="339"/>
      <c r="L108" s="339"/>
      <c r="M108" s="339"/>
      <c r="N108" s="339"/>
      <c r="O108" s="339"/>
      <c r="P108" s="339"/>
      <c r="Q108" s="339"/>
      <c r="R108" s="339"/>
      <c r="S108" s="339"/>
      <c r="T108" s="335"/>
      <c r="U108" s="335"/>
      <c r="V108" s="335"/>
      <c r="W108" s="335"/>
      <c r="X108" s="335"/>
      <c r="Y108" s="335"/>
      <c r="Z108" s="335"/>
      <c r="AA108" s="335"/>
      <c r="AB108" s="339"/>
      <c r="AC108" s="337"/>
      <c r="AD108" s="338">
        <f t="shared" si="18"/>
        <v>0</v>
      </c>
    </row>
    <row r="109" spans="1:30" s="57" customFormat="1" ht="15">
      <c r="A109" s="50" t="s">
        <v>98</v>
      </c>
      <c r="B109" s="51" t="s">
        <v>99</v>
      </c>
      <c r="C109" s="454"/>
      <c r="D109" s="335"/>
      <c r="E109" s="335"/>
      <c r="F109" s="339"/>
      <c r="G109" s="339"/>
      <c r="H109" s="339">
        <f>132625/1000</f>
        <v>132.625</v>
      </c>
      <c r="I109" s="339"/>
      <c r="J109" s="339"/>
      <c r="K109" s="339"/>
      <c r="L109" s="339"/>
      <c r="M109" s="339"/>
      <c r="N109" s="339"/>
      <c r="O109" s="339"/>
      <c r="P109" s="339"/>
      <c r="Q109" s="339"/>
      <c r="R109" s="339"/>
      <c r="S109" s="339">
        <f>(2037559.22+184884.74)/1000</f>
        <v>2222.4439600000001</v>
      </c>
      <c r="T109" s="335"/>
      <c r="U109" s="335"/>
      <c r="V109" s="335"/>
      <c r="W109" s="335"/>
      <c r="X109" s="335"/>
      <c r="Y109" s="335"/>
      <c r="Z109" s="335"/>
      <c r="AA109" s="335"/>
      <c r="AB109" s="339"/>
      <c r="AC109" s="337"/>
      <c r="AD109" s="338">
        <f t="shared" si="18"/>
        <v>2355.0689600000001</v>
      </c>
    </row>
    <row r="110" spans="1:30" s="57" customFormat="1" ht="15">
      <c r="A110" s="50" t="s">
        <v>100</v>
      </c>
      <c r="B110" s="51" t="s">
        <v>101</v>
      </c>
      <c r="C110" s="454"/>
      <c r="D110" s="335"/>
      <c r="E110" s="335"/>
      <c r="F110" s="339">
        <f>-136.8/1000</f>
        <v>-0.1368</v>
      </c>
      <c r="G110" s="339">
        <f>52010.85/1000</f>
        <v>52.010849999999998</v>
      </c>
      <c r="H110" s="339"/>
      <c r="I110" s="339"/>
      <c r="J110" s="339">
        <f>6757.86/1000</f>
        <v>6.75786</v>
      </c>
      <c r="K110" s="339">
        <f>3224/1000</f>
        <v>3.2240000000000002</v>
      </c>
      <c r="L110" s="339">
        <f>1102282.34/1000</f>
        <v>1102.28234</v>
      </c>
      <c r="M110" s="339"/>
      <c r="N110" s="339">
        <f>3593208.42/1000</f>
        <v>3593.2084199999999</v>
      </c>
      <c r="O110" s="339"/>
      <c r="P110" s="339">
        <f>41187123.18/1000</f>
        <v>41187.123180000002</v>
      </c>
      <c r="Q110" s="339">
        <f>604201.12/1000</f>
        <v>604.20111999999995</v>
      </c>
      <c r="R110" s="339">
        <f>25853/1000</f>
        <v>25.853000000000002</v>
      </c>
      <c r="S110" s="339">
        <f>(6222736+46139661.6)/1000</f>
        <v>52362.397600000004</v>
      </c>
      <c r="T110" s="335"/>
      <c r="U110" s="335"/>
      <c r="V110" s="335"/>
      <c r="W110" s="335"/>
      <c r="X110" s="335"/>
      <c r="Y110" s="335"/>
      <c r="Z110" s="335"/>
      <c r="AA110" s="335"/>
      <c r="AB110" s="339"/>
      <c r="AC110" s="337"/>
      <c r="AD110" s="338">
        <f t="shared" si="18"/>
        <v>98936.921570000006</v>
      </c>
    </row>
    <row r="111" spans="1:30" s="57" customFormat="1" ht="15">
      <c r="A111" s="50" t="s">
        <v>102</v>
      </c>
      <c r="B111" s="51" t="s">
        <v>103</v>
      </c>
      <c r="C111" s="454"/>
      <c r="D111" s="335"/>
      <c r="E111" s="335"/>
      <c r="F111" s="339"/>
      <c r="G111" s="339"/>
      <c r="H111" s="339"/>
      <c r="I111" s="339"/>
      <c r="J111" s="339"/>
      <c r="K111" s="339"/>
      <c r="L111" s="339"/>
      <c r="M111" s="339"/>
      <c r="N111" s="339"/>
      <c r="O111" s="339"/>
      <c r="P111" s="339"/>
      <c r="Q111" s="339"/>
      <c r="R111" s="339"/>
      <c r="S111" s="339"/>
      <c r="T111" s="335"/>
      <c r="U111" s="335"/>
      <c r="V111" s="335"/>
      <c r="W111" s="335"/>
      <c r="X111" s="335"/>
      <c r="Y111" s="335"/>
      <c r="Z111" s="335"/>
      <c r="AA111" s="335"/>
      <c r="AB111" s="339"/>
      <c r="AC111" s="337"/>
      <c r="AD111" s="338">
        <f t="shared" si="18"/>
        <v>0</v>
      </c>
    </row>
    <row r="112" spans="1:30" s="57" customFormat="1" ht="15">
      <c r="A112" s="50" t="s">
        <v>104</v>
      </c>
      <c r="B112" s="51" t="s">
        <v>105</v>
      </c>
      <c r="C112" s="454"/>
      <c r="D112" s="335"/>
      <c r="E112" s="335"/>
      <c r="F112" s="339"/>
      <c r="G112" s="339"/>
      <c r="H112" s="339"/>
      <c r="I112" s="339"/>
      <c r="J112" s="339"/>
      <c r="K112" s="339"/>
      <c r="L112" s="339"/>
      <c r="M112" s="339"/>
      <c r="N112" s="339"/>
      <c r="O112" s="339"/>
      <c r="P112" s="339"/>
      <c r="Q112" s="339"/>
      <c r="R112" s="339"/>
      <c r="S112" s="339">
        <f>89134.85/1000</f>
        <v>89.13485</v>
      </c>
      <c r="T112" s="335"/>
      <c r="U112" s="335"/>
      <c r="V112" s="335"/>
      <c r="W112" s="335"/>
      <c r="X112" s="335"/>
      <c r="Y112" s="335"/>
      <c r="Z112" s="335"/>
      <c r="AA112" s="335"/>
      <c r="AB112" s="339"/>
      <c r="AC112" s="337"/>
      <c r="AD112" s="338">
        <f t="shared" si="18"/>
        <v>89.13485</v>
      </c>
    </row>
    <row r="113" spans="1:30" s="57" customFormat="1" ht="15">
      <c r="A113" s="50" t="s">
        <v>106</v>
      </c>
      <c r="B113" s="51" t="s">
        <v>107</v>
      </c>
      <c r="C113" s="454"/>
      <c r="D113" s="335"/>
      <c r="E113" s="335"/>
      <c r="F113" s="339"/>
      <c r="G113" s="339"/>
      <c r="H113" s="339"/>
      <c r="I113" s="339"/>
      <c r="J113" s="339"/>
      <c r="K113" s="339"/>
      <c r="L113" s="339"/>
      <c r="M113" s="339"/>
      <c r="N113" s="339"/>
      <c r="O113" s="339"/>
      <c r="P113" s="339"/>
      <c r="Q113" s="339"/>
      <c r="R113" s="339"/>
      <c r="S113" s="339"/>
      <c r="T113" s="335"/>
      <c r="U113" s="335"/>
      <c r="V113" s="335"/>
      <c r="W113" s="335"/>
      <c r="X113" s="335"/>
      <c r="Y113" s="335"/>
      <c r="Z113" s="335"/>
      <c r="AA113" s="335"/>
      <c r="AB113" s="339"/>
      <c r="AC113" s="337"/>
      <c r="AD113" s="338">
        <f t="shared" si="18"/>
        <v>0</v>
      </c>
    </row>
    <row r="114" spans="1:30" s="57" customFormat="1" ht="15">
      <c r="A114" s="50" t="s">
        <v>108</v>
      </c>
      <c r="B114" s="51" t="s">
        <v>109</v>
      </c>
      <c r="C114" s="454"/>
      <c r="D114" s="335"/>
      <c r="E114" s="335"/>
      <c r="F114" s="335"/>
      <c r="G114" s="335"/>
      <c r="H114" s="335"/>
      <c r="I114" s="335"/>
      <c r="J114" s="335"/>
      <c r="K114" s="335"/>
      <c r="L114" s="335"/>
      <c r="M114" s="335"/>
      <c r="N114" s="335"/>
      <c r="O114" s="335"/>
      <c r="P114" s="335"/>
      <c r="Q114" s="335"/>
      <c r="R114" s="335"/>
      <c r="S114" s="335"/>
      <c r="T114" s="335"/>
      <c r="U114" s="335"/>
      <c r="V114" s="335"/>
      <c r="W114" s="339"/>
      <c r="X114" s="335"/>
      <c r="Y114" s="335"/>
      <c r="Z114" s="339">
        <f>16762.52/1000</f>
        <v>16.762520000000002</v>
      </c>
      <c r="AA114" s="335"/>
      <c r="AB114" s="335"/>
      <c r="AC114" s="346"/>
      <c r="AD114" s="338">
        <f t="shared" si="18"/>
        <v>16.762520000000002</v>
      </c>
    </row>
    <row r="115" spans="1:30" s="57" customFormat="1" ht="15">
      <c r="A115" s="50" t="s">
        <v>110</v>
      </c>
      <c r="B115" s="51" t="s">
        <v>111</v>
      </c>
      <c r="C115" s="454"/>
      <c r="D115" s="335"/>
      <c r="E115" s="335"/>
      <c r="F115" s="335"/>
      <c r="G115" s="335"/>
      <c r="H115" s="335"/>
      <c r="I115" s="335"/>
      <c r="J115" s="335"/>
      <c r="K115" s="335"/>
      <c r="L115" s="335"/>
      <c r="M115" s="335"/>
      <c r="N115" s="335"/>
      <c r="O115" s="335"/>
      <c r="P115" s="335"/>
      <c r="Q115" s="335"/>
      <c r="R115" s="335"/>
      <c r="S115" s="335"/>
      <c r="T115" s="335"/>
      <c r="U115" s="335"/>
      <c r="V115" s="335"/>
      <c r="W115" s="339"/>
      <c r="X115" s="335"/>
      <c r="Y115" s="339"/>
      <c r="Z115" s="335"/>
      <c r="AA115" s="335"/>
      <c r="AB115" s="335"/>
      <c r="AC115" s="335"/>
      <c r="AD115" s="338">
        <f t="shared" si="18"/>
        <v>0</v>
      </c>
    </row>
    <row r="116" spans="1:30" s="57" customFormat="1" ht="15">
      <c r="A116" s="50" t="s">
        <v>112</v>
      </c>
      <c r="B116" s="51" t="s">
        <v>113</v>
      </c>
      <c r="C116" s="454"/>
      <c r="D116" s="335"/>
      <c r="E116" s="335"/>
      <c r="F116" s="335"/>
      <c r="G116" s="335"/>
      <c r="H116" s="335"/>
      <c r="I116" s="335"/>
      <c r="J116" s="335"/>
      <c r="K116" s="335"/>
      <c r="L116" s="335"/>
      <c r="M116" s="335"/>
      <c r="N116" s="335"/>
      <c r="O116" s="335"/>
      <c r="P116" s="335"/>
      <c r="Q116" s="335"/>
      <c r="R116" s="335"/>
      <c r="S116" s="335"/>
      <c r="T116" s="335"/>
      <c r="U116" s="335"/>
      <c r="V116" s="335"/>
      <c r="W116" s="339"/>
      <c r="X116" s="335"/>
      <c r="Y116" s="339"/>
      <c r="Z116" s="339"/>
      <c r="AA116" s="335"/>
      <c r="AB116" s="335"/>
      <c r="AC116" s="335"/>
      <c r="AD116" s="338">
        <f t="shared" si="18"/>
        <v>0</v>
      </c>
    </row>
    <row r="117" spans="1:30" s="57" customFormat="1" ht="15">
      <c r="A117" s="50" t="s">
        <v>114</v>
      </c>
      <c r="B117" s="51" t="s">
        <v>115</v>
      </c>
      <c r="C117" s="454"/>
      <c r="D117" s="335"/>
      <c r="E117" s="335"/>
      <c r="F117" s="335"/>
      <c r="G117" s="335"/>
      <c r="H117" s="335"/>
      <c r="I117" s="335"/>
      <c r="J117" s="335"/>
      <c r="K117" s="335"/>
      <c r="L117" s="335"/>
      <c r="M117" s="335"/>
      <c r="N117" s="335"/>
      <c r="O117" s="335"/>
      <c r="P117" s="335"/>
      <c r="Q117" s="335"/>
      <c r="R117" s="335"/>
      <c r="S117" s="335"/>
      <c r="T117" s="335"/>
      <c r="U117" s="335"/>
      <c r="V117" s="335"/>
      <c r="W117" s="335"/>
      <c r="X117" s="335"/>
      <c r="Y117" s="335"/>
      <c r="Z117" s="335"/>
      <c r="AA117" s="335"/>
      <c r="AB117" s="335"/>
      <c r="AC117" s="335"/>
      <c r="AD117" s="338">
        <f t="shared" si="18"/>
        <v>0</v>
      </c>
    </row>
    <row r="118" spans="1:30" s="57" customFormat="1" ht="15">
      <c r="A118" s="50" t="s">
        <v>116</v>
      </c>
      <c r="B118" s="51" t="s">
        <v>117</v>
      </c>
      <c r="C118" s="454"/>
      <c r="D118" s="335"/>
      <c r="E118" s="335"/>
      <c r="F118" s="335"/>
      <c r="G118" s="335"/>
      <c r="H118" s="335"/>
      <c r="I118" s="335"/>
      <c r="J118" s="335"/>
      <c r="K118" s="335"/>
      <c r="L118" s="335"/>
      <c r="M118" s="335"/>
      <c r="N118" s="335"/>
      <c r="O118" s="335"/>
      <c r="P118" s="335"/>
      <c r="Q118" s="335"/>
      <c r="R118" s="335"/>
      <c r="S118" s="335"/>
      <c r="T118" s="335"/>
      <c r="U118" s="335"/>
      <c r="V118" s="335"/>
      <c r="W118" s="339"/>
      <c r="X118" s="339"/>
      <c r="Y118" s="339"/>
      <c r="Z118" s="339"/>
      <c r="AA118" s="335"/>
      <c r="AB118" s="335"/>
      <c r="AC118" s="335"/>
      <c r="AD118" s="338">
        <f t="shared" si="18"/>
        <v>0</v>
      </c>
    </row>
    <row r="119" spans="1:30" s="57" customFormat="1" ht="15">
      <c r="A119" s="50" t="s">
        <v>118</v>
      </c>
      <c r="B119" s="51" t="s">
        <v>119</v>
      </c>
      <c r="C119" s="454"/>
      <c r="D119" s="335"/>
      <c r="E119" s="335"/>
      <c r="F119" s="335"/>
      <c r="G119" s="335"/>
      <c r="H119" s="335"/>
      <c r="I119" s="335"/>
      <c r="J119" s="335"/>
      <c r="K119" s="335"/>
      <c r="L119" s="335"/>
      <c r="M119" s="335"/>
      <c r="N119" s="335"/>
      <c r="O119" s="335"/>
      <c r="P119" s="335"/>
      <c r="Q119" s="335"/>
      <c r="R119" s="335"/>
      <c r="S119" s="335"/>
      <c r="T119" s="335"/>
      <c r="U119" s="335"/>
      <c r="V119" s="335"/>
      <c r="W119" s="339"/>
      <c r="X119" s="339"/>
      <c r="Y119" s="339"/>
      <c r="Z119" s="335"/>
      <c r="AA119" s="335"/>
      <c r="AB119" s="335"/>
      <c r="AC119" s="335"/>
      <c r="AD119" s="338">
        <f t="shared" si="18"/>
        <v>0</v>
      </c>
    </row>
    <row r="120" spans="1:30" s="57" customFormat="1" ht="15">
      <c r="A120" s="50" t="s">
        <v>120</v>
      </c>
      <c r="B120" s="51" t="s">
        <v>121</v>
      </c>
      <c r="C120" s="454"/>
      <c r="D120" s="335"/>
      <c r="E120" s="335"/>
      <c r="F120" s="335"/>
      <c r="G120" s="335"/>
      <c r="H120" s="335"/>
      <c r="I120" s="335"/>
      <c r="J120" s="335"/>
      <c r="K120" s="335"/>
      <c r="L120" s="335"/>
      <c r="M120" s="335"/>
      <c r="N120" s="335"/>
      <c r="O120" s="335"/>
      <c r="P120" s="335"/>
      <c r="Q120" s="335"/>
      <c r="R120" s="335"/>
      <c r="S120" s="335"/>
      <c r="T120" s="335"/>
      <c r="U120" s="335"/>
      <c r="V120" s="335"/>
      <c r="W120" s="339"/>
      <c r="X120" s="335"/>
      <c r="Y120" s="339">
        <f>1653269.71/1000</f>
        <v>1653.26971</v>
      </c>
      <c r="Z120" s="335"/>
      <c r="AA120" s="335"/>
      <c r="AB120" s="335"/>
      <c r="AC120" s="335"/>
      <c r="AD120" s="338">
        <f t="shared" si="18"/>
        <v>1653.26971</v>
      </c>
    </row>
    <row r="121" spans="1:30" s="57" customFormat="1" ht="15">
      <c r="A121" s="50" t="s">
        <v>122</v>
      </c>
      <c r="B121" s="51" t="s">
        <v>123</v>
      </c>
      <c r="C121" s="454"/>
      <c r="D121" s="335"/>
      <c r="E121" s="335"/>
      <c r="F121" s="335"/>
      <c r="G121" s="335"/>
      <c r="H121" s="335"/>
      <c r="I121" s="335"/>
      <c r="J121" s="335"/>
      <c r="K121" s="335"/>
      <c r="L121" s="335"/>
      <c r="M121" s="335"/>
      <c r="N121" s="335"/>
      <c r="O121" s="335"/>
      <c r="P121" s="335"/>
      <c r="Q121" s="335"/>
      <c r="R121" s="335"/>
      <c r="S121" s="335"/>
      <c r="T121" s="335"/>
      <c r="U121" s="335"/>
      <c r="V121" s="339">
        <f>44852920.91/1000</f>
        <v>44852.920909999993</v>
      </c>
      <c r="W121" s="339"/>
      <c r="X121" s="335"/>
      <c r="Y121" s="335"/>
      <c r="Z121" s="335"/>
      <c r="AA121" s="335"/>
      <c r="AB121" s="335"/>
      <c r="AC121" s="344"/>
      <c r="AD121" s="338">
        <f t="shared" si="18"/>
        <v>44852.920909999993</v>
      </c>
    </row>
    <row r="122" spans="1:30" s="57" customFormat="1" ht="15">
      <c r="A122" s="50" t="s">
        <v>124</v>
      </c>
      <c r="B122" s="51" t="s">
        <v>125</v>
      </c>
      <c r="C122" s="454"/>
      <c r="D122" s="335"/>
      <c r="E122" s="335"/>
      <c r="F122" s="340"/>
      <c r="G122" s="340"/>
      <c r="H122" s="340"/>
      <c r="I122" s="340"/>
      <c r="J122" s="340"/>
      <c r="K122" s="340"/>
      <c r="L122" s="340"/>
      <c r="M122" s="340"/>
      <c r="N122" s="340"/>
      <c r="O122" s="340"/>
      <c r="P122" s="340"/>
      <c r="Q122" s="340"/>
      <c r="R122" s="340"/>
      <c r="S122" s="340">
        <f>13435.55/1000</f>
        <v>13.435549999999999</v>
      </c>
      <c r="T122" s="335"/>
      <c r="U122" s="335"/>
      <c r="V122" s="335"/>
      <c r="W122" s="335"/>
      <c r="X122" s="335"/>
      <c r="Y122" s="335"/>
      <c r="Z122" s="335"/>
      <c r="AA122" s="335"/>
      <c r="AB122" s="340"/>
      <c r="AC122" s="337"/>
      <c r="AD122" s="338">
        <f t="shared" si="18"/>
        <v>13.435549999999999</v>
      </c>
    </row>
    <row r="123" spans="1:30" s="46" customFormat="1" ht="15.75">
      <c r="A123" s="521" t="s">
        <v>126</v>
      </c>
      <c r="B123" s="522"/>
      <c r="C123" s="454">
        <f>SUM(C105:C122)</f>
        <v>0</v>
      </c>
      <c r="D123" s="335">
        <f t="shared" ref="D123:AC123" si="19">SUM(D105:D122)</f>
        <v>0</v>
      </c>
      <c r="E123" s="336">
        <f t="shared" si="19"/>
        <v>0</v>
      </c>
      <c r="F123" s="339">
        <f t="shared" si="19"/>
        <v>-0.1368</v>
      </c>
      <c r="G123" s="339">
        <f t="shared" si="19"/>
        <v>52.010849999999998</v>
      </c>
      <c r="H123" s="339">
        <f t="shared" si="19"/>
        <v>132.625</v>
      </c>
      <c r="I123" s="339">
        <f t="shared" si="19"/>
        <v>0</v>
      </c>
      <c r="J123" s="339">
        <f t="shared" si="19"/>
        <v>6.75786</v>
      </c>
      <c r="K123" s="339">
        <f t="shared" si="19"/>
        <v>3.2240000000000002</v>
      </c>
      <c r="L123" s="339">
        <f t="shared" si="19"/>
        <v>1102.28234</v>
      </c>
      <c r="M123" s="339">
        <f t="shared" si="19"/>
        <v>0</v>
      </c>
      <c r="N123" s="339">
        <f t="shared" si="19"/>
        <v>3593.2084199999999</v>
      </c>
      <c r="O123" s="339">
        <f t="shared" si="19"/>
        <v>0</v>
      </c>
      <c r="P123" s="339">
        <f t="shared" si="19"/>
        <v>41187.123180000002</v>
      </c>
      <c r="Q123" s="339">
        <f t="shared" si="19"/>
        <v>604.20111999999995</v>
      </c>
      <c r="R123" s="339">
        <f t="shared" si="19"/>
        <v>25.853000000000002</v>
      </c>
      <c r="S123" s="339">
        <f t="shared" si="19"/>
        <v>54687.411960000005</v>
      </c>
      <c r="T123" s="335">
        <f t="shared" si="19"/>
        <v>0</v>
      </c>
      <c r="U123" s="336">
        <f t="shared" si="19"/>
        <v>0</v>
      </c>
      <c r="V123" s="339">
        <f t="shared" si="19"/>
        <v>44852.920909999993</v>
      </c>
      <c r="W123" s="339">
        <f t="shared" si="19"/>
        <v>0</v>
      </c>
      <c r="X123" s="339">
        <f t="shared" si="19"/>
        <v>0</v>
      </c>
      <c r="Y123" s="339">
        <f t="shared" si="19"/>
        <v>1653.26971</v>
      </c>
      <c r="Z123" s="339">
        <f t="shared" si="19"/>
        <v>16.762520000000002</v>
      </c>
      <c r="AA123" s="336">
        <f t="shared" si="19"/>
        <v>0</v>
      </c>
      <c r="AB123" s="339">
        <f t="shared" si="19"/>
        <v>0</v>
      </c>
      <c r="AC123" s="337">
        <f t="shared" si="19"/>
        <v>0</v>
      </c>
      <c r="AD123" s="338">
        <f t="shared" si="18"/>
        <v>147917.51406999998</v>
      </c>
    </row>
    <row r="124" spans="1:30" s="46" customFormat="1" ht="15">
      <c r="A124" s="47"/>
      <c r="B124" s="48"/>
      <c r="C124" s="344"/>
      <c r="D124" s="344"/>
      <c r="E124" s="344"/>
      <c r="F124" s="343"/>
      <c r="G124" s="343"/>
      <c r="H124" s="343"/>
      <c r="I124" s="343"/>
      <c r="J124" s="343"/>
      <c r="K124" s="343"/>
      <c r="L124" s="343"/>
      <c r="M124" s="343"/>
      <c r="N124" s="343"/>
      <c r="O124" s="343"/>
      <c r="P124" s="343"/>
      <c r="Q124" s="343"/>
      <c r="R124" s="343"/>
      <c r="S124" s="343"/>
      <c r="T124" s="344"/>
      <c r="U124" s="344"/>
      <c r="V124" s="343"/>
      <c r="W124" s="343"/>
      <c r="X124" s="343"/>
      <c r="Y124" s="343"/>
      <c r="Z124" s="343"/>
      <c r="AA124" s="344"/>
      <c r="AB124" s="343"/>
      <c r="AC124" s="343"/>
      <c r="AD124" s="345"/>
    </row>
    <row r="125" spans="1:30" s="46" customFormat="1" ht="15">
      <c r="A125" s="519" t="s">
        <v>127</v>
      </c>
      <c r="B125" s="520"/>
      <c r="C125" s="346"/>
      <c r="D125" s="346"/>
      <c r="E125" s="346"/>
      <c r="F125" s="346"/>
      <c r="G125" s="346"/>
      <c r="H125" s="346"/>
      <c r="I125" s="346"/>
      <c r="J125" s="346"/>
      <c r="K125" s="346"/>
      <c r="L125" s="346"/>
      <c r="M125" s="346"/>
      <c r="N125" s="346"/>
      <c r="O125" s="346"/>
      <c r="P125" s="346"/>
      <c r="Q125" s="346"/>
      <c r="R125" s="346"/>
      <c r="S125" s="346"/>
      <c r="T125" s="346"/>
      <c r="U125" s="346"/>
      <c r="V125" s="346"/>
      <c r="W125" s="346"/>
      <c r="X125" s="346"/>
      <c r="Y125" s="346"/>
      <c r="Z125" s="346"/>
      <c r="AA125" s="346"/>
      <c r="AB125" s="346"/>
      <c r="AC125" s="346"/>
      <c r="AD125" s="345"/>
    </row>
    <row r="126" spans="1:30" s="57" customFormat="1" ht="15">
      <c r="A126" s="50" t="s">
        <v>128</v>
      </c>
      <c r="B126" s="51" t="s">
        <v>129</v>
      </c>
      <c r="C126" s="454"/>
      <c r="D126" s="335"/>
      <c r="E126" s="335"/>
      <c r="F126" s="335"/>
      <c r="G126" s="335"/>
      <c r="H126" s="335"/>
      <c r="I126" s="335"/>
      <c r="J126" s="335"/>
      <c r="K126" s="335"/>
      <c r="L126" s="335"/>
      <c r="M126" s="335"/>
      <c r="N126" s="335"/>
      <c r="O126" s="335"/>
      <c r="P126" s="335"/>
      <c r="Q126" s="335"/>
      <c r="R126" s="335"/>
      <c r="S126" s="335"/>
      <c r="T126" s="335"/>
      <c r="U126" s="335"/>
      <c r="V126" s="335"/>
      <c r="W126" s="335"/>
      <c r="X126" s="335"/>
      <c r="Y126" s="335"/>
      <c r="Z126" s="335"/>
      <c r="AA126" s="335"/>
      <c r="AB126" s="335"/>
      <c r="AC126" s="344"/>
      <c r="AD126" s="338">
        <f t="shared" ref="AD126:AD138" si="20">SUM(C126:AC126)</f>
        <v>0</v>
      </c>
    </row>
    <row r="127" spans="1:30" s="57" customFormat="1" ht="15">
      <c r="A127" s="50" t="s">
        <v>130</v>
      </c>
      <c r="B127" s="51" t="s">
        <v>131</v>
      </c>
      <c r="C127" s="454"/>
      <c r="D127" s="335"/>
      <c r="E127" s="335"/>
      <c r="F127" s="339"/>
      <c r="G127" s="339"/>
      <c r="H127" s="339"/>
      <c r="I127" s="339"/>
      <c r="J127" s="339"/>
      <c r="K127" s="339"/>
      <c r="L127" s="339"/>
      <c r="M127" s="339"/>
      <c r="N127" s="339"/>
      <c r="O127" s="339"/>
      <c r="P127" s="339"/>
      <c r="Q127" s="339"/>
      <c r="R127" s="339"/>
      <c r="S127" s="339"/>
      <c r="T127" s="335"/>
      <c r="U127" s="335"/>
      <c r="V127" s="335"/>
      <c r="W127" s="335"/>
      <c r="X127" s="335"/>
      <c r="Y127" s="335"/>
      <c r="Z127" s="335"/>
      <c r="AA127" s="335"/>
      <c r="AB127" s="339"/>
      <c r="AC127" s="337"/>
      <c r="AD127" s="338">
        <f t="shared" si="20"/>
        <v>0</v>
      </c>
    </row>
    <row r="128" spans="1:30" s="57" customFormat="1" ht="15">
      <c r="A128" s="50" t="s">
        <v>132</v>
      </c>
      <c r="B128" s="51" t="s">
        <v>133</v>
      </c>
      <c r="C128" s="454"/>
      <c r="D128" s="335"/>
      <c r="E128" s="335"/>
      <c r="F128" s="339"/>
      <c r="G128" s="339"/>
      <c r="H128" s="339"/>
      <c r="I128" s="339"/>
      <c r="J128" s="339"/>
      <c r="K128" s="339"/>
      <c r="L128" s="339"/>
      <c r="M128" s="339"/>
      <c r="N128" s="339"/>
      <c r="O128" s="339"/>
      <c r="P128" s="339"/>
      <c r="Q128" s="339"/>
      <c r="R128" s="339"/>
      <c r="S128" s="339">
        <f>11550000/1000</f>
        <v>11550</v>
      </c>
      <c r="T128" s="335"/>
      <c r="U128" s="335"/>
      <c r="V128" s="335"/>
      <c r="W128" s="335"/>
      <c r="X128" s="335"/>
      <c r="Y128" s="335"/>
      <c r="Z128" s="335"/>
      <c r="AA128" s="335"/>
      <c r="AB128" s="339"/>
      <c r="AC128" s="337"/>
      <c r="AD128" s="338">
        <f t="shared" si="20"/>
        <v>11550</v>
      </c>
    </row>
    <row r="129" spans="1:30" s="57" customFormat="1" ht="15">
      <c r="A129" s="50" t="s">
        <v>134</v>
      </c>
      <c r="B129" s="51" t="s">
        <v>135</v>
      </c>
      <c r="C129" s="454"/>
      <c r="D129" s="335"/>
      <c r="E129" s="335"/>
      <c r="F129" s="339"/>
      <c r="G129" s="339"/>
      <c r="H129" s="339"/>
      <c r="I129" s="339"/>
      <c r="J129" s="339"/>
      <c r="K129" s="339"/>
      <c r="L129" s="339"/>
      <c r="M129" s="339"/>
      <c r="N129" s="339"/>
      <c r="O129" s="339"/>
      <c r="P129" s="339"/>
      <c r="Q129" s="339"/>
      <c r="R129" s="339"/>
      <c r="S129" s="339"/>
      <c r="T129" s="335"/>
      <c r="U129" s="335"/>
      <c r="V129" s="335"/>
      <c r="W129" s="335"/>
      <c r="X129" s="335"/>
      <c r="Y129" s="335"/>
      <c r="Z129" s="335"/>
      <c r="AA129" s="335"/>
      <c r="AB129" s="339"/>
      <c r="AC129" s="337"/>
      <c r="AD129" s="338">
        <f t="shared" si="20"/>
        <v>0</v>
      </c>
    </row>
    <row r="130" spans="1:30" s="57" customFormat="1" ht="15">
      <c r="A130" s="50" t="s">
        <v>136</v>
      </c>
      <c r="B130" s="51" t="s">
        <v>137</v>
      </c>
      <c r="C130" s="454"/>
      <c r="D130" s="335"/>
      <c r="E130" s="335"/>
      <c r="F130" s="339"/>
      <c r="G130" s="339"/>
      <c r="H130" s="339"/>
      <c r="I130" s="339"/>
      <c r="J130" s="339"/>
      <c r="K130" s="339"/>
      <c r="L130" s="339"/>
      <c r="M130" s="339"/>
      <c r="N130" s="339"/>
      <c r="O130" s="339"/>
      <c r="P130" s="339"/>
      <c r="Q130" s="339"/>
      <c r="R130" s="339"/>
      <c r="S130" s="339"/>
      <c r="T130" s="335"/>
      <c r="U130" s="335"/>
      <c r="V130" s="335"/>
      <c r="W130" s="335"/>
      <c r="X130" s="335"/>
      <c r="Y130" s="335"/>
      <c r="Z130" s="335"/>
      <c r="AA130" s="335"/>
      <c r="AB130" s="339"/>
      <c r="AC130" s="337"/>
      <c r="AD130" s="338">
        <f t="shared" si="20"/>
        <v>0</v>
      </c>
    </row>
    <row r="131" spans="1:30" s="57" customFormat="1" ht="15">
      <c r="A131" s="50" t="s">
        <v>138</v>
      </c>
      <c r="B131" s="51" t="s">
        <v>139</v>
      </c>
      <c r="C131" s="454"/>
      <c r="D131" s="335"/>
      <c r="E131" s="335"/>
      <c r="F131" s="335"/>
      <c r="G131" s="335"/>
      <c r="H131" s="335"/>
      <c r="I131" s="335"/>
      <c r="J131" s="335"/>
      <c r="K131" s="335"/>
      <c r="L131" s="335"/>
      <c r="M131" s="335"/>
      <c r="N131" s="335"/>
      <c r="O131" s="335"/>
      <c r="P131" s="335"/>
      <c r="Q131" s="335"/>
      <c r="R131" s="335"/>
      <c r="S131" s="335"/>
      <c r="T131" s="335"/>
      <c r="U131" s="335"/>
      <c r="V131" s="335"/>
      <c r="W131" s="339"/>
      <c r="X131" s="335"/>
      <c r="Y131" s="335"/>
      <c r="Z131" s="335"/>
      <c r="AA131" s="339">
        <f>38515307.55/1000</f>
        <v>38515.307549999998</v>
      </c>
      <c r="AB131" s="335"/>
      <c r="AC131" s="346"/>
      <c r="AD131" s="338">
        <f t="shared" si="20"/>
        <v>38515.307549999998</v>
      </c>
    </row>
    <row r="132" spans="1:30" s="46" customFormat="1">
      <c r="A132" s="50" t="s">
        <v>140</v>
      </c>
      <c r="B132" s="51" t="s">
        <v>141</v>
      </c>
      <c r="C132" s="454"/>
      <c r="D132" s="335"/>
      <c r="E132" s="335"/>
      <c r="F132" s="335"/>
      <c r="G132" s="335"/>
      <c r="H132" s="335"/>
      <c r="I132" s="335"/>
      <c r="J132" s="335"/>
      <c r="K132" s="335"/>
      <c r="L132" s="335"/>
      <c r="M132" s="335"/>
      <c r="N132" s="335"/>
      <c r="O132" s="335"/>
      <c r="P132" s="335"/>
      <c r="Q132" s="335"/>
      <c r="R132" s="335"/>
      <c r="S132" s="335"/>
      <c r="T132" s="339">
        <f>(40000000+16013491.25)/1000</f>
        <v>56013.491249999999</v>
      </c>
      <c r="U132" s="335"/>
      <c r="V132" s="335"/>
      <c r="W132" s="339"/>
      <c r="X132" s="339"/>
      <c r="Y132" s="335"/>
      <c r="Z132" s="335"/>
      <c r="AA132" s="335"/>
      <c r="AB132" s="335"/>
      <c r="AC132" s="335"/>
      <c r="AD132" s="338">
        <f t="shared" si="20"/>
        <v>56013.491249999999</v>
      </c>
    </row>
    <row r="133" spans="1:30" s="46" customFormat="1">
      <c r="A133" s="50" t="s">
        <v>142</v>
      </c>
      <c r="B133" s="51" t="s">
        <v>143</v>
      </c>
      <c r="C133" s="454"/>
      <c r="D133" s="335"/>
      <c r="E133" s="335"/>
      <c r="F133" s="335"/>
      <c r="G133" s="335"/>
      <c r="H133" s="335"/>
      <c r="I133" s="335"/>
      <c r="J133" s="335"/>
      <c r="K133" s="335"/>
      <c r="L133" s="335"/>
      <c r="M133" s="335"/>
      <c r="N133" s="335"/>
      <c r="O133" s="335"/>
      <c r="P133" s="335"/>
      <c r="Q133" s="335"/>
      <c r="R133" s="335"/>
      <c r="S133" s="335"/>
      <c r="T133" s="339">
        <f>216211807.48/1000</f>
        <v>216211.80747999999</v>
      </c>
      <c r="U133" s="335"/>
      <c r="V133" s="335"/>
      <c r="W133" s="339"/>
      <c r="X133" s="339"/>
      <c r="Y133" s="335"/>
      <c r="Z133" s="335"/>
      <c r="AA133" s="335"/>
      <c r="AB133" s="335"/>
      <c r="AC133" s="335"/>
      <c r="AD133" s="338">
        <f t="shared" si="20"/>
        <v>216211.80747999999</v>
      </c>
    </row>
    <row r="134" spans="1:30" s="46" customFormat="1">
      <c r="A134" s="50" t="s">
        <v>144</v>
      </c>
      <c r="B134" s="51" t="s">
        <v>145</v>
      </c>
      <c r="C134" s="454"/>
      <c r="D134" s="335"/>
      <c r="E134" s="335"/>
      <c r="F134" s="335"/>
      <c r="G134" s="335"/>
      <c r="H134" s="335"/>
      <c r="I134" s="335"/>
      <c r="J134" s="335"/>
      <c r="K134" s="335"/>
      <c r="L134" s="335"/>
      <c r="M134" s="335"/>
      <c r="N134" s="335"/>
      <c r="O134" s="335"/>
      <c r="P134" s="335"/>
      <c r="Q134" s="335"/>
      <c r="R134" s="335"/>
      <c r="S134" s="335"/>
      <c r="T134" s="335"/>
      <c r="U134" s="335"/>
      <c r="V134" s="335"/>
      <c r="W134" s="339"/>
      <c r="X134" s="335"/>
      <c r="Y134" s="335"/>
      <c r="Z134" s="335"/>
      <c r="AA134" s="339">
        <f>465979.42/1000</f>
        <v>465.97942</v>
      </c>
      <c r="AB134" s="335"/>
      <c r="AC134" s="335"/>
      <c r="AD134" s="338">
        <f t="shared" si="20"/>
        <v>465.97942</v>
      </c>
    </row>
    <row r="135" spans="1:30" s="46" customFormat="1">
      <c r="A135" s="50" t="s">
        <v>146</v>
      </c>
      <c r="B135" s="51" t="s">
        <v>147</v>
      </c>
      <c r="C135" s="454"/>
      <c r="D135" s="335"/>
      <c r="E135" s="335"/>
      <c r="F135" s="335"/>
      <c r="G135" s="335"/>
      <c r="H135" s="335"/>
      <c r="I135" s="335"/>
      <c r="J135" s="335"/>
      <c r="K135" s="335"/>
      <c r="L135" s="335"/>
      <c r="M135" s="335"/>
      <c r="N135" s="335"/>
      <c r="O135" s="335"/>
      <c r="P135" s="335"/>
      <c r="Q135" s="335"/>
      <c r="R135" s="335"/>
      <c r="S135" s="335"/>
      <c r="T135" s="335"/>
      <c r="U135" s="339"/>
      <c r="V135" s="335"/>
      <c r="W135" s="339"/>
      <c r="X135" s="335"/>
      <c r="Y135" s="335"/>
      <c r="Z135" s="335"/>
      <c r="AA135" s="335"/>
      <c r="AB135" s="335"/>
      <c r="AC135" s="335"/>
      <c r="AD135" s="338">
        <f t="shared" si="20"/>
        <v>0</v>
      </c>
    </row>
    <row r="136" spans="1:30" s="46" customFormat="1">
      <c r="A136" s="50" t="s">
        <v>148</v>
      </c>
      <c r="B136" s="140" t="s">
        <v>533</v>
      </c>
      <c r="C136" s="454"/>
      <c r="D136" s="335"/>
      <c r="E136" s="335"/>
      <c r="F136" s="335"/>
      <c r="G136" s="335"/>
      <c r="H136" s="335"/>
      <c r="I136" s="335"/>
      <c r="J136" s="335"/>
      <c r="K136" s="335"/>
      <c r="L136" s="335"/>
      <c r="M136" s="335"/>
      <c r="N136" s="335"/>
      <c r="O136" s="335"/>
      <c r="P136" s="335"/>
      <c r="Q136" s="335"/>
      <c r="R136" s="335"/>
      <c r="S136" s="335"/>
      <c r="T136" s="339">
        <f>45965098.41/1000</f>
        <v>45965.098409999999</v>
      </c>
      <c r="U136" s="335"/>
      <c r="V136" s="335"/>
      <c r="W136" s="339"/>
      <c r="X136" s="335"/>
      <c r="Y136" s="335"/>
      <c r="Z136" s="335"/>
      <c r="AA136" s="335"/>
      <c r="AB136" s="335"/>
      <c r="AC136" s="335"/>
      <c r="AD136" s="338">
        <f t="shared" si="20"/>
        <v>45965.098409999999</v>
      </c>
    </row>
    <row r="137" spans="1:30" s="46" customFormat="1">
      <c r="A137" s="50" t="s">
        <v>149</v>
      </c>
      <c r="B137" s="54" t="s">
        <v>150</v>
      </c>
      <c r="C137" s="454"/>
      <c r="D137" s="335"/>
      <c r="E137" s="335"/>
      <c r="F137" s="335"/>
      <c r="G137" s="335"/>
      <c r="H137" s="335"/>
      <c r="I137" s="335"/>
      <c r="J137" s="335"/>
      <c r="K137" s="335"/>
      <c r="L137" s="335"/>
      <c r="M137" s="335"/>
      <c r="N137" s="335"/>
      <c r="O137" s="335"/>
      <c r="P137" s="335"/>
      <c r="Q137" s="335"/>
      <c r="R137" s="335"/>
      <c r="S137" s="335"/>
      <c r="T137" s="335"/>
      <c r="U137" s="335"/>
      <c r="V137" s="335"/>
      <c r="W137" s="340"/>
      <c r="X137" s="335"/>
      <c r="Y137" s="335"/>
      <c r="Z137" s="335"/>
      <c r="AA137" s="340"/>
      <c r="AB137" s="335"/>
      <c r="AC137" s="335"/>
      <c r="AD137" s="338">
        <f t="shared" si="20"/>
        <v>0</v>
      </c>
    </row>
    <row r="138" spans="1:30" s="46" customFormat="1" ht="15.75">
      <c r="A138" s="52" t="s">
        <v>151</v>
      </c>
      <c r="B138" s="53"/>
      <c r="C138" s="454">
        <f>SUM(C125:C137)</f>
        <v>0</v>
      </c>
      <c r="D138" s="335">
        <f t="shared" ref="D138:AC138" si="21">SUM(D125:D137)</f>
        <v>0</v>
      </c>
      <c r="E138" s="335">
        <f t="shared" si="21"/>
        <v>0</v>
      </c>
      <c r="F138" s="339">
        <f t="shared" si="21"/>
        <v>0</v>
      </c>
      <c r="G138" s="339">
        <f t="shared" si="21"/>
        <v>0</v>
      </c>
      <c r="H138" s="339">
        <f t="shared" si="21"/>
        <v>0</v>
      </c>
      <c r="I138" s="339">
        <f t="shared" si="21"/>
        <v>0</v>
      </c>
      <c r="J138" s="339">
        <f t="shared" si="21"/>
        <v>0</v>
      </c>
      <c r="K138" s="339">
        <f t="shared" si="21"/>
        <v>0</v>
      </c>
      <c r="L138" s="339">
        <f t="shared" si="21"/>
        <v>0</v>
      </c>
      <c r="M138" s="339">
        <f t="shared" si="21"/>
        <v>0</v>
      </c>
      <c r="N138" s="339">
        <f t="shared" si="21"/>
        <v>0</v>
      </c>
      <c r="O138" s="339">
        <f t="shared" si="21"/>
        <v>0</v>
      </c>
      <c r="P138" s="339">
        <f t="shared" si="21"/>
        <v>0</v>
      </c>
      <c r="Q138" s="339">
        <f t="shared" si="21"/>
        <v>0</v>
      </c>
      <c r="R138" s="339">
        <f t="shared" si="21"/>
        <v>0</v>
      </c>
      <c r="S138" s="339">
        <f t="shared" si="21"/>
        <v>11550</v>
      </c>
      <c r="T138" s="339">
        <f t="shared" si="21"/>
        <v>318190.39713999996</v>
      </c>
      <c r="U138" s="339">
        <f t="shared" si="21"/>
        <v>0</v>
      </c>
      <c r="V138" s="335">
        <f t="shared" si="21"/>
        <v>0</v>
      </c>
      <c r="W138" s="339">
        <f t="shared" si="21"/>
        <v>0</v>
      </c>
      <c r="X138" s="339">
        <f t="shared" si="21"/>
        <v>0</v>
      </c>
      <c r="Y138" s="335">
        <f t="shared" si="21"/>
        <v>0</v>
      </c>
      <c r="Z138" s="335">
        <f t="shared" si="21"/>
        <v>0</v>
      </c>
      <c r="AA138" s="339">
        <f t="shared" si="21"/>
        <v>38981.286970000001</v>
      </c>
      <c r="AB138" s="339">
        <f t="shared" si="21"/>
        <v>0</v>
      </c>
      <c r="AC138" s="337">
        <f t="shared" si="21"/>
        <v>0</v>
      </c>
      <c r="AD138" s="338">
        <f t="shared" si="20"/>
        <v>368721.68410999997</v>
      </c>
    </row>
    <row r="139" spans="1:30" s="46" customFormat="1" ht="15">
      <c r="A139" s="47"/>
      <c r="B139" s="48"/>
      <c r="C139" s="344"/>
      <c r="D139" s="344"/>
      <c r="E139" s="344"/>
      <c r="F139" s="343"/>
      <c r="G139" s="343"/>
      <c r="H139" s="343"/>
      <c r="I139" s="343"/>
      <c r="J139" s="343"/>
      <c r="K139" s="343"/>
      <c r="L139" s="343"/>
      <c r="M139" s="343"/>
      <c r="N139" s="343"/>
      <c r="O139" s="343"/>
      <c r="P139" s="343"/>
      <c r="Q139" s="343"/>
      <c r="R139" s="343"/>
      <c r="S139" s="343"/>
      <c r="T139" s="343"/>
      <c r="U139" s="343"/>
      <c r="V139" s="344"/>
      <c r="W139" s="343"/>
      <c r="X139" s="343"/>
      <c r="Y139" s="344"/>
      <c r="Z139" s="344"/>
      <c r="AA139" s="343"/>
      <c r="AB139" s="343"/>
      <c r="AC139" s="344"/>
      <c r="AD139" s="345"/>
    </row>
    <row r="140" spans="1:30" s="46" customFormat="1" ht="15">
      <c r="A140" s="523" t="s">
        <v>152</v>
      </c>
      <c r="B140" s="524"/>
      <c r="C140" s="346"/>
      <c r="D140" s="346"/>
      <c r="E140" s="346"/>
      <c r="F140" s="343"/>
      <c r="G140" s="343"/>
      <c r="H140" s="343"/>
      <c r="I140" s="343"/>
      <c r="J140" s="343"/>
      <c r="K140" s="343"/>
      <c r="L140" s="343"/>
      <c r="M140" s="343"/>
      <c r="N140" s="343"/>
      <c r="O140" s="343"/>
      <c r="P140" s="343"/>
      <c r="Q140" s="343"/>
      <c r="R140" s="343"/>
      <c r="S140" s="343"/>
      <c r="T140" s="346"/>
      <c r="U140" s="346"/>
      <c r="V140" s="346"/>
      <c r="W140" s="346"/>
      <c r="X140" s="346"/>
      <c r="Y140" s="346"/>
      <c r="Z140" s="346"/>
      <c r="AA140" s="346"/>
      <c r="AB140" s="343"/>
      <c r="AC140" s="343"/>
      <c r="AD140" s="358"/>
    </row>
    <row r="141" spans="1:30" s="46" customFormat="1">
      <c r="A141" s="50" t="s">
        <v>153</v>
      </c>
      <c r="B141" s="135" t="s">
        <v>154</v>
      </c>
      <c r="C141" s="454"/>
      <c r="D141" s="335"/>
      <c r="E141" s="335"/>
      <c r="F141" s="334"/>
      <c r="G141" s="334"/>
      <c r="H141" s="334"/>
      <c r="I141" s="334"/>
      <c r="J141" s="334"/>
      <c r="K141" s="334"/>
      <c r="L141" s="334"/>
      <c r="M141" s="334"/>
      <c r="N141" s="334"/>
      <c r="O141" s="334"/>
      <c r="P141" s="334"/>
      <c r="Q141" s="334"/>
      <c r="R141" s="334"/>
      <c r="S141" s="334">
        <f>20451186/1000</f>
        <v>20451.186000000002</v>
      </c>
      <c r="T141" s="335"/>
      <c r="U141" s="335"/>
      <c r="V141" s="335"/>
      <c r="W141" s="335"/>
      <c r="X141" s="335"/>
      <c r="Y141" s="335"/>
      <c r="Z141" s="335"/>
      <c r="AA141" s="335"/>
      <c r="AB141" s="334"/>
      <c r="AC141" s="361"/>
      <c r="AD141" s="338">
        <f t="shared" ref="AD141:AD154" si="22">SUM(C141:AC141)</f>
        <v>20451.186000000002</v>
      </c>
    </row>
    <row r="142" spans="1:30" s="46" customFormat="1">
      <c r="A142" s="50" t="s">
        <v>155</v>
      </c>
      <c r="B142" s="135" t="s">
        <v>156</v>
      </c>
      <c r="C142" s="454"/>
      <c r="D142" s="335"/>
      <c r="E142" s="335"/>
      <c r="F142" s="339"/>
      <c r="G142" s="339"/>
      <c r="H142" s="339"/>
      <c r="I142" s="339"/>
      <c r="J142" s="339"/>
      <c r="K142" s="339"/>
      <c r="L142" s="339"/>
      <c r="M142" s="339"/>
      <c r="N142" s="339"/>
      <c r="O142" s="339"/>
      <c r="P142" s="339"/>
      <c r="Q142" s="339"/>
      <c r="R142" s="339"/>
      <c r="S142" s="339">
        <f>100562290.59/1000</f>
        <v>100562.29059</v>
      </c>
      <c r="T142" s="335"/>
      <c r="U142" s="335"/>
      <c r="V142" s="335"/>
      <c r="W142" s="335"/>
      <c r="X142" s="335"/>
      <c r="Y142" s="335"/>
      <c r="Z142" s="335"/>
      <c r="AA142" s="335"/>
      <c r="AB142" s="339"/>
      <c r="AC142" s="337"/>
      <c r="AD142" s="338">
        <f t="shared" si="22"/>
        <v>100562.29059</v>
      </c>
    </row>
    <row r="143" spans="1:30" s="46" customFormat="1">
      <c r="A143" s="50" t="s">
        <v>157</v>
      </c>
      <c r="B143" s="135" t="s">
        <v>158</v>
      </c>
      <c r="C143" s="454"/>
      <c r="D143" s="335"/>
      <c r="E143" s="335"/>
      <c r="F143" s="339"/>
      <c r="G143" s="339"/>
      <c r="H143" s="339"/>
      <c r="I143" s="339"/>
      <c r="J143" s="339"/>
      <c r="K143" s="339"/>
      <c r="L143" s="339"/>
      <c r="M143" s="339"/>
      <c r="N143" s="339"/>
      <c r="O143" s="339"/>
      <c r="P143" s="339"/>
      <c r="Q143" s="339"/>
      <c r="R143" s="339"/>
      <c r="S143" s="339"/>
      <c r="T143" s="335"/>
      <c r="U143" s="335"/>
      <c r="V143" s="335"/>
      <c r="W143" s="335"/>
      <c r="X143" s="335"/>
      <c r="Y143" s="335"/>
      <c r="Z143" s="335"/>
      <c r="AA143" s="335"/>
      <c r="AB143" s="339"/>
      <c r="AC143" s="337"/>
      <c r="AD143" s="338">
        <f t="shared" si="22"/>
        <v>0</v>
      </c>
    </row>
    <row r="144" spans="1:30" s="46" customFormat="1">
      <c r="A144" s="50" t="s">
        <v>159</v>
      </c>
      <c r="B144" s="135" t="s">
        <v>160</v>
      </c>
      <c r="C144" s="454"/>
      <c r="D144" s="335"/>
      <c r="E144" s="335"/>
      <c r="F144" s="339"/>
      <c r="G144" s="339"/>
      <c r="H144" s="339"/>
      <c r="I144" s="339"/>
      <c r="J144" s="339"/>
      <c r="K144" s="339"/>
      <c r="L144" s="339"/>
      <c r="M144" s="339"/>
      <c r="N144" s="339"/>
      <c r="O144" s="339"/>
      <c r="P144" s="339"/>
      <c r="Q144" s="339"/>
      <c r="R144" s="339"/>
      <c r="S144" s="339">
        <f>4184009.85/1000</f>
        <v>4184.0098500000004</v>
      </c>
      <c r="T144" s="335"/>
      <c r="U144" s="335"/>
      <c r="V144" s="335"/>
      <c r="W144" s="335"/>
      <c r="X144" s="335"/>
      <c r="Y144" s="335"/>
      <c r="Z144" s="335"/>
      <c r="AA144" s="335"/>
      <c r="AB144" s="339"/>
      <c r="AC144" s="337"/>
      <c r="AD144" s="338">
        <f t="shared" si="22"/>
        <v>4184.0098500000004</v>
      </c>
    </row>
    <row r="145" spans="1:30" s="46" customFormat="1">
      <c r="A145" s="50" t="s">
        <v>161</v>
      </c>
      <c r="B145" s="140" t="s">
        <v>162</v>
      </c>
      <c r="C145" s="454"/>
      <c r="D145" s="335"/>
      <c r="E145" s="335"/>
      <c r="F145" s="339"/>
      <c r="G145" s="339"/>
      <c r="H145" s="339"/>
      <c r="I145" s="339"/>
      <c r="J145" s="339"/>
      <c r="K145" s="339"/>
      <c r="L145" s="339"/>
      <c r="M145" s="339"/>
      <c r="N145" s="339"/>
      <c r="O145" s="339"/>
      <c r="P145" s="339"/>
      <c r="Q145" s="339"/>
      <c r="R145" s="339"/>
      <c r="S145" s="339">
        <f>586255.52/1000</f>
        <v>586.25552000000005</v>
      </c>
      <c r="T145" s="335"/>
      <c r="U145" s="335"/>
      <c r="V145" s="335"/>
      <c r="W145" s="335"/>
      <c r="X145" s="335"/>
      <c r="Y145" s="335"/>
      <c r="Z145" s="335"/>
      <c r="AA145" s="335"/>
      <c r="AB145" s="339"/>
      <c r="AC145" s="337"/>
      <c r="AD145" s="338">
        <f t="shared" si="22"/>
        <v>586.25552000000005</v>
      </c>
    </row>
    <row r="146" spans="1:30" s="46" customFormat="1">
      <c r="A146" s="50" t="s">
        <v>163</v>
      </c>
      <c r="B146" s="135" t="s">
        <v>164</v>
      </c>
      <c r="C146" s="335"/>
      <c r="D146" s="335"/>
      <c r="E146" s="335"/>
      <c r="F146" s="335"/>
      <c r="G146" s="335"/>
      <c r="H146" s="335"/>
      <c r="I146" s="335"/>
      <c r="J146" s="335"/>
      <c r="K146" s="335"/>
      <c r="L146" s="335"/>
      <c r="M146" s="335"/>
      <c r="N146" s="335"/>
      <c r="O146" s="335"/>
      <c r="P146" s="335"/>
      <c r="Q146" s="335"/>
      <c r="R146" s="335"/>
      <c r="S146" s="335"/>
      <c r="T146" s="335"/>
      <c r="U146" s="335"/>
      <c r="V146" s="339"/>
      <c r="W146" s="339"/>
      <c r="X146" s="335"/>
      <c r="Y146" s="335"/>
      <c r="Z146" s="335"/>
      <c r="AA146" s="335"/>
      <c r="AB146" s="335"/>
      <c r="AC146" s="346"/>
      <c r="AD146" s="338">
        <f t="shared" si="22"/>
        <v>0</v>
      </c>
    </row>
    <row r="147" spans="1:30" s="46" customFormat="1">
      <c r="A147" s="50" t="s">
        <v>165</v>
      </c>
      <c r="B147" s="135" t="s">
        <v>166</v>
      </c>
      <c r="C147" s="335"/>
      <c r="D147" s="335"/>
      <c r="E147" s="335"/>
      <c r="F147" s="335"/>
      <c r="G147" s="335"/>
      <c r="H147" s="335"/>
      <c r="I147" s="335"/>
      <c r="J147" s="335"/>
      <c r="K147" s="335"/>
      <c r="L147" s="335"/>
      <c r="M147" s="335"/>
      <c r="N147" s="335"/>
      <c r="O147" s="335"/>
      <c r="P147" s="335"/>
      <c r="Q147" s="335"/>
      <c r="R147" s="335"/>
      <c r="S147" s="335"/>
      <c r="T147" s="335"/>
      <c r="U147" s="335"/>
      <c r="V147" s="335"/>
      <c r="W147" s="339"/>
      <c r="X147" s="335"/>
      <c r="Y147" s="339"/>
      <c r="Z147" s="335"/>
      <c r="AA147" s="335"/>
      <c r="AB147" s="335"/>
      <c r="AC147" s="335"/>
      <c r="AD147" s="338">
        <f t="shared" si="22"/>
        <v>0</v>
      </c>
    </row>
    <row r="148" spans="1:30" s="46" customFormat="1">
      <c r="A148" s="50" t="s">
        <v>167</v>
      </c>
      <c r="B148" s="135" t="s">
        <v>168</v>
      </c>
      <c r="C148" s="335"/>
      <c r="D148" s="335"/>
      <c r="E148" s="335"/>
      <c r="F148" s="335"/>
      <c r="G148" s="335"/>
      <c r="H148" s="335"/>
      <c r="I148" s="335"/>
      <c r="J148" s="335"/>
      <c r="K148" s="335"/>
      <c r="L148" s="335"/>
      <c r="M148" s="335"/>
      <c r="N148" s="335"/>
      <c r="O148" s="335"/>
      <c r="P148" s="335"/>
      <c r="Q148" s="335"/>
      <c r="R148" s="335"/>
      <c r="S148" s="335"/>
      <c r="T148" s="335"/>
      <c r="U148" s="335"/>
      <c r="V148" s="335"/>
      <c r="W148" s="339"/>
      <c r="X148" s="335"/>
      <c r="Y148" s="339"/>
      <c r="Z148" s="335"/>
      <c r="AA148" s="335"/>
      <c r="AB148" s="335"/>
      <c r="AC148" s="335"/>
      <c r="AD148" s="338">
        <f t="shared" si="22"/>
        <v>0</v>
      </c>
    </row>
    <row r="149" spans="1:30" s="46" customFormat="1">
      <c r="A149" s="50" t="s">
        <v>169</v>
      </c>
      <c r="B149" s="135" t="s">
        <v>170</v>
      </c>
      <c r="C149" s="335"/>
      <c r="D149" s="335"/>
      <c r="E149" s="335"/>
      <c r="F149" s="335"/>
      <c r="G149" s="335"/>
      <c r="H149" s="335"/>
      <c r="I149" s="335"/>
      <c r="J149" s="335"/>
      <c r="K149" s="335"/>
      <c r="L149" s="335"/>
      <c r="M149" s="335"/>
      <c r="N149" s="335"/>
      <c r="O149" s="335"/>
      <c r="P149" s="335"/>
      <c r="Q149" s="335"/>
      <c r="R149" s="335"/>
      <c r="S149" s="335"/>
      <c r="T149" s="335"/>
      <c r="U149" s="335"/>
      <c r="V149" s="335"/>
      <c r="W149" s="339"/>
      <c r="X149" s="335"/>
      <c r="Y149" s="339"/>
      <c r="Z149" s="335"/>
      <c r="AA149" s="335"/>
      <c r="AB149" s="335"/>
      <c r="AC149" s="335"/>
      <c r="AD149" s="338">
        <f t="shared" si="22"/>
        <v>0</v>
      </c>
    </row>
    <row r="150" spans="1:30" s="46" customFormat="1">
      <c r="A150" s="50" t="s">
        <v>171</v>
      </c>
      <c r="B150" s="135" t="s">
        <v>172</v>
      </c>
      <c r="C150" s="335"/>
      <c r="D150" s="335"/>
      <c r="E150" s="335"/>
      <c r="F150" s="335"/>
      <c r="G150" s="335"/>
      <c r="H150" s="335"/>
      <c r="I150" s="335"/>
      <c r="J150" s="335"/>
      <c r="K150" s="335"/>
      <c r="L150" s="335"/>
      <c r="M150" s="335"/>
      <c r="N150" s="335"/>
      <c r="O150" s="335"/>
      <c r="P150" s="335"/>
      <c r="Q150" s="335"/>
      <c r="R150" s="335"/>
      <c r="S150" s="335"/>
      <c r="T150" s="335"/>
      <c r="U150" s="335"/>
      <c r="V150" s="335"/>
      <c r="W150" s="339"/>
      <c r="X150" s="335"/>
      <c r="Y150" s="339"/>
      <c r="Z150" s="335"/>
      <c r="AA150" s="335"/>
      <c r="AB150" s="335"/>
      <c r="AC150" s="335"/>
      <c r="AD150" s="338">
        <f t="shared" si="22"/>
        <v>0</v>
      </c>
    </row>
    <row r="151" spans="1:30" s="46" customFormat="1">
      <c r="A151" s="50" t="s">
        <v>173</v>
      </c>
      <c r="B151" s="135" t="s">
        <v>539</v>
      </c>
      <c r="C151" s="335"/>
      <c r="D151" s="335"/>
      <c r="E151" s="335"/>
      <c r="F151" s="335"/>
      <c r="G151" s="335"/>
      <c r="H151" s="335"/>
      <c r="I151" s="335"/>
      <c r="J151" s="335"/>
      <c r="K151" s="335"/>
      <c r="L151" s="335"/>
      <c r="M151" s="335"/>
      <c r="N151" s="335"/>
      <c r="O151" s="335"/>
      <c r="P151" s="335"/>
      <c r="Q151" s="335"/>
      <c r="R151" s="335"/>
      <c r="S151" s="335"/>
      <c r="T151" s="335"/>
      <c r="U151" s="335"/>
      <c r="V151" s="335"/>
      <c r="W151" s="339"/>
      <c r="X151" s="335"/>
      <c r="Y151" s="339"/>
      <c r="Z151" s="335"/>
      <c r="AA151" s="335"/>
      <c r="AB151" s="335"/>
      <c r="AC151" s="335"/>
      <c r="AD151" s="338">
        <f t="shared" si="22"/>
        <v>0</v>
      </c>
    </row>
    <row r="152" spans="1:30" s="46" customFormat="1">
      <c r="A152" s="50" t="s">
        <v>174</v>
      </c>
      <c r="B152" s="135" t="s">
        <v>175</v>
      </c>
      <c r="C152" s="335"/>
      <c r="D152" s="335"/>
      <c r="E152" s="335"/>
      <c r="F152" s="335"/>
      <c r="G152" s="335"/>
      <c r="H152" s="335"/>
      <c r="I152" s="335"/>
      <c r="J152" s="335"/>
      <c r="K152" s="335"/>
      <c r="L152" s="335"/>
      <c r="M152" s="335"/>
      <c r="N152" s="335"/>
      <c r="O152" s="335"/>
      <c r="P152" s="335"/>
      <c r="Q152" s="335"/>
      <c r="R152" s="335"/>
      <c r="S152" s="335"/>
      <c r="T152" s="335"/>
      <c r="U152" s="335"/>
      <c r="V152" s="335"/>
      <c r="W152" s="339"/>
      <c r="X152" s="335"/>
      <c r="Y152" s="339"/>
      <c r="Z152" s="335"/>
      <c r="AA152" s="335"/>
      <c r="AB152" s="335"/>
      <c r="AC152" s="335"/>
      <c r="AD152" s="338">
        <f t="shared" si="22"/>
        <v>0</v>
      </c>
    </row>
    <row r="153" spans="1:30" s="46" customFormat="1">
      <c r="A153" s="50" t="s">
        <v>176</v>
      </c>
      <c r="B153" s="135" t="s">
        <v>177</v>
      </c>
      <c r="C153" s="335"/>
      <c r="D153" s="335"/>
      <c r="E153" s="335"/>
      <c r="F153" s="335"/>
      <c r="G153" s="335"/>
      <c r="H153" s="335"/>
      <c r="I153" s="335"/>
      <c r="J153" s="335"/>
      <c r="K153" s="335"/>
      <c r="L153" s="335"/>
      <c r="M153" s="335"/>
      <c r="N153" s="335"/>
      <c r="O153" s="335"/>
      <c r="P153" s="335"/>
      <c r="Q153" s="335"/>
      <c r="R153" s="335"/>
      <c r="S153" s="335"/>
      <c r="T153" s="335"/>
      <c r="U153" s="335"/>
      <c r="V153" s="335"/>
      <c r="W153" s="340"/>
      <c r="X153" s="335"/>
      <c r="Y153" s="340">
        <f>600/1000</f>
        <v>0.6</v>
      </c>
      <c r="Z153" s="335"/>
      <c r="AA153" s="335"/>
      <c r="AB153" s="335"/>
      <c r="AC153" s="344"/>
      <c r="AD153" s="338">
        <f t="shared" si="22"/>
        <v>0.6</v>
      </c>
    </row>
    <row r="154" spans="1:30" s="46" customFormat="1" ht="15.75">
      <c r="A154" s="52" t="s">
        <v>178</v>
      </c>
      <c r="B154" s="53"/>
      <c r="C154" s="454">
        <f>SUM(C141:C153)</f>
        <v>0</v>
      </c>
      <c r="D154" s="335">
        <f t="shared" ref="D154:AC154" si="23">SUM(D141:D153)</f>
        <v>0</v>
      </c>
      <c r="E154" s="335">
        <f t="shared" si="23"/>
        <v>0</v>
      </c>
      <c r="F154" s="339">
        <f t="shared" si="23"/>
        <v>0</v>
      </c>
      <c r="G154" s="339">
        <f t="shared" si="23"/>
        <v>0</v>
      </c>
      <c r="H154" s="339">
        <f t="shared" si="23"/>
        <v>0</v>
      </c>
      <c r="I154" s="339">
        <f t="shared" si="23"/>
        <v>0</v>
      </c>
      <c r="J154" s="339">
        <f t="shared" si="23"/>
        <v>0</v>
      </c>
      <c r="K154" s="339">
        <f t="shared" si="23"/>
        <v>0</v>
      </c>
      <c r="L154" s="339">
        <f t="shared" si="23"/>
        <v>0</v>
      </c>
      <c r="M154" s="339">
        <f t="shared" si="23"/>
        <v>0</v>
      </c>
      <c r="N154" s="339">
        <f t="shared" si="23"/>
        <v>0</v>
      </c>
      <c r="O154" s="339">
        <f t="shared" si="23"/>
        <v>0</v>
      </c>
      <c r="P154" s="339">
        <f t="shared" si="23"/>
        <v>0</v>
      </c>
      <c r="Q154" s="339">
        <f t="shared" si="23"/>
        <v>0</v>
      </c>
      <c r="R154" s="339">
        <f t="shared" si="23"/>
        <v>0</v>
      </c>
      <c r="S154" s="339">
        <f t="shared" si="23"/>
        <v>125783.74196000001</v>
      </c>
      <c r="T154" s="335">
        <f t="shared" si="23"/>
        <v>0</v>
      </c>
      <c r="U154" s="335">
        <f t="shared" si="23"/>
        <v>0</v>
      </c>
      <c r="V154" s="339">
        <f t="shared" si="23"/>
        <v>0</v>
      </c>
      <c r="W154" s="339">
        <f t="shared" si="23"/>
        <v>0</v>
      </c>
      <c r="X154" s="335">
        <f t="shared" si="23"/>
        <v>0</v>
      </c>
      <c r="Y154" s="339">
        <f t="shared" si="23"/>
        <v>0.6</v>
      </c>
      <c r="Z154" s="335">
        <f t="shared" si="23"/>
        <v>0</v>
      </c>
      <c r="AA154" s="335">
        <f t="shared" si="23"/>
        <v>0</v>
      </c>
      <c r="AB154" s="339">
        <f t="shared" si="23"/>
        <v>0</v>
      </c>
      <c r="AC154" s="337">
        <f t="shared" si="23"/>
        <v>0</v>
      </c>
      <c r="AD154" s="338">
        <f t="shared" si="22"/>
        <v>125784.34196000002</v>
      </c>
    </row>
    <row r="155" spans="1:30" s="46" customFormat="1" ht="15">
      <c r="A155" s="47"/>
      <c r="B155" s="48"/>
      <c r="C155" s="344"/>
      <c r="D155" s="344"/>
      <c r="E155" s="344"/>
      <c r="F155" s="343"/>
      <c r="G155" s="343"/>
      <c r="H155" s="343"/>
      <c r="I155" s="343"/>
      <c r="J155" s="343"/>
      <c r="K155" s="343"/>
      <c r="L155" s="343"/>
      <c r="M155" s="343"/>
      <c r="N155" s="343"/>
      <c r="O155" s="343"/>
      <c r="P155" s="343"/>
      <c r="Q155" s="343"/>
      <c r="R155" s="343"/>
      <c r="S155" s="343"/>
      <c r="T155" s="344"/>
      <c r="U155" s="344"/>
      <c r="V155" s="343"/>
      <c r="W155" s="343"/>
      <c r="X155" s="344"/>
      <c r="Y155" s="343"/>
      <c r="Z155" s="344"/>
      <c r="AA155" s="344"/>
      <c r="AB155" s="344"/>
      <c r="AC155" s="344"/>
      <c r="AD155" s="345"/>
    </row>
    <row r="156" spans="1:30" s="46" customFormat="1" ht="15">
      <c r="A156" s="519" t="s">
        <v>179</v>
      </c>
      <c r="B156" s="520"/>
      <c r="C156" s="346"/>
      <c r="D156" s="346"/>
      <c r="E156" s="346"/>
      <c r="F156" s="346"/>
      <c r="G156" s="346"/>
      <c r="H156" s="346"/>
      <c r="I156" s="346"/>
      <c r="J156" s="346"/>
      <c r="K156" s="346"/>
      <c r="L156" s="346"/>
      <c r="M156" s="346"/>
      <c r="N156" s="346"/>
      <c r="O156" s="346"/>
      <c r="P156" s="346"/>
      <c r="Q156" s="346"/>
      <c r="R156" s="346"/>
      <c r="S156" s="346"/>
      <c r="T156" s="346"/>
      <c r="U156" s="346"/>
      <c r="V156" s="346"/>
      <c r="W156" s="343"/>
      <c r="X156" s="343"/>
      <c r="Y156" s="346"/>
      <c r="Z156" s="346"/>
      <c r="AA156" s="343"/>
      <c r="AB156" s="346"/>
      <c r="AC156" s="346"/>
      <c r="AD156" s="345"/>
    </row>
    <row r="157" spans="1:30" s="46" customFormat="1">
      <c r="A157" s="50" t="s">
        <v>180</v>
      </c>
      <c r="B157" s="51" t="s">
        <v>181</v>
      </c>
      <c r="C157" s="335"/>
      <c r="D157" s="335"/>
      <c r="E157" s="335"/>
      <c r="F157" s="335"/>
      <c r="G157" s="335"/>
      <c r="H157" s="335"/>
      <c r="I157" s="335"/>
      <c r="J157" s="335"/>
      <c r="K157" s="335"/>
      <c r="L157" s="335"/>
      <c r="M157" s="335"/>
      <c r="N157" s="335"/>
      <c r="O157" s="335"/>
      <c r="P157" s="335"/>
      <c r="Q157" s="335"/>
      <c r="R157" s="335"/>
      <c r="S157" s="335"/>
      <c r="T157" s="335"/>
      <c r="U157" s="335"/>
      <c r="V157" s="335"/>
      <c r="W157" s="334"/>
      <c r="X157" s="334"/>
      <c r="Y157" s="335"/>
      <c r="Z157" s="335"/>
      <c r="AA157" s="334"/>
      <c r="AB157" s="335"/>
      <c r="AC157" s="335"/>
      <c r="AD157" s="338">
        <f>SUM(C157:AC157)</f>
        <v>0</v>
      </c>
    </row>
    <row r="158" spans="1:30" s="46" customFormat="1">
      <c r="A158" s="50" t="s">
        <v>182</v>
      </c>
      <c r="B158" s="135" t="s">
        <v>534</v>
      </c>
      <c r="C158" s="335"/>
      <c r="D158" s="335"/>
      <c r="E158" s="335"/>
      <c r="F158" s="335"/>
      <c r="G158" s="335"/>
      <c r="H158" s="335"/>
      <c r="I158" s="335"/>
      <c r="J158" s="335"/>
      <c r="K158" s="335"/>
      <c r="L158" s="335"/>
      <c r="M158" s="335"/>
      <c r="N158" s="335"/>
      <c r="O158" s="335"/>
      <c r="P158" s="335"/>
      <c r="Q158" s="335"/>
      <c r="R158" s="335"/>
      <c r="S158" s="335"/>
      <c r="T158" s="335"/>
      <c r="U158" s="335"/>
      <c r="V158" s="335"/>
      <c r="W158" s="339"/>
      <c r="X158" s="339"/>
      <c r="Y158" s="335"/>
      <c r="Z158" s="335"/>
      <c r="AA158" s="339"/>
      <c r="AB158" s="335"/>
      <c r="AC158" s="335"/>
      <c r="AD158" s="338">
        <f>SUM(C158:AC158)</f>
        <v>0</v>
      </c>
    </row>
    <row r="159" spans="1:30" s="46" customFormat="1">
      <c r="A159" s="50" t="s">
        <v>183</v>
      </c>
      <c r="B159" s="51" t="s">
        <v>184</v>
      </c>
      <c r="C159" s="335"/>
      <c r="D159" s="335"/>
      <c r="E159" s="335"/>
      <c r="F159" s="335"/>
      <c r="G159" s="335"/>
      <c r="H159" s="335"/>
      <c r="I159" s="335"/>
      <c r="J159" s="335"/>
      <c r="K159" s="335"/>
      <c r="L159" s="335"/>
      <c r="M159" s="335"/>
      <c r="N159" s="335"/>
      <c r="O159" s="335"/>
      <c r="P159" s="335"/>
      <c r="Q159" s="335"/>
      <c r="R159" s="335"/>
      <c r="S159" s="335"/>
      <c r="T159" s="335"/>
      <c r="U159" s="335"/>
      <c r="V159" s="335"/>
      <c r="W159" s="339"/>
      <c r="X159" s="339">
        <f>125780289.27/1000</f>
        <v>125780.28926999999</v>
      </c>
      <c r="Y159" s="335"/>
      <c r="Z159" s="335"/>
      <c r="AA159" s="339">
        <f>60590118.47/1000</f>
        <v>60590.118470000001</v>
      </c>
      <c r="AB159" s="335"/>
      <c r="AC159" s="335"/>
      <c r="AD159" s="338">
        <f>SUM(C159:AC159)</f>
        <v>186370.40774</v>
      </c>
    </row>
    <row r="160" spans="1:30" s="46" customFormat="1">
      <c r="A160" s="50" t="s">
        <v>185</v>
      </c>
      <c r="B160" s="54" t="s">
        <v>186</v>
      </c>
      <c r="C160" s="335"/>
      <c r="D160" s="335"/>
      <c r="E160" s="335"/>
      <c r="F160" s="335"/>
      <c r="G160" s="335"/>
      <c r="H160" s="335"/>
      <c r="I160" s="335"/>
      <c r="J160" s="335"/>
      <c r="K160" s="335"/>
      <c r="L160" s="335"/>
      <c r="M160" s="335"/>
      <c r="N160" s="335"/>
      <c r="O160" s="335"/>
      <c r="P160" s="335"/>
      <c r="Q160" s="335"/>
      <c r="R160" s="335"/>
      <c r="S160" s="335"/>
      <c r="T160" s="335"/>
      <c r="U160" s="335"/>
      <c r="V160" s="335"/>
      <c r="W160" s="335"/>
      <c r="X160" s="335"/>
      <c r="Y160" s="335"/>
      <c r="Z160" s="335"/>
      <c r="AA160" s="340">
        <f>(84238.07+14766069.62+274862.23+137592.55)/1000</f>
        <v>15262.762470000001</v>
      </c>
      <c r="AB160" s="335"/>
      <c r="AC160" s="335"/>
      <c r="AD160" s="338">
        <f>SUM(C160:AC160)</f>
        <v>15262.762470000001</v>
      </c>
    </row>
    <row r="161" spans="1:30" s="46" customFormat="1" ht="15.75">
      <c r="A161" s="52" t="s">
        <v>187</v>
      </c>
      <c r="B161" s="53"/>
      <c r="C161" s="335">
        <f t="shared" ref="C161:AC161" si="24">SUM(C157:C160)</f>
        <v>0</v>
      </c>
      <c r="D161" s="335">
        <f t="shared" si="24"/>
        <v>0</v>
      </c>
      <c r="E161" s="335">
        <f t="shared" si="24"/>
        <v>0</v>
      </c>
      <c r="F161" s="335">
        <f t="shared" si="24"/>
        <v>0</v>
      </c>
      <c r="G161" s="335">
        <f t="shared" si="24"/>
        <v>0</v>
      </c>
      <c r="H161" s="335">
        <f t="shared" si="24"/>
        <v>0</v>
      </c>
      <c r="I161" s="335">
        <f t="shared" si="24"/>
        <v>0</v>
      </c>
      <c r="J161" s="335">
        <f t="shared" si="24"/>
        <v>0</v>
      </c>
      <c r="K161" s="335">
        <f t="shared" si="24"/>
        <v>0</v>
      </c>
      <c r="L161" s="335">
        <f t="shared" si="24"/>
        <v>0</v>
      </c>
      <c r="M161" s="335">
        <f t="shared" si="24"/>
        <v>0</v>
      </c>
      <c r="N161" s="335">
        <f t="shared" si="24"/>
        <v>0</v>
      </c>
      <c r="O161" s="335">
        <f t="shared" si="24"/>
        <v>0</v>
      </c>
      <c r="P161" s="335">
        <f t="shared" si="24"/>
        <v>0</v>
      </c>
      <c r="Q161" s="335">
        <f t="shared" si="24"/>
        <v>0</v>
      </c>
      <c r="R161" s="335">
        <f t="shared" si="24"/>
        <v>0</v>
      </c>
      <c r="S161" s="335">
        <f t="shared" si="24"/>
        <v>0</v>
      </c>
      <c r="T161" s="335">
        <f t="shared" si="24"/>
        <v>0</v>
      </c>
      <c r="U161" s="335">
        <f t="shared" si="24"/>
        <v>0</v>
      </c>
      <c r="V161" s="335">
        <f t="shared" si="24"/>
        <v>0</v>
      </c>
      <c r="W161" s="339">
        <f t="shared" si="24"/>
        <v>0</v>
      </c>
      <c r="X161" s="339">
        <f t="shared" si="24"/>
        <v>125780.28926999999</v>
      </c>
      <c r="Y161" s="335">
        <f t="shared" si="24"/>
        <v>0</v>
      </c>
      <c r="Z161" s="335">
        <f t="shared" si="24"/>
        <v>0</v>
      </c>
      <c r="AA161" s="339">
        <f t="shared" si="24"/>
        <v>75852.880940000003</v>
      </c>
      <c r="AB161" s="335">
        <f t="shared" si="24"/>
        <v>0</v>
      </c>
      <c r="AC161" s="362">
        <f t="shared" si="24"/>
        <v>0</v>
      </c>
      <c r="AD161" s="338">
        <f>SUM(C161:AC161)</f>
        <v>201633.17021000001</v>
      </c>
    </row>
    <row r="162" spans="1:30" s="46" customFormat="1" ht="15" thickBot="1">
      <c r="A162" s="55"/>
      <c r="B162" s="56"/>
      <c r="C162" s="335"/>
      <c r="D162" s="335"/>
      <c r="E162" s="335"/>
      <c r="F162" s="335"/>
      <c r="G162" s="335"/>
      <c r="H162" s="335"/>
      <c r="I162" s="335"/>
      <c r="J162" s="335"/>
      <c r="K162" s="335"/>
      <c r="L162" s="335"/>
      <c r="M162" s="335"/>
      <c r="N162" s="335"/>
      <c r="O162" s="335"/>
      <c r="P162" s="335"/>
      <c r="Q162" s="335"/>
      <c r="R162" s="335"/>
      <c r="S162" s="335"/>
      <c r="T162" s="335"/>
      <c r="U162" s="335"/>
      <c r="V162" s="335"/>
      <c r="W162" s="346"/>
      <c r="X162" s="346"/>
      <c r="Y162" s="335"/>
      <c r="Z162" s="335"/>
      <c r="AA162" s="346"/>
      <c r="AB162" s="335"/>
      <c r="AC162" s="335"/>
      <c r="AD162" s="350"/>
    </row>
    <row r="163" spans="1:30" s="46" customFormat="1" ht="15.75" thickBot="1">
      <c r="A163" s="115" t="s">
        <v>188</v>
      </c>
      <c r="B163" s="141"/>
      <c r="C163" s="451">
        <f>SUM(C123,C138,C154,C161)</f>
        <v>0</v>
      </c>
      <c r="D163" s="353">
        <f t="shared" ref="D163:AC163" si="25">SUM(D123,D138,D154,D161)</f>
        <v>0</v>
      </c>
      <c r="E163" s="354">
        <f t="shared" si="25"/>
        <v>0</v>
      </c>
      <c r="F163" s="351">
        <f t="shared" si="25"/>
        <v>-0.1368</v>
      </c>
      <c r="G163" s="351">
        <f t="shared" si="25"/>
        <v>52.010849999999998</v>
      </c>
      <c r="H163" s="351">
        <f t="shared" si="25"/>
        <v>132.625</v>
      </c>
      <c r="I163" s="351">
        <f t="shared" si="25"/>
        <v>0</v>
      </c>
      <c r="J163" s="351">
        <f t="shared" si="25"/>
        <v>6.75786</v>
      </c>
      <c r="K163" s="351">
        <f t="shared" si="25"/>
        <v>3.2240000000000002</v>
      </c>
      <c r="L163" s="351">
        <f t="shared" si="25"/>
        <v>1102.28234</v>
      </c>
      <c r="M163" s="351">
        <f t="shared" si="25"/>
        <v>0</v>
      </c>
      <c r="N163" s="351">
        <f t="shared" si="25"/>
        <v>3593.2084199999999</v>
      </c>
      <c r="O163" s="351">
        <f t="shared" si="25"/>
        <v>0</v>
      </c>
      <c r="P163" s="351">
        <f t="shared" si="25"/>
        <v>41187.123180000002</v>
      </c>
      <c r="Q163" s="351">
        <f t="shared" si="25"/>
        <v>604.20111999999995</v>
      </c>
      <c r="R163" s="351">
        <f t="shared" si="25"/>
        <v>25.853000000000002</v>
      </c>
      <c r="S163" s="351">
        <f t="shared" si="25"/>
        <v>192021.15392000001</v>
      </c>
      <c r="T163" s="351">
        <f t="shared" si="25"/>
        <v>318190.39713999996</v>
      </c>
      <c r="U163" s="351">
        <f t="shared" si="25"/>
        <v>0</v>
      </c>
      <c r="V163" s="351">
        <f t="shared" si="25"/>
        <v>44852.920909999993</v>
      </c>
      <c r="W163" s="351">
        <f t="shared" si="25"/>
        <v>0</v>
      </c>
      <c r="X163" s="351">
        <f t="shared" si="25"/>
        <v>125780.28926999999</v>
      </c>
      <c r="Y163" s="351">
        <f t="shared" si="25"/>
        <v>1653.8697099999999</v>
      </c>
      <c r="Z163" s="351">
        <f t="shared" si="25"/>
        <v>16.762520000000002</v>
      </c>
      <c r="AA163" s="351">
        <f t="shared" si="25"/>
        <v>114834.16791</v>
      </c>
      <c r="AB163" s="363">
        <f t="shared" si="25"/>
        <v>0</v>
      </c>
      <c r="AC163" s="356">
        <f t="shared" si="25"/>
        <v>0</v>
      </c>
      <c r="AD163" s="357">
        <f>SUM(C163:AC163)</f>
        <v>844056.71034999983</v>
      </c>
    </row>
    <row r="164" spans="1:30" s="46" customFormat="1" ht="15" thickBot="1">
      <c r="A164" s="109"/>
      <c r="B164" s="139"/>
      <c r="C164" s="452"/>
      <c r="D164" s="344"/>
      <c r="E164" s="344"/>
      <c r="F164" s="344"/>
      <c r="G164" s="344"/>
      <c r="H164" s="344"/>
      <c r="I164" s="344"/>
      <c r="J164" s="344"/>
      <c r="K164" s="344"/>
      <c r="L164" s="344"/>
      <c r="M164" s="344"/>
      <c r="N164" s="344"/>
      <c r="O164" s="344"/>
      <c r="P164" s="344"/>
      <c r="Q164" s="344"/>
      <c r="R164" s="344"/>
      <c r="S164" s="344"/>
      <c r="T164" s="344"/>
      <c r="U164" s="344"/>
      <c r="V164" s="344"/>
      <c r="W164" s="344"/>
      <c r="X164" s="344"/>
      <c r="Y164" s="344"/>
      <c r="Z164" s="344"/>
      <c r="AA164" s="344"/>
      <c r="AB164" s="344"/>
      <c r="AC164" s="344"/>
      <c r="AD164" s="358"/>
    </row>
    <row r="165" spans="1:30" s="119" customFormat="1" ht="15.75" thickBot="1">
      <c r="A165" s="116" t="s">
        <v>199</v>
      </c>
      <c r="B165" s="142"/>
      <c r="C165" s="451">
        <f>+SUM(C94,C100,C163)</f>
        <v>0</v>
      </c>
      <c r="D165" s="351">
        <f t="shared" ref="D165:AC165" si="26">+SUM(D94,D100,D163)</f>
        <v>0</v>
      </c>
      <c r="E165" s="351">
        <f t="shared" si="26"/>
        <v>52155.89617</v>
      </c>
      <c r="F165" s="351">
        <f t="shared" si="26"/>
        <v>1832.5481299999999</v>
      </c>
      <c r="G165" s="351">
        <f t="shared" si="26"/>
        <v>284.35692</v>
      </c>
      <c r="H165" s="351">
        <f t="shared" si="26"/>
        <v>207.625</v>
      </c>
      <c r="I165" s="351">
        <f t="shared" si="26"/>
        <v>140.01201</v>
      </c>
      <c r="J165" s="351">
        <f t="shared" si="26"/>
        <v>82.362829999999988</v>
      </c>
      <c r="K165" s="351">
        <f t="shared" si="26"/>
        <v>214.67169999999999</v>
      </c>
      <c r="L165" s="351">
        <f t="shared" si="26"/>
        <v>13155.267289999998</v>
      </c>
      <c r="M165" s="351">
        <f t="shared" si="26"/>
        <v>7735.2487300000003</v>
      </c>
      <c r="N165" s="351">
        <f t="shared" si="26"/>
        <v>214264.16778000002</v>
      </c>
      <c r="O165" s="351">
        <f t="shared" si="26"/>
        <v>4464.5306200000005</v>
      </c>
      <c r="P165" s="351">
        <f t="shared" si="26"/>
        <v>55606.973559999999</v>
      </c>
      <c r="Q165" s="351">
        <f t="shared" si="26"/>
        <v>609.20111999999995</v>
      </c>
      <c r="R165" s="351">
        <f t="shared" si="26"/>
        <v>14170.165029999998</v>
      </c>
      <c r="S165" s="351">
        <f t="shared" si="26"/>
        <v>396536.46582000004</v>
      </c>
      <c r="T165" s="351">
        <f t="shared" si="26"/>
        <v>318190.39713999996</v>
      </c>
      <c r="U165" s="351">
        <f t="shared" si="26"/>
        <v>0</v>
      </c>
      <c r="V165" s="351">
        <f t="shared" si="26"/>
        <v>44852.920909999993</v>
      </c>
      <c r="W165" s="351">
        <f t="shared" si="26"/>
        <v>0</v>
      </c>
      <c r="X165" s="351">
        <f t="shared" si="26"/>
        <v>125780.28926999999</v>
      </c>
      <c r="Y165" s="351">
        <f t="shared" si="26"/>
        <v>1653.8697099999999</v>
      </c>
      <c r="Z165" s="351">
        <f t="shared" si="26"/>
        <v>9051.7672199999997</v>
      </c>
      <c r="AA165" s="351">
        <f t="shared" si="26"/>
        <v>114834.16791</v>
      </c>
      <c r="AB165" s="351">
        <f t="shared" si="26"/>
        <v>3105.5165299999999</v>
      </c>
      <c r="AC165" s="356">
        <f t="shared" si="26"/>
        <v>98648.510379999992</v>
      </c>
      <c r="AD165" s="357">
        <f>SUM(C165:AC165)</f>
        <v>1477576.9317800002</v>
      </c>
    </row>
    <row r="166" spans="1:30">
      <c r="C166" s="168"/>
      <c r="D166" s="168"/>
      <c r="E166" s="168"/>
      <c r="F166" s="168"/>
      <c r="G166" s="168"/>
      <c r="H166" s="168"/>
      <c r="I166" s="168"/>
      <c r="J166" s="168"/>
      <c r="K166" s="168"/>
      <c r="L166" s="168"/>
      <c r="M166" s="168"/>
      <c r="N166" s="168"/>
      <c r="O166" s="168"/>
      <c r="P166" s="168"/>
      <c r="Q166" s="168"/>
      <c r="R166" s="168"/>
      <c r="S166" s="168"/>
      <c r="T166" s="168"/>
      <c r="U166" s="168"/>
      <c r="V166" s="168"/>
      <c r="W166" s="168"/>
      <c r="X166" s="168"/>
      <c r="Y166" s="168"/>
      <c r="Z166" s="168"/>
      <c r="AA166" s="168"/>
      <c r="AB166" s="168"/>
      <c r="AC166" s="169"/>
      <c r="AD166" s="169"/>
    </row>
    <row r="167" spans="1:30">
      <c r="A167" s="46" t="s">
        <v>226</v>
      </c>
      <c r="C167" s="168"/>
      <c r="D167" s="168"/>
      <c r="E167" s="168"/>
      <c r="F167" s="168"/>
      <c r="G167" s="170"/>
      <c r="H167" s="168"/>
      <c r="I167" s="168"/>
      <c r="J167" s="168"/>
      <c r="K167" s="168"/>
      <c r="L167" s="168"/>
      <c r="M167" s="168"/>
      <c r="N167" s="168"/>
      <c r="O167" s="168"/>
      <c r="P167" s="168"/>
      <c r="Q167" s="168"/>
      <c r="R167" s="168"/>
      <c r="S167" s="168"/>
      <c r="T167" s="168"/>
      <c r="U167" s="168"/>
      <c r="V167" s="168"/>
      <c r="W167" s="168"/>
      <c r="X167" s="168"/>
      <c r="Y167" s="168"/>
      <c r="Z167" s="168"/>
      <c r="AA167" s="168"/>
      <c r="AB167" s="168"/>
      <c r="AC167" s="169"/>
      <c r="AD167" s="471"/>
    </row>
    <row r="168" spans="1:30">
      <c r="A168" s="46" t="s">
        <v>227</v>
      </c>
      <c r="C168" s="168"/>
      <c r="D168" s="168"/>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c r="AA168" s="168"/>
      <c r="AB168" s="168"/>
      <c r="AC168" s="169"/>
      <c r="AD168" s="169"/>
    </row>
    <row r="169" spans="1:30">
      <c r="A169" s="46"/>
      <c r="C169" s="168"/>
      <c r="D169" s="168"/>
      <c r="E169" s="168"/>
      <c r="F169" s="168"/>
      <c r="G169" s="168"/>
      <c r="H169" s="168"/>
      <c r="I169" s="168"/>
      <c r="J169" s="168"/>
      <c r="K169" s="168"/>
      <c r="L169" s="168"/>
      <c r="M169" s="168"/>
      <c r="N169" s="168"/>
      <c r="O169" s="168"/>
      <c r="P169" s="168"/>
      <c r="Q169" s="168"/>
      <c r="R169" s="168"/>
      <c r="S169" s="168"/>
      <c r="T169" s="168"/>
      <c r="U169" s="168"/>
      <c r="V169" s="168"/>
      <c r="W169" s="168"/>
      <c r="X169" s="168"/>
      <c r="Y169" s="168"/>
      <c r="Z169" s="168"/>
      <c r="AA169" s="168"/>
      <c r="AB169" s="168"/>
      <c r="AC169" s="169"/>
      <c r="AD169" s="169"/>
    </row>
    <row r="170" spans="1:30">
      <c r="A170" s="46" t="s">
        <v>375</v>
      </c>
      <c r="C170" s="168"/>
      <c r="D170" s="168"/>
      <c r="E170" s="168"/>
      <c r="F170" s="168"/>
      <c r="G170" s="168"/>
      <c r="H170" s="168"/>
      <c r="I170" s="168"/>
      <c r="J170" s="168"/>
      <c r="K170" s="168"/>
      <c r="L170" s="168"/>
      <c r="M170" s="168"/>
      <c r="N170" s="168"/>
      <c r="O170" s="168"/>
      <c r="P170" s="168"/>
      <c r="Q170" s="168"/>
      <c r="R170" s="168"/>
      <c r="S170" s="168"/>
      <c r="T170" s="168"/>
      <c r="U170" s="168"/>
      <c r="V170" s="168"/>
      <c r="W170" s="168"/>
      <c r="X170" s="168"/>
      <c r="Y170" s="168"/>
      <c r="Z170" s="168"/>
      <c r="AA170" s="168"/>
      <c r="AB170" s="168"/>
      <c r="AC170" s="169"/>
      <c r="AD170" s="169"/>
    </row>
    <row r="171" spans="1:30">
      <c r="C171" s="168"/>
      <c r="D171" s="168"/>
      <c r="E171" s="168"/>
      <c r="F171" s="168"/>
      <c r="G171" s="168"/>
      <c r="H171" s="168"/>
      <c r="I171" s="168"/>
      <c r="J171" s="168"/>
      <c r="K171" s="168"/>
      <c r="L171" s="168"/>
      <c r="M171" s="168"/>
      <c r="N171" s="168"/>
      <c r="O171" s="168"/>
      <c r="P171" s="168"/>
      <c r="Q171" s="168"/>
      <c r="R171" s="168"/>
      <c r="S171" s="168"/>
      <c r="T171" s="168"/>
      <c r="U171" s="168"/>
      <c r="V171" s="168"/>
      <c r="W171" s="168"/>
      <c r="X171" s="168"/>
      <c r="Y171" s="168"/>
      <c r="Z171" s="168"/>
      <c r="AA171" s="168"/>
      <c r="AB171" s="168"/>
      <c r="AC171" s="169"/>
      <c r="AD171" s="169"/>
    </row>
  </sheetData>
  <sheetProtection formatCells="0" formatColumns="0" formatRows="0"/>
  <mergeCells count="17">
    <mergeCell ref="A60:B60"/>
    <mergeCell ref="A53:B53"/>
    <mergeCell ref="A47:B47"/>
    <mergeCell ref="A156:B156"/>
    <mergeCell ref="A14:B14"/>
    <mergeCell ref="A96:B96"/>
    <mergeCell ref="A102:B102"/>
    <mergeCell ref="A123:B123"/>
    <mergeCell ref="A104:B104"/>
    <mergeCell ref="A125:B125"/>
    <mergeCell ref="A140:B140"/>
    <mergeCell ref="A92:B92"/>
    <mergeCell ref="A79:B79"/>
    <mergeCell ref="A37:B37"/>
    <mergeCell ref="A28:B28"/>
    <mergeCell ref="A20:B20"/>
    <mergeCell ref="A72:B72"/>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J98"/>
  <sheetViews>
    <sheetView showGridLines="0" showZeros="0" tabSelected="1" zoomScaleNormal="100" zoomScaleSheetLayoutView="100" workbookViewId="0">
      <pane xSplit="5" ySplit="3" topLeftCell="F64" activePane="bottomRight" state="frozen"/>
      <selection pane="topRight" activeCell="F1" sqref="F1"/>
      <selection pane="bottomLeft" activeCell="A4" sqref="A4"/>
      <selection pane="bottomRight" activeCell="O88" sqref="O88"/>
    </sheetView>
  </sheetViews>
  <sheetFormatPr defaultRowHeight="11.25"/>
  <cols>
    <col min="1" max="1" width="1.42578125" style="5" customWidth="1"/>
    <col min="2" max="2" width="69.7109375" style="5" bestFit="1" customWidth="1"/>
    <col min="3" max="3" width="1.42578125" style="5" customWidth="1"/>
    <col min="4" max="4" width="5.5703125" style="90"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0" s="59" customFormat="1" ht="18" customHeight="1">
      <c r="A1" s="58"/>
      <c r="B1" s="525" t="str">
        <f>"Balansstandenoverzicht provincie "&amp;+'4.Informatie'!C5&amp;" ("&amp;'4.Informatie'!C6&amp;"): "&amp;"jaar "&amp;'4.Informatie'!C7 &amp;" periode "&amp;'4.Informatie'!C8</f>
        <v>Balansstandenoverzicht provincie provincie Groningen (0001): jaar 2014 periode 5</v>
      </c>
      <c r="C1" s="525"/>
      <c r="D1" s="525"/>
      <c r="E1" s="525"/>
      <c r="F1" s="525"/>
      <c r="G1" s="525"/>
      <c r="H1" s="525"/>
      <c r="I1" s="525"/>
    </row>
    <row r="2" spans="1:10" s="62" customFormat="1" ht="18" customHeight="1">
      <c r="A2" s="60"/>
      <c r="B2" s="246" t="s">
        <v>202</v>
      </c>
      <c r="C2" s="60"/>
      <c r="D2" s="61"/>
      <c r="E2" s="61"/>
      <c r="F2" s="61"/>
    </row>
    <row r="3" spans="1:10" ht="12.75" customHeight="1">
      <c r="A3" s="63"/>
      <c r="B3" s="63"/>
      <c r="C3" s="64"/>
      <c r="D3" s="65" t="s">
        <v>200</v>
      </c>
      <c r="E3" s="66"/>
      <c r="F3" s="67">
        <v>41640</v>
      </c>
      <c r="G3" s="28"/>
      <c r="H3" s="67">
        <v>42004</v>
      </c>
      <c r="I3" s="68"/>
    </row>
    <row r="4" spans="1:10" ht="12" customHeight="1">
      <c r="A4" s="33"/>
      <c r="B4" s="35" t="s">
        <v>201</v>
      </c>
      <c r="C4" s="33"/>
      <c r="D4" s="33"/>
      <c r="E4" s="69"/>
      <c r="F4" s="32"/>
      <c r="G4" s="70"/>
      <c r="H4" s="32"/>
      <c r="I4" s="70"/>
    </row>
    <row r="5" spans="1:10" ht="19.5" customHeight="1">
      <c r="A5" s="63"/>
      <c r="B5" s="71" t="s">
        <v>203</v>
      </c>
      <c r="C5" s="72"/>
      <c r="D5" s="73"/>
      <c r="E5" s="74"/>
      <c r="F5" s="75"/>
      <c r="G5" s="76"/>
      <c r="H5" s="75"/>
      <c r="I5" s="76"/>
    </row>
    <row r="6" spans="1:10" ht="19.5" customHeight="1">
      <c r="A6" s="63"/>
      <c r="B6" s="144" t="s">
        <v>383</v>
      </c>
      <c r="C6" s="145"/>
      <c r="D6" s="73"/>
      <c r="E6" s="146"/>
      <c r="F6" s="75"/>
      <c r="G6" s="76"/>
      <c r="H6" s="75"/>
      <c r="I6" s="76"/>
    </row>
    <row r="7" spans="1:10" ht="12.75">
      <c r="A7" s="63"/>
      <c r="B7" s="18" t="s">
        <v>384</v>
      </c>
      <c r="C7" s="78"/>
      <c r="D7" s="123" t="s">
        <v>90</v>
      </c>
      <c r="E7" s="124"/>
      <c r="F7" s="464"/>
      <c r="G7" s="474"/>
      <c r="H7" s="464"/>
      <c r="I7" s="76"/>
    </row>
    <row r="8" spans="1:10" ht="12.75">
      <c r="A8" s="63"/>
      <c r="B8" s="18" t="s">
        <v>385</v>
      </c>
      <c r="C8" s="78"/>
      <c r="D8" s="123" t="s">
        <v>92</v>
      </c>
      <c r="E8" s="124"/>
      <c r="F8" s="464"/>
      <c r="G8" s="474"/>
      <c r="H8" s="464"/>
      <c r="I8" s="76"/>
    </row>
    <row r="9" spans="1:10" ht="19.5" customHeight="1">
      <c r="A9" s="63"/>
      <c r="B9" s="77" t="s">
        <v>386</v>
      </c>
      <c r="C9" s="78"/>
      <c r="D9" s="123"/>
      <c r="E9" s="124"/>
      <c r="F9" s="472"/>
      <c r="G9" s="474"/>
      <c r="H9" s="472"/>
      <c r="I9" s="76"/>
    </row>
    <row r="10" spans="1:10" ht="12.75">
      <c r="A10" s="63"/>
      <c r="B10" s="79" t="s">
        <v>387</v>
      </c>
      <c r="C10" s="78"/>
      <c r="D10" s="123" t="s">
        <v>94</v>
      </c>
      <c r="E10" s="124"/>
      <c r="F10" s="464"/>
      <c r="G10" s="474"/>
      <c r="H10" s="464"/>
      <c r="I10" s="76"/>
    </row>
    <row r="11" spans="1:10" ht="12.75">
      <c r="A11" s="63"/>
      <c r="B11" s="79" t="s">
        <v>388</v>
      </c>
      <c r="C11" s="78"/>
      <c r="D11" s="123" t="s">
        <v>96</v>
      </c>
      <c r="E11" s="124"/>
      <c r="F11" s="464"/>
      <c r="G11" s="474"/>
      <c r="H11" s="464"/>
      <c r="I11" s="76"/>
    </row>
    <row r="12" spans="1:10" ht="12.75">
      <c r="A12" s="63"/>
      <c r="B12" s="79" t="s">
        <v>389</v>
      </c>
      <c r="C12" s="78"/>
      <c r="D12" s="123" t="s">
        <v>98</v>
      </c>
      <c r="E12" s="124"/>
      <c r="F12" s="464">
        <f>39389325.02/1000</f>
        <v>39389.325020000004</v>
      </c>
      <c r="G12" s="474"/>
      <c r="H12" s="464">
        <f>38199372.3/1000</f>
        <v>38199.372299999995</v>
      </c>
      <c r="I12" s="76"/>
    </row>
    <row r="13" spans="1:10" ht="12.75">
      <c r="A13" s="63"/>
      <c r="B13" s="79" t="s">
        <v>390</v>
      </c>
      <c r="C13" s="78"/>
      <c r="D13" s="123" t="s">
        <v>100</v>
      </c>
      <c r="E13" s="124"/>
      <c r="F13" s="464">
        <f>81274417.16/1000</f>
        <v>81274.417159999997</v>
      </c>
      <c r="G13" s="474"/>
      <c r="H13" s="464">
        <f>61967116.03/1000</f>
        <v>61967.116030000005</v>
      </c>
      <c r="I13" s="76"/>
      <c r="J13" s="483"/>
    </row>
    <row r="14" spans="1:10" ht="12.75">
      <c r="A14" s="63"/>
      <c r="B14" s="79" t="s">
        <v>391</v>
      </c>
      <c r="C14" s="78"/>
      <c r="D14" s="123" t="s">
        <v>102</v>
      </c>
      <c r="E14" s="124"/>
      <c r="F14" s="464"/>
      <c r="G14" s="474"/>
      <c r="H14" s="464"/>
      <c r="I14" s="76"/>
    </row>
    <row r="15" spans="1:10" ht="12.75">
      <c r="A15" s="63"/>
      <c r="B15" s="79" t="s">
        <v>392</v>
      </c>
      <c r="C15" s="78"/>
      <c r="D15" s="123" t="s">
        <v>104</v>
      </c>
      <c r="E15" s="124"/>
      <c r="F15" s="464">
        <f>2103097.64/1000</f>
        <v>2103.09764</v>
      </c>
      <c r="G15" s="474"/>
      <c r="H15" s="464">
        <f>2017042.19/1000</f>
        <v>2017.0421899999999</v>
      </c>
      <c r="I15" s="76"/>
    </row>
    <row r="16" spans="1:10" ht="12.75">
      <c r="A16" s="63"/>
      <c r="B16" s="79" t="s">
        <v>393</v>
      </c>
      <c r="C16" s="78"/>
      <c r="D16" s="123" t="s">
        <v>106</v>
      </c>
      <c r="E16" s="124"/>
      <c r="F16" s="464">
        <f>196773/1000</f>
        <v>196.773</v>
      </c>
      <c r="G16" s="474"/>
      <c r="H16" s="464">
        <f>196773/1000</f>
        <v>196.773</v>
      </c>
      <c r="I16" s="76"/>
    </row>
    <row r="17" spans="1:10" ht="19.5" customHeight="1">
      <c r="A17" s="63"/>
      <c r="B17" s="77" t="s">
        <v>204</v>
      </c>
      <c r="C17" s="78"/>
      <c r="D17" s="123"/>
      <c r="E17" s="124"/>
      <c r="F17" s="472"/>
      <c r="G17" s="474"/>
      <c r="H17" s="472"/>
      <c r="I17" s="76"/>
    </row>
    <row r="18" spans="1:10" ht="12.75">
      <c r="A18" s="63"/>
      <c r="B18" s="79" t="s">
        <v>205</v>
      </c>
      <c r="C18" s="78"/>
      <c r="D18" s="123" t="s">
        <v>108</v>
      </c>
      <c r="E18" s="124"/>
      <c r="F18" s="464">
        <f>2299392.75/1000</f>
        <v>2299.39275</v>
      </c>
      <c r="G18" s="474"/>
      <c r="H18" s="464">
        <f>2283630.21/1000</f>
        <v>2283.6302099999998</v>
      </c>
      <c r="I18" s="76"/>
    </row>
    <row r="19" spans="1:10" ht="12.75">
      <c r="A19" s="63"/>
      <c r="B19" s="79" t="s">
        <v>206</v>
      </c>
      <c r="C19" s="78"/>
      <c r="D19" s="123" t="s">
        <v>110</v>
      </c>
      <c r="E19" s="124"/>
      <c r="F19" s="464"/>
      <c r="G19" s="474"/>
      <c r="H19" s="464"/>
      <c r="I19" s="76"/>
    </row>
    <row r="20" spans="1:10" ht="12.75">
      <c r="A20" s="63"/>
      <c r="B20" s="79" t="s">
        <v>207</v>
      </c>
      <c r="C20" s="78"/>
      <c r="D20" s="123" t="s">
        <v>112</v>
      </c>
      <c r="E20" s="124"/>
      <c r="F20" s="464"/>
      <c r="G20" s="474"/>
      <c r="H20" s="464"/>
      <c r="I20" s="76"/>
    </row>
    <row r="21" spans="1:10" ht="12.75">
      <c r="A21" s="63"/>
      <c r="B21" s="79" t="s">
        <v>208</v>
      </c>
      <c r="C21" s="78"/>
      <c r="D21" s="123" t="s">
        <v>114</v>
      </c>
      <c r="E21" s="124"/>
      <c r="F21" s="464"/>
      <c r="G21" s="474"/>
      <c r="H21" s="464"/>
      <c r="I21" s="76"/>
      <c r="J21" s="34"/>
    </row>
    <row r="22" spans="1:10" ht="12.75">
      <c r="A22" s="63"/>
      <c r="B22" s="79" t="s">
        <v>209</v>
      </c>
      <c r="C22" s="78"/>
      <c r="D22" s="123" t="s">
        <v>116</v>
      </c>
      <c r="E22" s="124"/>
      <c r="F22" s="464">
        <f>77668119.96/1000</f>
        <v>77668.119959999996</v>
      </c>
      <c r="G22" s="474"/>
      <c r="H22" s="464">
        <f>77668119.96/1000</f>
        <v>77668.119959999996</v>
      </c>
      <c r="I22" s="76"/>
    </row>
    <row r="23" spans="1:10" ht="12.75">
      <c r="A23" s="63"/>
      <c r="B23" s="79" t="s">
        <v>210</v>
      </c>
      <c r="C23" s="78"/>
      <c r="D23" s="123" t="s">
        <v>118</v>
      </c>
      <c r="E23" s="124"/>
      <c r="F23" s="464"/>
      <c r="G23" s="474"/>
      <c r="H23" s="464"/>
      <c r="I23" s="76"/>
    </row>
    <row r="24" spans="1:10" ht="12.75">
      <c r="A24" s="63"/>
      <c r="B24" s="79" t="s">
        <v>211</v>
      </c>
      <c r="C24" s="78"/>
      <c r="D24" s="123" t="s">
        <v>120</v>
      </c>
      <c r="E24" s="124"/>
      <c r="F24" s="464">
        <f>(8879794.84+135000000)/1000</f>
        <v>143879.79484000002</v>
      </c>
      <c r="G24" s="474"/>
      <c r="H24" s="464">
        <f>(269500000+7914507.76)/1000</f>
        <v>277414.50776000001</v>
      </c>
      <c r="I24" s="76"/>
    </row>
    <row r="25" spans="1:10" ht="12.75">
      <c r="A25" s="63"/>
      <c r="B25" s="79" t="s">
        <v>212</v>
      </c>
      <c r="C25" s="78"/>
      <c r="D25" s="123" t="s">
        <v>122</v>
      </c>
      <c r="E25" s="124"/>
      <c r="F25" s="464">
        <f>(310880297.63-135000000)/1000</f>
        <v>175880.29762999999</v>
      </c>
      <c r="G25" s="474"/>
      <c r="H25" s="464">
        <f>(25000000+106512125.44)/1000</f>
        <v>131512.12544</v>
      </c>
      <c r="I25" s="76"/>
    </row>
    <row r="26" spans="1:10" ht="12.75">
      <c r="A26" s="63"/>
      <c r="B26" s="79" t="s">
        <v>394</v>
      </c>
      <c r="C26" s="78"/>
      <c r="D26" s="123" t="s">
        <v>124</v>
      </c>
      <c r="E26" s="124"/>
      <c r="F26" s="464">
        <f>13435.55/1000</f>
        <v>13.435549999999999</v>
      </c>
      <c r="G26" s="474"/>
      <c r="H26" s="464"/>
      <c r="I26" s="76"/>
    </row>
    <row r="27" spans="1:10" ht="19.5" customHeight="1">
      <c r="A27" s="63"/>
      <c r="B27" s="80" t="s">
        <v>127</v>
      </c>
      <c r="C27" s="78"/>
      <c r="D27" s="81"/>
      <c r="E27" s="124"/>
      <c r="F27" s="473"/>
      <c r="G27" s="474"/>
      <c r="H27" s="473"/>
      <c r="I27" s="76"/>
    </row>
    <row r="28" spans="1:10" ht="19.5" customHeight="1">
      <c r="A28" s="63"/>
      <c r="B28" s="88" t="s">
        <v>395</v>
      </c>
      <c r="C28" s="78"/>
      <c r="D28" s="81"/>
      <c r="E28" s="124"/>
      <c r="F28" s="473"/>
      <c r="G28" s="474"/>
      <c r="H28" s="473"/>
      <c r="I28" s="76"/>
    </row>
    <row r="29" spans="1:10" ht="12.75">
      <c r="A29" s="63"/>
      <c r="B29" s="79" t="s">
        <v>396</v>
      </c>
      <c r="C29" s="78"/>
      <c r="D29" s="123" t="s">
        <v>128</v>
      </c>
      <c r="E29" s="124"/>
      <c r="F29" s="464"/>
      <c r="G29" s="474"/>
      <c r="H29" s="464"/>
      <c r="I29" s="76"/>
    </row>
    <row r="30" spans="1:10" ht="12.75">
      <c r="A30" s="63"/>
      <c r="B30" s="79" t="s">
        <v>397</v>
      </c>
      <c r="C30" s="78"/>
      <c r="D30" s="123" t="s">
        <v>130</v>
      </c>
      <c r="E30" s="124"/>
      <c r="F30" s="464"/>
      <c r="G30" s="474"/>
      <c r="H30" s="464"/>
      <c r="I30" s="76"/>
    </row>
    <row r="31" spans="1:10" ht="12.75">
      <c r="A31" s="63"/>
      <c r="B31" s="79" t="s">
        <v>398</v>
      </c>
      <c r="C31" s="78"/>
      <c r="D31" s="123" t="s">
        <v>132</v>
      </c>
      <c r="E31" s="124"/>
      <c r="F31" s="464">
        <f>74990282.54/1000</f>
        <v>74990.28254</v>
      </c>
      <c r="G31" s="474"/>
      <c r="H31" s="464">
        <f>67307306.43/1000</f>
        <v>67307.306430000011</v>
      </c>
      <c r="I31" s="76"/>
    </row>
    <row r="32" spans="1:10" ht="12.75">
      <c r="A32" s="63"/>
      <c r="B32" s="79" t="s">
        <v>399</v>
      </c>
      <c r="C32" s="78"/>
      <c r="D32" s="123" t="s">
        <v>134</v>
      </c>
      <c r="E32" s="124"/>
      <c r="F32" s="464"/>
      <c r="G32" s="474"/>
      <c r="H32" s="464"/>
      <c r="I32" s="76"/>
    </row>
    <row r="33" spans="1:9" ht="12.75">
      <c r="A33" s="63"/>
      <c r="B33" s="79" t="s">
        <v>400</v>
      </c>
      <c r="C33" s="78"/>
      <c r="D33" s="123" t="s">
        <v>136</v>
      </c>
      <c r="E33" s="124"/>
      <c r="F33" s="464"/>
      <c r="G33" s="474"/>
      <c r="H33" s="464"/>
      <c r="I33" s="76"/>
    </row>
    <row r="34" spans="1:9" ht="19.5" customHeight="1">
      <c r="A34" s="63"/>
      <c r="B34" s="77" t="s">
        <v>213</v>
      </c>
      <c r="C34" s="78"/>
      <c r="D34" s="81"/>
      <c r="E34" s="124"/>
      <c r="F34" s="473"/>
      <c r="G34" s="474"/>
      <c r="H34" s="473"/>
      <c r="I34" s="76"/>
    </row>
    <row r="35" spans="1:9" ht="12.75">
      <c r="A35" s="63"/>
      <c r="B35" s="79" t="s">
        <v>483</v>
      </c>
      <c r="C35" s="78"/>
      <c r="D35" s="123" t="s">
        <v>138</v>
      </c>
      <c r="E35" s="124"/>
      <c r="F35" s="464">
        <f>49945538.7/1000</f>
        <v>49945.538700000005</v>
      </c>
      <c r="G35" s="474"/>
      <c r="H35" s="464">
        <f>49339176.02/1000</f>
        <v>49339.176020000006</v>
      </c>
      <c r="I35" s="76"/>
    </row>
    <row r="36" spans="1:9" ht="12.75">
      <c r="A36" s="63"/>
      <c r="B36" s="79" t="s">
        <v>214</v>
      </c>
      <c r="C36" s="78"/>
      <c r="D36" s="123" t="s">
        <v>140</v>
      </c>
      <c r="E36" s="124"/>
      <c r="F36" s="464">
        <f>56000000/1000</f>
        <v>56000</v>
      </c>
      <c r="G36" s="474"/>
      <c r="H36" s="464">
        <f>(164300000+16000000)/1000</f>
        <v>180300</v>
      </c>
      <c r="I36" s="76"/>
    </row>
    <row r="37" spans="1:9" ht="12.75">
      <c r="A37" s="63"/>
      <c r="B37" s="79" t="s">
        <v>215</v>
      </c>
      <c r="C37" s="78"/>
      <c r="D37" s="123" t="s">
        <v>142</v>
      </c>
      <c r="E37" s="124"/>
      <c r="F37" s="464">
        <f>731775901.94/1000</f>
        <v>731775.90194000001</v>
      </c>
      <c r="G37" s="474"/>
      <c r="H37" s="464">
        <f>515564094.46/1000</f>
        <v>515564.09445999999</v>
      </c>
      <c r="I37" s="76"/>
    </row>
    <row r="38" spans="1:9" ht="12.75">
      <c r="A38" s="63"/>
      <c r="B38" s="79" t="s">
        <v>216</v>
      </c>
      <c r="C38" s="78"/>
      <c r="D38" s="123" t="s">
        <v>144</v>
      </c>
      <c r="E38" s="124"/>
      <c r="F38" s="464">
        <f>6436772.65/1000</f>
        <v>6436.7726500000008</v>
      </c>
      <c r="G38" s="474"/>
      <c r="H38" s="464">
        <f>6302988.43/1000</f>
        <v>6302.9884299999994</v>
      </c>
      <c r="I38" s="76"/>
    </row>
    <row r="39" spans="1:9" ht="12.75">
      <c r="A39" s="63"/>
      <c r="B39" s="79" t="s">
        <v>217</v>
      </c>
      <c r="C39" s="78"/>
      <c r="D39" s="123" t="s">
        <v>146</v>
      </c>
      <c r="E39" s="124"/>
      <c r="F39" s="464"/>
      <c r="G39" s="474"/>
      <c r="H39" s="464"/>
      <c r="I39" s="76"/>
    </row>
    <row r="40" spans="1:9" ht="12.75">
      <c r="A40" s="63"/>
      <c r="B40" s="386" t="s">
        <v>533</v>
      </c>
      <c r="C40" s="78"/>
      <c r="D40" s="123" t="s">
        <v>148</v>
      </c>
      <c r="E40" s="124"/>
      <c r="F40" s="464">
        <f>(733354966.69-731775901.94)/1000</f>
        <v>1579.06475</v>
      </c>
      <c r="G40" s="474"/>
      <c r="H40" s="464">
        <f>394669.75/1000</f>
        <v>394.66975000000002</v>
      </c>
      <c r="I40" s="76"/>
    </row>
    <row r="41" spans="1:9" ht="12.75">
      <c r="A41" s="63"/>
      <c r="B41" s="82" t="s">
        <v>150</v>
      </c>
      <c r="C41" s="78"/>
      <c r="D41" s="123" t="s">
        <v>149</v>
      </c>
      <c r="E41" s="124"/>
      <c r="F41" s="464"/>
      <c r="G41" s="474"/>
      <c r="H41" s="464"/>
      <c r="I41" s="76"/>
    </row>
    <row r="42" spans="1:9" s="34" customFormat="1">
      <c r="A42" s="83"/>
      <c r="B42" s="84"/>
      <c r="C42" s="76"/>
      <c r="D42" s="73"/>
      <c r="E42" s="76"/>
      <c r="F42" s="474"/>
      <c r="G42" s="474"/>
      <c r="H42" s="474"/>
      <c r="I42" s="76"/>
    </row>
    <row r="43" spans="1:9" ht="12.75">
      <c r="A43" s="33"/>
      <c r="B43" s="35" t="s">
        <v>218</v>
      </c>
      <c r="C43" s="33"/>
      <c r="D43" s="33"/>
      <c r="E43" s="69"/>
      <c r="F43" s="475"/>
      <c r="G43" s="478"/>
      <c r="H43" s="475"/>
      <c r="I43" s="70"/>
    </row>
    <row r="44" spans="1:9" ht="19.5" customHeight="1">
      <c r="A44" s="85"/>
      <c r="B44" s="86" t="s">
        <v>152</v>
      </c>
      <c r="C44" s="76"/>
      <c r="D44" s="73"/>
      <c r="E44" s="87"/>
      <c r="F44" s="476"/>
      <c r="G44" s="474"/>
      <c r="H44" s="476"/>
      <c r="I44" s="76"/>
    </row>
    <row r="45" spans="1:9" ht="19.5" customHeight="1">
      <c r="A45" s="85"/>
      <c r="B45" s="147" t="s">
        <v>401</v>
      </c>
      <c r="C45" s="76"/>
      <c r="D45" s="73"/>
      <c r="E45" s="87"/>
      <c r="F45" s="476"/>
      <c r="G45" s="474"/>
      <c r="H45" s="476"/>
      <c r="I45" s="76"/>
    </row>
    <row r="46" spans="1:9" ht="12.75">
      <c r="A46" s="85"/>
      <c r="B46" s="79" t="s">
        <v>402</v>
      </c>
      <c r="C46" s="76"/>
      <c r="D46" s="123" t="s">
        <v>153</v>
      </c>
      <c r="E46" s="76"/>
      <c r="F46" s="464">
        <f>40884486.4/1000</f>
        <v>40884.486400000002</v>
      </c>
      <c r="G46" s="474"/>
      <c r="H46" s="464">
        <f>35923472.55/1000</f>
        <v>35923.472549999999</v>
      </c>
      <c r="I46" s="76"/>
    </row>
    <row r="47" spans="1:9" ht="12.75">
      <c r="A47" s="85"/>
      <c r="B47" s="79" t="s">
        <v>403</v>
      </c>
      <c r="C47" s="76"/>
      <c r="D47" s="123" t="s">
        <v>155</v>
      </c>
      <c r="E47" s="76"/>
      <c r="F47" s="464">
        <f>905101941.58/1000</f>
        <v>905101.9415800001</v>
      </c>
      <c r="G47" s="474"/>
      <c r="H47" s="464">
        <f>882378536.25/1000</f>
        <v>882378.53625</v>
      </c>
      <c r="I47" s="76"/>
    </row>
    <row r="48" spans="1:9" ht="12.75">
      <c r="A48" s="85"/>
      <c r="B48" s="79" t="s">
        <v>404</v>
      </c>
      <c r="C48" s="76"/>
      <c r="D48" s="123" t="s">
        <v>157</v>
      </c>
      <c r="E48" s="76"/>
      <c r="F48" s="464"/>
      <c r="G48" s="474"/>
      <c r="H48" s="464"/>
      <c r="I48" s="76"/>
    </row>
    <row r="49" spans="1:9" ht="12.75">
      <c r="A49" s="85"/>
      <c r="B49" s="79" t="s">
        <v>405</v>
      </c>
      <c r="C49" s="76"/>
      <c r="D49" s="123" t="s">
        <v>159</v>
      </c>
      <c r="E49" s="76"/>
      <c r="F49" s="464">
        <f>-4184009.85/1000</f>
        <v>-4184.0098500000004</v>
      </c>
      <c r="G49" s="474"/>
      <c r="H49" s="464">
        <f>-5692571.42/1000</f>
        <v>-5692.5714200000002</v>
      </c>
      <c r="I49" s="76"/>
    </row>
    <row r="50" spans="1:9" ht="12.75">
      <c r="A50" s="85"/>
      <c r="B50" s="79"/>
      <c r="C50" s="76"/>
      <c r="D50" s="123"/>
      <c r="E50" s="76"/>
      <c r="F50" s="472"/>
      <c r="G50" s="474"/>
      <c r="H50" s="472"/>
      <c r="I50" s="76"/>
    </row>
    <row r="51" spans="1:9" ht="12.75">
      <c r="A51" s="85"/>
      <c r="B51" s="82" t="s">
        <v>162</v>
      </c>
      <c r="C51" s="76"/>
      <c r="D51" s="123" t="s">
        <v>161</v>
      </c>
      <c r="E51" s="76"/>
      <c r="F51" s="464">
        <f>32108265.48/1000</f>
        <v>32108.265480000002</v>
      </c>
      <c r="G51" s="474"/>
      <c r="H51" s="464">
        <f>32244934/1000</f>
        <v>32244.934000000001</v>
      </c>
      <c r="I51" s="76"/>
    </row>
    <row r="52" spans="1:9" ht="19.5" customHeight="1">
      <c r="A52" s="85"/>
      <c r="B52" s="88" t="s">
        <v>219</v>
      </c>
      <c r="C52" s="76"/>
      <c r="D52" s="123"/>
      <c r="E52" s="76"/>
      <c r="F52" s="474"/>
      <c r="G52" s="474"/>
      <c r="H52" s="474"/>
      <c r="I52" s="76"/>
    </row>
    <row r="53" spans="1:9" ht="12.75">
      <c r="A53" s="85"/>
      <c r="B53" s="79" t="s">
        <v>220</v>
      </c>
      <c r="C53" s="76"/>
      <c r="D53" s="123" t="s">
        <v>163</v>
      </c>
      <c r="E53" s="76"/>
      <c r="F53" s="464"/>
      <c r="G53" s="474"/>
      <c r="H53" s="464"/>
      <c r="I53" s="76"/>
    </row>
    <row r="54" spans="1:9" ht="12.75">
      <c r="A54" s="85"/>
      <c r="B54" s="79" t="s">
        <v>376</v>
      </c>
      <c r="C54" s="76"/>
      <c r="D54" s="123" t="s">
        <v>165</v>
      </c>
      <c r="E54" s="76"/>
      <c r="F54" s="464"/>
      <c r="G54" s="474"/>
      <c r="H54" s="464"/>
      <c r="I54" s="76"/>
    </row>
    <row r="55" spans="1:9" ht="12.75">
      <c r="A55" s="85"/>
      <c r="B55" s="79" t="s">
        <v>377</v>
      </c>
      <c r="C55" s="76"/>
      <c r="D55" s="123" t="s">
        <v>167</v>
      </c>
      <c r="E55" s="76"/>
      <c r="F55" s="464"/>
      <c r="G55" s="474"/>
      <c r="H55" s="464"/>
      <c r="I55" s="76"/>
    </row>
    <row r="56" spans="1:9" ht="12.75">
      <c r="A56" s="85"/>
      <c r="B56" s="79" t="s">
        <v>378</v>
      </c>
      <c r="C56" s="76"/>
      <c r="D56" s="123" t="s">
        <v>169</v>
      </c>
      <c r="E56" s="76"/>
      <c r="F56" s="464"/>
      <c r="G56" s="474"/>
      <c r="H56" s="464"/>
      <c r="I56" s="76"/>
    </row>
    <row r="57" spans="1:9" ht="12.75">
      <c r="A57" s="85"/>
      <c r="B57" s="79" t="s">
        <v>221</v>
      </c>
      <c r="C57" s="76"/>
      <c r="D57" s="123" t="s">
        <v>171</v>
      </c>
      <c r="E57" s="76"/>
      <c r="F57" s="464"/>
      <c r="G57" s="474"/>
      <c r="H57" s="464"/>
      <c r="I57" s="76"/>
    </row>
    <row r="58" spans="1:9" ht="12.75">
      <c r="A58" s="85"/>
      <c r="B58" s="450" t="s">
        <v>540</v>
      </c>
      <c r="C58" s="76"/>
      <c r="D58" s="123" t="s">
        <v>173</v>
      </c>
      <c r="E58" s="76"/>
      <c r="F58" s="464"/>
      <c r="G58" s="474"/>
      <c r="H58" s="464"/>
      <c r="I58" s="76"/>
    </row>
    <row r="59" spans="1:9" ht="12.75">
      <c r="A59" s="85"/>
      <c r="B59" s="79" t="s">
        <v>222</v>
      </c>
      <c r="C59" s="76"/>
      <c r="D59" s="123" t="s">
        <v>174</v>
      </c>
      <c r="E59" s="76"/>
      <c r="F59" s="464"/>
      <c r="G59" s="474"/>
      <c r="H59" s="464"/>
      <c r="I59" s="76"/>
    </row>
    <row r="60" spans="1:9" ht="12.75">
      <c r="A60" s="85"/>
      <c r="B60" s="79" t="s">
        <v>177</v>
      </c>
      <c r="C60" s="76"/>
      <c r="D60" s="123" t="s">
        <v>176</v>
      </c>
      <c r="E60" s="76"/>
      <c r="F60" s="464">
        <f>20742.03/1000</f>
        <v>20.74203</v>
      </c>
      <c r="G60" s="474"/>
      <c r="H60" s="464">
        <f>21342.03/1000</f>
        <v>21.342029999999998</v>
      </c>
      <c r="I60" s="76"/>
    </row>
    <row r="61" spans="1:9" ht="19.5" customHeight="1">
      <c r="A61" s="85"/>
      <c r="B61" s="80" t="s">
        <v>179</v>
      </c>
      <c r="C61" s="76"/>
      <c r="D61" s="89"/>
      <c r="E61" s="76"/>
      <c r="F61" s="474"/>
      <c r="G61" s="474"/>
      <c r="H61" s="474"/>
      <c r="I61" s="76"/>
    </row>
    <row r="62" spans="1:9" ht="19.5" customHeight="1">
      <c r="A62" s="85"/>
      <c r="B62" s="88" t="s">
        <v>223</v>
      </c>
      <c r="C62" s="76"/>
      <c r="D62" s="89"/>
      <c r="E62" s="76"/>
      <c r="F62" s="474"/>
      <c r="G62" s="474"/>
      <c r="H62" s="474"/>
      <c r="I62" s="76"/>
    </row>
    <row r="63" spans="1:9" ht="12.75">
      <c r="A63" s="85"/>
      <c r="B63" s="79" t="s">
        <v>224</v>
      </c>
      <c r="C63" s="76"/>
      <c r="D63" s="123" t="s">
        <v>180</v>
      </c>
      <c r="E63" s="76"/>
      <c r="F63" s="464"/>
      <c r="G63" s="474"/>
      <c r="H63" s="464"/>
      <c r="I63" s="76"/>
    </row>
    <row r="64" spans="1:9" ht="12.75">
      <c r="A64" s="85"/>
      <c r="B64" s="391" t="s">
        <v>535</v>
      </c>
      <c r="C64" s="76"/>
      <c r="D64" s="123" t="s">
        <v>182</v>
      </c>
      <c r="E64" s="76"/>
      <c r="F64" s="464"/>
      <c r="G64" s="474"/>
      <c r="H64" s="464"/>
      <c r="I64" s="76"/>
    </row>
    <row r="65" spans="1:9" ht="12.75">
      <c r="A65" s="85"/>
      <c r="B65" s="79" t="s">
        <v>225</v>
      </c>
      <c r="C65" s="76"/>
      <c r="D65" s="123" t="s">
        <v>183</v>
      </c>
      <c r="E65" s="76"/>
      <c r="F65" s="464">
        <f>220005970.96/1000</f>
        <v>220005.97096000001</v>
      </c>
      <c r="G65" s="474"/>
      <c r="H65" s="464">
        <f>214012972.35/1000</f>
        <v>214012.97235</v>
      </c>
      <c r="I65" s="76"/>
    </row>
    <row r="66" spans="1:9" ht="12.75">
      <c r="A66" s="85"/>
      <c r="B66" s="82" t="s">
        <v>186</v>
      </c>
      <c r="C66" s="76"/>
      <c r="D66" s="123" t="s">
        <v>185</v>
      </c>
      <c r="E66" s="76"/>
      <c r="F66" s="464">
        <f>249494817.51/1000</f>
        <v>249494.81750999999</v>
      </c>
      <c r="G66" s="474"/>
      <c r="H66" s="464">
        <f>(-206931.27+251091090.73+545009.41+149067.35)/1000</f>
        <v>251578.23621999996</v>
      </c>
      <c r="I66" s="76"/>
    </row>
    <row r="67" spans="1:9" s="34" customFormat="1">
      <c r="A67" s="83"/>
      <c r="B67" s="84"/>
      <c r="C67" s="76"/>
      <c r="D67" s="73"/>
      <c r="E67" s="76"/>
      <c r="F67" s="474"/>
      <c r="G67" s="474"/>
      <c r="H67" s="474"/>
      <c r="I67" s="76"/>
    </row>
    <row r="68" spans="1:9" ht="19.5" customHeight="1" thickBot="1">
      <c r="A68" s="148"/>
      <c r="B68" s="149" t="s">
        <v>406</v>
      </c>
      <c r="C68" s="150"/>
      <c r="D68" s="151"/>
      <c r="E68" s="152"/>
      <c r="F68" s="479"/>
      <c r="G68" s="480"/>
      <c r="H68" s="479"/>
      <c r="I68" s="153"/>
    </row>
    <row r="69" spans="1:9" ht="12.75">
      <c r="A69" s="63"/>
      <c r="B69" s="154" t="s">
        <v>407</v>
      </c>
      <c r="C69" s="78"/>
      <c r="D69" s="155" t="s">
        <v>409</v>
      </c>
      <c r="E69" s="156"/>
      <c r="F69" s="481">
        <f>SUM(F7:F8,F10:F16,F18:F26,F29:F33,F35:F41)</f>
        <v>1443432.21413</v>
      </c>
      <c r="G69" s="474"/>
      <c r="H69" s="481">
        <f>SUM(H7:H8,H10:H16,H18:H26,H29:H33,H35:H41)</f>
        <v>1410466.9219799999</v>
      </c>
      <c r="I69" s="76"/>
    </row>
    <row r="70" spans="1:9" ht="13.5" thickBot="1">
      <c r="A70" s="148"/>
      <c r="B70" s="157" t="s">
        <v>408</v>
      </c>
      <c r="C70" s="153"/>
      <c r="D70" s="158" t="s">
        <v>410</v>
      </c>
      <c r="E70" s="159"/>
      <c r="F70" s="482">
        <f>SUM(F46:F49,F51,F53:F60,F63:F66)</f>
        <v>1443432.2141100001</v>
      </c>
      <c r="G70" s="480"/>
      <c r="H70" s="482">
        <f>SUM(H46:H49,H51,H53:H60,H63:H66)</f>
        <v>1410466.9219800001</v>
      </c>
      <c r="I70" s="153"/>
    </row>
    <row r="71" spans="1:9" ht="12.75">
      <c r="C71" s="78"/>
      <c r="D71" s="123"/>
      <c r="E71" s="124"/>
      <c r="F71" s="160"/>
      <c r="G71" s="76"/>
      <c r="H71" s="160"/>
      <c r="I71" s="76"/>
    </row>
    <row r="72" spans="1:9">
      <c r="D72" s="5"/>
    </row>
    <row r="73" spans="1:9">
      <c r="B73" s="5" t="s">
        <v>549</v>
      </c>
      <c r="D73" s="5"/>
    </row>
    <row r="74" spans="1:9">
      <c r="B74" s="5" t="s">
        <v>550</v>
      </c>
      <c r="D74" s="5"/>
    </row>
    <row r="75" spans="1:9" ht="12">
      <c r="B75" s="63"/>
      <c r="C75" s="64"/>
      <c r="D75" s="65" t="s">
        <v>200</v>
      </c>
      <c r="E75" s="66"/>
      <c r="F75" s="67">
        <v>41640</v>
      </c>
      <c r="G75" s="28"/>
      <c r="H75" s="67" t="s">
        <v>443</v>
      </c>
      <c r="I75" s="67"/>
    </row>
    <row r="76" spans="1:9" ht="12.75">
      <c r="B76" s="35" t="s">
        <v>201</v>
      </c>
      <c r="C76" s="33"/>
      <c r="D76" s="33"/>
      <c r="E76" s="33"/>
      <c r="F76" s="69"/>
      <c r="G76" s="32"/>
      <c r="H76" s="70"/>
      <c r="I76" s="32"/>
    </row>
    <row r="77" spans="1:9" ht="12.75">
      <c r="B77" s="71" t="s">
        <v>203</v>
      </c>
      <c r="C77" s="72"/>
      <c r="D77" s="72"/>
      <c r="E77" s="72"/>
      <c r="F77" s="74"/>
      <c r="G77" s="75"/>
      <c r="H77" s="76"/>
      <c r="I77" s="75"/>
    </row>
    <row r="78" spans="1:9" ht="12.75">
      <c r="B78" s="77" t="s">
        <v>204</v>
      </c>
      <c r="C78" s="78"/>
      <c r="D78" s="78"/>
      <c r="E78" s="78"/>
      <c r="F78" s="460"/>
      <c r="G78" s="461"/>
      <c r="H78" s="462"/>
      <c r="I78" s="461"/>
    </row>
    <row r="79" spans="1:9" ht="12.75">
      <c r="B79" s="18" t="s">
        <v>551</v>
      </c>
      <c r="C79" s="78"/>
      <c r="D79" s="463" t="s">
        <v>552</v>
      </c>
      <c r="E79" s="460"/>
      <c r="F79" s="464">
        <f>135000000/1000</f>
        <v>135000</v>
      </c>
      <c r="G79" s="462"/>
      <c r="H79" s="464">
        <f>269500000/1000</f>
        <v>269500</v>
      </c>
      <c r="I79" s="461"/>
    </row>
    <row r="80" spans="1:9" ht="12.75">
      <c r="B80" s="18" t="s">
        <v>553</v>
      </c>
      <c r="C80" s="78"/>
      <c r="D80" s="463" t="s">
        <v>554</v>
      </c>
      <c r="E80" s="460"/>
      <c r="F80" s="464">
        <f>25000000/1000</f>
        <v>25000</v>
      </c>
      <c r="G80" s="462"/>
      <c r="H80" s="464">
        <f>25000000/1000</f>
        <v>25000</v>
      </c>
      <c r="I80" s="461"/>
    </row>
    <row r="81" spans="2:9" ht="12.75">
      <c r="B81" s="386" t="s">
        <v>555</v>
      </c>
      <c r="C81" s="78"/>
      <c r="D81" s="463" t="s">
        <v>556</v>
      </c>
      <c r="E81" s="460"/>
      <c r="F81" s="464"/>
      <c r="G81" s="462"/>
      <c r="H81" s="464"/>
      <c r="I81" s="461"/>
    </row>
    <row r="82" spans="2:9" ht="12.75">
      <c r="B82" s="386"/>
      <c r="C82" s="78"/>
      <c r="D82" s="463"/>
      <c r="E82" s="460"/>
      <c r="F82" s="477"/>
      <c r="G82" s="462"/>
      <c r="H82" s="465"/>
      <c r="I82" s="461"/>
    </row>
    <row r="83" spans="2:9" ht="12.75">
      <c r="B83" s="466" t="s">
        <v>127</v>
      </c>
      <c r="C83" s="78"/>
      <c r="D83" s="460"/>
      <c r="E83" s="460"/>
      <c r="F83" s="477"/>
      <c r="G83" s="462"/>
      <c r="H83" s="465"/>
      <c r="I83" s="461"/>
    </row>
    <row r="84" spans="2:9" ht="12.75">
      <c r="B84" s="88" t="s">
        <v>213</v>
      </c>
      <c r="C84" s="78"/>
      <c r="D84" s="460"/>
      <c r="E84" s="460"/>
      <c r="F84" s="477"/>
      <c r="G84" s="462"/>
      <c r="H84" s="465"/>
      <c r="I84" s="461"/>
    </row>
    <row r="85" spans="2:9" ht="12.75">
      <c r="B85" s="467" t="s">
        <v>557</v>
      </c>
      <c r="C85" s="78"/>
      <c r="D85" s="463" t="s">
        <v>558</v>
      </c>
      <c r="E85" s="460"/>
      <c r="F85" s="464">
        <f>40000000/1000</f>
        <v>40000</v>
      </c>
      <c r="G85" s="462"/>
      <c r="H85" s="468">
        <f>164300000/1000</f>
        <v>164300</v>
      </c>
      <c r="I85" s="461"/>
    </row>
    <row r="86" spans="2:9" ht="12.75">
      <c r="B86" s="467" t="s">
        <v>559</v>
      </c>
      <c r="C86" s="78"/>
      <c r="D86" s="463" t="s">
        <v>560</v>
      </c>
      <c r="E86" s="460"/>
      <c r="F86" s="464">
        <f>731775901.94/1000</f>
        <v>731775.90194000001</v>
      </c>
      <c r="G86" s="462"/>
      <c r="H86" s="464">
        <f>515564094.46/1000</f>
        <v>515564.09445999999</v>
      </c>
      <c r="I86" s="461"/>
    </row>
    <row r="87" spans="2:9" ht="12.75">
      <c r="B87" s="467" t="s">
        <v>561</v>
      </c>
      <c r="C87" s="78"/>
      <c r="D87" s="463" t="s">
        <v>562</v>
      </c>
      <c r="E87" s="460"/>
      <c r="F87" s="464"/>
      <c r="G87" s="462"/>
      <c r="H87" s="464"/>
      <c r="I87" s="461"/>
    </row>
    <row r="88" spans="2:9" ht="12.75">
      <c r="B88" s="386" t="s">
        <v>563</v>
      </c>
      <c r="C88" s="78"/>
      <c r="D88" s="463" t="s">
        <v>564</v>
      </c>
      <c r="E88" s="460"/>
      <c r="F88" s="469"/>
      <c r="G88" s="462"/>
      <c r="H88" s="469"/>
      <c r="I88" s="461"/>
    </row>
    <row r="89" spans="2:9">
      <c r="C89" s="78"/>
      <c r="D89" s="78"/>
      <c r="E89" s="78"/>
      <c r="F89" s="78"/>
      <c r="G89" s="78"/>
      <c r="H89" s="78"/>
      <c r="I89" s="461"/>
    </row>
    <row r="90" spans="2:9" ht="12.75">
      <c r="B90" s="35" t="s">
        <v>218</v>
      </c>
      <c r="C90" s="78"/>
      <c r="D90" s="78"/>
      <c r="E90" s="78"/>
      <c r="F90" s="78"/>
      <c r="G90" s="78"/>
      <c r="H90" s="78"/>
      <c r="I90" s="461"/>
    </row>
    <row r="91" spans="2:9" ht="12.75">
      <c r="B91" s="86" t="s">
        <v>152</v>
      </c>
      <c r="C91" s="78"/>
      <c r="D91" s="78"/>
      <c r="E91" s="78"/>
      <c r="F91" s="78"/>
      <c r="G91" s="78"/>
      <c r="H91" s="78"/>
      <c r="I91" s="461"/>
    </row>
    <row r="92" spans="2:9" ht="12">
      <c r="B92" s="88" t="s">
        <v>219</v>
      </c>
      <c r="C92" s="76"/>
      <c r="D92" s="76"/>
      <c r="E92" s="76"/>
      <c r="F92" s="76"/>
      <c r="G92" s="76"/>
      <c r="H92" s="76"/>
      <c r="I92" s="461"/>
    </row>
    <row r="93" spans="2:9" ht="12.75">
      <c r="B93" s="18" t="s">
        <v>565</v>
      </c>
      <c r="C93" s="76"/>
      <c r="D93" s="463" t="s">
        <v>566</v>
      </c>
      <c r="E93" s="76"/>
      <c r="F93" s="464"/>
      <c r="G93" s="462"/>
      <c r="H93" s="464"/>
      <c r="I93" s="461"/>
    </row>
    <row r="94" spans="2:9" ht="12.75">
      <c r="B94" s="391"/>
      <c r="C94" s="76"/>
      <c r="D94" s="76"/>
      <c r="E94" s="76"/>
      <c r="F94" s="76"/>
      <c r="G94" s="76"/>
      <c r="H94" s="76"/>
      <c r="I94" s="461"/>
    </row>
    <row r="95" spans="2:9" ht="12.75">
      <c r="B95" s="466" t="s">
        <v>179</v>
      </c>
      <c r="C95" s="76"/>
      <c r="D95" s="76"/>
      <c r="E95" s="76"/>
      <c r="F95" s="76"/>
      <c r="G95" s="76"/>
      <c r="H95" s="76"/>
      <c r="I95" s="461"/>
    </row>
    <row r="96" spans="2:9" ht="12">
      <c r="B96" s="88" t="s">
        <v>223</v>
      </c>
      <c r="C96" s="76"/>
      <c r="D96" s="76"/>
      <c r="E96" s="76"/>
      <c r="F96" s="76"/>
      <c r="G96" s="76"/>
      <c r="H96" s="76"/>
      <c r="I96" s="461"/>
    </row>
    <row r="97" spans="2:9" ht="12.75">
      <c r="B97" s="18" t="s">
        <v>567</v>
      </c>
      <c r="C97" s="76"/>
      <c r="D97" s="463" t="s">
        <v>568</v>
      </c>
      <c r="E97" s="76"/>
      <c r="F97" s="464"/>
      <c r="G97" s="462"/>
      <c r="H97" s="464"/>
      <c r="I97" s="461"/>
    </row>
    <row r="98" spans="2:9" ht="12.75">
      <c r="B98" s="391"/>
      <c r="C98" s="76"/>
      <c r="D98" s="76"/>
      <c r="E98" s="462"/>
      <c r="F98" s="462"/>
      <c r="G98" s="462"/>
      <c r="H98" s="462"/>
      <c r="I98" s="462"/>
    </row>
  </sheetData>
  <sheetProtection formatCells="0" formatColumns="0" formatRows="0"/>
  <mergeCells count="1">
    <mergeCell ref="B1:I1"/>
  </mergeCells>
  <phoneticPr fontId="0" type="noConversion"/>
  <printOptions horizontalCentered="1"/>
  <pageMargins left="0.17" right="0.17" top="0.67" bottom="0.39" header="0.51181102362204722" footer="0.4"/>
  <pageSetup paperSize="9" scale="78" orientation="portrait"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dimension ref="A1:C38"/>
  <sheetViews>
    <sheetView showGridLines="0" zoomScaleNormal="100" workbookViewId="0">
      <selection sqref="A1:C1"/>
    </sheetView>
  </sheetViews>
  <sheetFormatPr defaultRowHeight="12.75"/>
  <cols>
    <col min="1" max="1" width="3.28515625" style="183" customWidth="1"/>
    <col min="2" max="2" width="4.7109375" customWidth="1"/>
    <col min="3" max="3" width="80.5703125" customWidth="1"/>
  </cols>
  <sheetData>
    <row r="1" spans="1:3" ht="15.75">
      <c r="A1" s="527" t="str">
        <f>"Verklaring Iv3 bij jaarrapportage 2014, provincie " &amp; '4.Informatie'!C5</f>
        <v>Verklaring Iv3 bij jaarrapportage 2014, provincie provincie Groningen</v>
      </c>
      <c r="B1" s="528"/>
      <c r="C1" s="529"/>
    </row>
    <row r="2" spans="1:3" s="171" customFormat="1">
      <c r="A2" s="19"/>
    </row>
    <row r="3" spans="1:3">
      <c r="A3" s="19"/>
    </row>
    <row r="4" spans="1:3">
      <c r="A4" s="181" t="s">
        <v>8</v>
      </c>
      <c r="B4" s="125"/>
    </row>
    <row r="5" spans="1:3">
      <c r="A5" s="181"/>
    </row>
    <row r="6" spans="1:3">
      <c r="A6" s="181"/>
      <c r="B6" s="182"/>
    </row>
    <row r="7" spans="1:3">
      <c r="A7" s="530" t="s">
        <v>512</v>
      </c>
      <c r="B7" s="530"/>
      <c r="C7" s="529"/>
    </row>
    <row r="8" spans="1:3">
      <c r="A8" s="530"/>
      <c r="B8" s="530"/>
      <c r="C8" s="529"/>
    </row>
    <row r="9" spans="1:3">
      <c r="A9" s="530"/>
      <c r="B9" s="530"/>
      <c r="C9" s="529"/>
    </row>
    <row r="10" spans="1:3">
      <c r="A10" s="530"/>
      <c r="B10" s="530"/>
      <c r="C10" s="529"/>
    </row>
    <row r="11" spans="1:3">
      <c r="A11" s="234"/>
      <c r="B11" s="267"/>
      <c r="C11" s="267"/>
    </row>
    <row r="12" spans="1:3">
      <c r="A12" s="531" t="s">
        <v>501</v>
      </c>
      <c r="B12" s="531"/>
      <c r="C12" s="531"/>
    </row>
    <row r="13" spans="1:3">
      <c r="A13" s="531" t="s">
        <v>502</v>
      </c>
      <c r="B13" s="531"/>
      <c r="C13" s="531"/>
    </row>
    <row r="14" spans="1:3">
      <c r="A14" s="234"/>
      <c r="B14" s="234"/>
      <c r="C14" s="234"/>
    </row>
    <row r="15" spans="1:3">
      <c r="A15" s="268" t="s">
        <v>9</v>
      </c>
      <c r="B15" s="532" t="s">
        <v>412</v>
      </c>
      <c r="C15" s="532"/>
    </row>
    <row r="16" spans="1:3">
      <c r="A16"/>
      <c r="B16" s="532"/>
      <c r="C16" s="532"/>
    </row>
    <row r="17" spans="1:3">
      <c r="A17" s="268"/>
      <c r="B17" s="269"/>
      <c r="C17" s="269"/>
    </row>
    <row r="18" spans="1:3" ht="26.25" customHeight="1">
      <c r="A18" s="268" t="s">
        <v>9</v>
      </c>
      <c r="B18" s="532" t="s">
        <v>503</v>
      </c>
      <c r="C18" s="532"/>
    </row>
    <row r="19" spans="1:3">
      <c r="A19" s="270"/>
      <c r="B19" s="267"/>
      <c r="C19" s="267"/>
    </row>
    <row r="20" spans="1:3" ht="25.5">
      <c r="A20" s="271"/>
      <c r="B20" s="268" t="s">
        <v>504</v>
      </c>
      <c r="C20" s="269" t="s">
        <v>505</v>
      </c>
    </row>
    <row r="21" spans="1:3" ht="25.5">
      <c r="A21" s="271"/>
      <c r="B21" s="268" t="s">
        <v>504</v>
      </c>
      <c r="C21" s="269" t="s">
        <v>506</v>
      </c>
    </row>
    <row r="22" spans="1:3" ht="25.5">
      <c r="A22" s="271"/>
      <c r="B22" s="268" t="s">
        <v>507</v>
      </c>
      <c r="C22" s="269" t="s">
        <v>508</v>
      </c>
    </row>
    <row r="23" spans="1:3" s="183" customFormat="1">
      <c r="A23" s="378"/>
      <c r="B23" s="376"/>
      <c r="C23" s="379"/>
    </row>
    <row r="24" spans="1:3" s="183" customFormat="1" ht="24" customHeight="1">
      <c r="A24" s="380" t="s">
        <v>9</v>
      </c>
      <c r="B24" s="526" t="s">
        <v>509</v>
      </c>
      <c r="C24" s="526"/>
    </row>
    <row r="25" spans="1:3" s="183" customFormat="1">
      <c r="A25" s="380"/>
      <c r="B25" s="269"/>
      <c r="C25" s="269"/>
    </row>
    <row r="26" spans="1:3" s="183" customFormat="1" ht="25.5" customHeight="1">
      <c r="A26" s="380" t="s">
        <v>9</v>
      </c>
      <c r="B26" s="526" t="s">
        <v>510</v>
      </c>
      <c r="C26" s="526"/>
    </row>
    <row r="27" spans="1:3" s="183" customFormat="1">
      <c r="A27" s="380"/>
      <c r="B27" s="269"/>
      <c r="C27" s="269"/>
    </row>
    <row r="28" spans="1:3" s="183" customFormat="1" ht="56.25" customHeight="1">
      <c r="A28" s="380" t="s">
        <v>9</v>
      </c>
      <c r="B28" s="526" t="s">
        <v>569</v>
      </c>
      <c r="C28" s="526"/>
    </row>
    <row r="29" spans="1:3" s="183" customFormat="1"/>
    <row r="30" spans="1:3" s="183" customFormat="1"/>
    <row r="31" spans="1:3" s="126" customFormat="1">
      <c r="A31" s="126" t="s">
        <v>380</v>
      </c>
    </row>
    <row r="32" spans="1:3" s="126" customFormat="1">
      <c r="B32" s="126" t="s">
        <v>237</v>
      </c>
    </row>
    <row r="33" spans="1:1">
      <c r="A33"/>
    </row>
    <row r="34" spans="1:1">
      <c r="A34"/>
    </row>
    <row r="35" spans="1:1">
      <c r="A35"/>
    </row>
    <row r="36" spans="1:1">
      <c r="A36"/>
    </row>
    <row r="37" spans="1:1">
      <c r="A37"/>
    </row>
    <row r="38" spans="1:1">
      <c r="A38" s="171"/>
    </row>
  </sheetData>
  <mergeCells count="9">
    <mergeCell ref="B24:C24"/>
    <mergeCell ref="B26:C26"/>
    <mergeCell ref="B28:C28"/>
    <mergeCell ref="A1:C1"/>
    <mergeCell ref="A7:C10"/>
    <mergeCell ref="A12:C12"/>
    <mergeCell ref="A13:C13"/>
    <mergeCell ref="B15:C16"/>
    <mergeCell ref="B18:C18"/>
  </mergeCells>
  <phoneticPr fontId="0" type="noConversion"/>
  <hyperlinks>
    <hyperlink ref="B52" r:id="rId1" display="www.cbs.nl/kredo "/>
    <hyperlink ref="B53" r:id="rId2" display="kredo@cbs.nl "/>
  </hyperlinks>
  <pageMargins left="0.75" right="0.75" top="1" bottom="1" header="0.5" footer="0.5"/>
  <pageSetup paperSize="9" scale="96"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45"/>
  <sheetViews>
    <sheetView defaultGridColor="0" colorId="22" zoomScaleNormal="100" workbookViewId="0">
      <pane ySplit="1" topLeftCell="A125" activePane="bottomLeft" state="frozen"/>
      <selection pane="bottomLeft" activeCell="J138" sqref="J138"/>
    </sheetView>
  </sheetViews>
  <sheetFormatPr defaultColWidth="8.7109375" defaultRowHeight="12.75"/>
  <cols>
    <col min="1" max="1" width="68.85546875" style="6" customWidth="1"/>
    <col min="2" max="2" width="12.85546875" style="6" bestFit="1" customWidth="1"/>
    <col min="3" max="5" width="11.140625" style="6" customWidth="1"/>
    <col min="6" max="6" width="11.140625" style="8" customWidth="1"/>
    <col min="7" max="7" width="12.85546875" style="6" customWidth="1"/>
    <col min="8" max="9" width="11.140625" style="6" customWidth="1"/>
    <col min="10" max="13" width="8.85546875" style="6" customWidth="1"/>
    <col min="14" max="14" width="34.42578125" style="6" customWidth="1"/>
    <col min="15" max="15" width="8.85546875" style="6" customWidth="1"/>
    <col min="16" max="16" width="21.5703125" style="6" customWidth="1"/>
    <col min="17" max="18" width="8.85546875" style="6" customWidth="1"/>
    <col min="19" max="20" width="8.7109375" style="6"/>
    <col min="21" max="21" width="10.5703125" style="6" bestFit="1" customWidth="1"/>
    <col min="22" max="22" width="8.7109375" style="6"/>
    <col min="23" max="24" width="9.5703125" style="6" bestFit="1" customWidth="1"/>
    <col min="25" max="16384" width="8.7109375" style="6"/>
  </cols>
  <sheetData>
    <row r="1" spans="1:14" ht="18.75" customHeight="1">
      <c r="A1" s="184" t="s">
        <v>485</v>
      </c>
      <c r="B1" s="185"/>
      <c r="C1" s="186"/>
    </row>
    <row r="2" spans="1:14" ht="7.5" customHeight="1">
      <c r="A2" s="184"/>
      <c r="B2" s="185"/>
      <c r="C2" s="187"/>
      <c r="D2" s="188"/>
    </row>
    <row r="3" spans="1:14" ht="54" customHeight="1">
      <c r="A3" s="531" t="s">
        <v>486</v>
      </c>
      <c r="B3" s="531"/>
      <c r="C3" s="531"/>
      <c r="D3" s="531"/>
    </row>
    <row r="4" spans="1:14" ht="6" customHeight="1">
      <c r="A4" s="234"/>
      <c r="B4" s="234"/>
      <c r="C4" s="234"/>
      <c r="D4" s="234"/>
    </row>
    <row r="5" spans="1:14" ht="25.5" customHeight="1">
      <c r="A5" s="531" t="s">
        <v>487</v>
      </c>
      <c r="B5" s="531"/>
      <c r="C5" s="531"/>
      <c r="D5" s="531"/>
      <c r="G5" s="189"/>
    </row>
    <row r="6" spans="1:14" ht="6" customHeight="1">
      <c r="A6" s="234"/>
      <c r="B6" s="234"/>
      <c r="C6" s="234"/>
      <c r="D6" s="234"/>
      <c r="G6" s="189"/>
    </row>
    <row r="7" spans="1:14" ht="42" customHeight="1">
      <c r="A7" s="534" t="s">
        <v>488</v>
      </c>
      <c r="B7" s="534"/>
      <c r="C7" s="534"/>
      <c r="D7" s="534"/>
    </row>
    <row r="8" spans="1:14" ht="12.75" customHeight="1">
      <c r="A8" s="234"/>
      <c r="B8" s="188"/>
      <c r="C8" s="188"/>
      <c r="D8" s="188"/>
      <c r="G8" s="8"/>
      <c r="H8" s="8"/>
      <c r="I8" s="8"/>
      <c r="J8" s="8"/>
      <c r="K8" s="8"/>
      <c r="L8" s="8"/>
    </row>
    <row r="9" spans="1:14" ht="15.75">
      <c r="A9" s="247" t="s">
        <v>419</v>
      </c>
      <c r="B9" s="188"/>
      <c r="C9" s="188"/>
      <c r="D9" s="188"/>
      <c r="G9" s="8"/>
      <c r="H9" s="8"/>
      <c r="I9" s="8"/>
      <c r="J9" s="8"/>
      <c r="K9" s="8"/>
      <c r="L9" s="8"/>
    </row>
    <row r="10" spans="1:14" ht="13.5" thickBot="1">
      <c r="A10" s="234"/>
      <c r="B10" s="188"/>
      <c r="C10" s="188"/>
      <c r="D10" s="188"/>
      <c r="F10" s="535" t="s">
        <v>420</v>
      </c>
      <c r="G10" s="535"/>
      <c r="H10" s="535"/>
      <c r="I10" s="533" t="s">
        <v>456</v>
      </c>
      <c r="J10" s="533"/>
    </row>
    <row r="11" spans="1:14" s="191" customFormat="1" ht="12" customHeight="1" thickTop="1">
      <c r="A11" s="248" t="s">
        <v>421</v>
      </c>
      <c r="B11" s="249" t="s">
        <v>422</v>
      </c>
      <c r="C11" s="250" t="s">
        <v>423</v>
      </c>
      <c r="D11" s="251"/>
      <c r="E11" s="6"/>
      <c r="F11" s="190"/>
      <c r="G11" s="190"/>
      <c r="H11" s="190"/>
      <c r="I11" s="533"/>
      <c r="J11" s="533"/>
      <c r="K11" s="6"/>
      <c r="L11" s="6"/>
      <c r="M11" s="6"/>
      <c r="N11" s="6"/>
    </row>
    <row r="12" spans="1:14" s="191" customFormat="1" ht="12.75" customHeight="1">
      <c r="A12" s="252" t="s">
        <v>424</v>
      </c>
      <c r="B12" s="253">
        <f>IF(ISERROR(+$B$32),"",+$B$32)</f>
        <v>2.7094114423430571E-7</v>
      </c>
      <c r="C12" s="254" t="str">
        <f>IF(ISERROR(+$B$33),"",+$B$33)</f>
        <v>voldoende</v>
      </c>
      <c r="D12" s="6"/>
      <c r="F12" s="192"/>
      <c r="G12" s="190">
        <f>IF(C12="onvoldoende",1,0)</f>
        <v>0</v>
      </c>
      <c r="H12" s="193"/>
      <c r="I12" s="533"/>
      <c r="J12" s="533"/>
    </row>
    <row r="13" spans="1:14" s="191" customFormat="1">
      <c r="A13" s="252" t="s">
        <v>425</v>
      </c>
      <c r="B13" s="253">
        <f>IF(ISERROR($B$68),"",$B$68)</f>
        <v>0</v>
      </c>
      <c r="C13" s="254" t="str">
        <f>IF(ISERROR($B$69),"",$B$69)</f>
        <v>voldoende</v>
      </c>
      <c r="D13" s="6"/>
      <c r="F13" s="193"/>
      <c r="G13" s="190">
        <f>IF(C13="onvoldoende",1,0)</f>
        <v>0</v>
      </c>
      <c r="H13" s="193"/>
      <c r="I13" s="533"/>
      <c r="J13" s="533"/>
    </row>
    <row r="14" spans="1:14">
      <c r="A14" s="252" t="s">
        <v>426</v>
      </c>
      <c r="B14" s="255">
        <f>IF(ISERROR($B$124),"",$B$124)</f>
        <v>6.9838622054316505E-12</v>
      </c>
      <c r="C14" s="384" t="str">
        <f>IF(ISERROR($B$125),"",$B$125)</f>
        <v>voldoende</v>
      </c>
      <c r="F14" s="194"/>
      <c r="G14" s="190">
        <f>IF(C14="onvoldoende",1,0)</f>
        <v>0</v>
      </c>
      <c r="H14" s="194"/>
      <c r="I14" s="533"/>
      <c r="J14" s="533"/>
      <c r="K14" s="191"/>
      <c r="L14" s="191"/>
      <c r="M14" s="191"/>
      <c r="N14" s="191"/>
    </row>
    <row r="15" spans="1:14">
      <c r="A15" s="252" t="s">
        <v>427</v>
      </c>
      <c r="B15" s="253">
        <f>IF(ISERROR(B131),"",B131)</f>
        <v>0</v>
      </c>
      <c r="C15" s="254" t="str">
        <f>IF(ISERROR($B$132),"",$B$132)</f>
        <v>voldoende</v>
      </c>
      <c r="F15" s="194"/>
      <c r="G15" s="190">
        <f>IF(C15="onvoldoende",1,0)</f>
        <v>0</v>
      </c>
      <c r="H15" s="194"/>
      <c r="I15" s="533"/>
      <c r="J15" s="533"/>
      <c r="K15" s="191"/>
      <c r="L15" s="191"/>
      <c r="M15" s="191"/>
      <c r="N15" s="191"/>
    </row>
    <row r="16" spans="1:14">
      <c r="A16" s="252" t="s">
        <v>428</v>
      </c>
      <c r="B16" s="255">
        <f>IF(ISERROR(+$B$142),"",+$B$142)</f>
        <v>2.6685544258755062E-10</v>
      </c>
      <c r="C16" s="384" t="str">
        <f>IF(ISERROR($B$143),"",$B$143)</f>
        <v>voldoende</v>
      </c>
      <c r="F16" s="194"/>
      <c r="G16" s="190">
        <f>IF(C16="onvoldoende",1,0)</f>
        <v>0</v>
      </c>
      <c r="H16" s="194"/>
      <c r="I16" s="533"/>
      <c r="J16" s="533"/>
    </row>
    <row r="17" spans="1:10" ht="13.5" thickBot="1">
      <c r="A17" s="252"/>
      <c r="B17" s="253"/>
      <c r="C17" s="254"/>
      <c r="F17" s="194"/>
      <c r="G17" s="195"/>
      <c r="H17" s="194"/>
      <c r="I17" s="533"/>
      <c r="J17" s="533"/>
    </row>
    <row r="18" spans="1:10" ht="15" customHeight="1" thickTop="1" thickBot="1">
      <c r="A18" s="256" t="s">
        <v>429</v>
      </c>
      <c r="B18" s="257"/>
      <c r="C18" s="383" t="str">
        <f>+G18</f>
        <v>voldoende</v>
      </c>
      <c r="F18" s="196"/>
      <c r="G18" s="197" t="str">
        <f>IF(SUM(G12:G16)=0,"voldoende","onvoldoende")</f>
        <v>voldoende</v>
      </c>
      <c r="H18" s="193"/>
      <c r="I18" s="533"/>
      <c r="J18" s="533"/>
    </row>
    <row r="19" spans="1:10" ht="13.5" thickTop="1">
      <c r="A19" s="234"/>
      <c r="B19" s="188"/>
      <c r="C19" s="188"/>
      <c r="D19" s="188"/>
    </row>
    <row r="20" spans="1:10" ht="15.75">
      <c r="A20" s="247" t="s">
        <v>430</v>
      </c>
      <c r="B20" s="234"/>
      <c r="C20" s="234"/>
      <c r="D20" s="188"/>
    </row>
    <row r="21" spans="1:10">
      <c r="A21" s="234"/>
      <c r="B21" s="234"/>
      <c r="C21" s="234"/>
      <c r="D21" s="234"/>
    </row>
    <row r="22" spans="1:10">
      <c r="A22" s="198" t="s">
        <v>431</v>
      </c>
      <c r="B22" s="234"/>
      <c r="C22" s="234"/>
      <c r="D22" s="188"/>
    </row>
    <row r="23" spans="1:10">
      <c r="A23" s="328" t="s">
        <v>458</v>
      </c>
      <c r="B23" s="234"/>
      <c r="C23" s="234"/>
      <c r="D23" s="188"/>
    </row>
    <row r="24" spans="1:10">
      <c r="A24" s="329">
        <f>SUM('5.Verdelingsmatrix lasten'!$D$165:$R$165)-SUM('5.Verdelingsmatrix lasten'!$D$114:$R$121)-SUM('5.Verdelingsmatrix lasten'!$D$131:$R$137)-SUM('5.Verdelingsmatrix lasten'!$D$146:$R$153)-SUM('5.Verdelingsmatrix lasten'!$D$157:$R$160)</f>
        <v>374734.52132900001</v>
      </c>
      <c r="B24" s="234"/>
      <c r="C24" s="234"/>
      <c r="D24" s="188"/>
    </row>
    <row r="25" spans="1:10">
      <c r="B25" s="234"/>
      <c r="C25" s="234"/>
      <c r="D25" s="188"/>
    </row>
    <row r="26" spans="1:10" ht="15.75">
      <c r="A26" s="247" t="s">
        <v>432</v>
      </c>
      <c r="B26" s="258"/>
      <c r="D26" s="234"/>
    </row>
    <row r="27" spans="1:10" ht="12.75" customHeight="1">
      <c r="E27" s="188"/>
      <c r="F27" s="200"/>
    </row>
    <row r="28" spans="1:10" ht="12.75" customHeight="1">
      <c r="A28" s="201" t="s">
        <v>518</v>
      </c>
      <c r="C28" s="259"/>
      <c r="D28" s="260"/>
      <c r="E28" s="202"/>
      <c r="F28" s="203"/>
    </row>
    <row r="29" spans="1:10" ht="27.75" customHeight="1">
      <c r="A29" s="273" t="s">
        <v>457</v>
      </c>
      <c r="B29" s="276">
        <f>SUM('6.Verdelingsmatrix baten'!$D$165:$R$165)+'6.Verdelingsmatrix baten'!$AB$165-(SUM('5.Verdelingsmatrix lasten'!$D$165:$R$165)+'5.Verdelingsmatrix lasten'!$AB$165)</f>
        <v>-9811.494439000031</v>
      </c>
      <c r="C29" s="234"/>
      <c r="D29" s="187"/>
      <c r="E29" s="187"/>
      <c r="F29" s="186"/>
      <c r="G29" s="204"/>
      <c r="H29" s="204"/>
      <c r="I29" s="204"/>
    </row>
    <row r="30" spans="1:10" ht="12.75" customHeight="1">
      <c r="A30" s="273" t="s">
        <v>511</v>
      </c>
      <c r="B30" s="277">
        <f>SUM('5.Verdelingsmatrix lasten'!$T$165:$AA$165)-SUM('6.Verdelingsmatrix baten'!$T$165:$AA$165)</f>
        <v>-9811.595970000024</v>
      </c>
      <c r="C30" s="234"/>
      <c r="D30" s="177"/>
      <c r="E30" s="187"/>
      <c r="F30" s="186"/>
      <c r="G30" s="204"/>
      <c r="H30" s="204"/>
      <c r="I30" s="204"/>
    </row>
    <row r="31" spans="1:10">
      <c r="A31" s="274" t="s">
        <v>433</v>
      </c>
      <c r="B31" s="278">
        <f>+ABS(B29-B30)</f>
        <v>0.1015309999929741</v>
      </c>
      <c r="C31" s="234"/>
      <c r="D31" s="202"/>
      <c r="E31" s="202"/>
      <c r="F31" s="203"/>
    </row>
    <row r="32" spans="1:10">
      <c r="A32" s="272" t="s">
        <v>434</v>
      </c>
      <c r="B32" s="375">
        <f>+B31/A24</f>
        <v>2.7094114423430571E-7</v>
      </c>
      <c r="C32" s="234"/>
      <c r="D32" s="188"/>
      <c r="E32" s="188"/>
      <c r="F32" s="200"/>
    </row>
    <row r="33" spans="1:27" ht="12.75" customHeight="1">
      <c r="A33" s="275" t="s">
        <v>435</v>
      </c>
      <c r="B33" s="279" t="str">
        <f>IF(B32&lt;=0.01,"voldoende","onvoldoende")</f>
        <v>voldoende</v>
      </c>
      <c r="C33" s="234"/>
      <c r="D33" s="261"/>
      <c r="E33" s="188"/>
      <c r="F33" s="200"/>
      <c r="J33" s="262"/>
      <c r="K33" s="262"/>
      <c r="L33" s="262"/>
      <c r="M33" s="188"/>
      <c r="N33" s="188"/>
      <c r="O33" s="189"/>
      <c r="U33" s="8"/>
      <c r="AA33" s="8"/>
    </row>
    <row r="34" spans="1:27" ht="12.75" customHeight="1">
      <c r="A34" s="259"/>
      <c r="B34" s="259"/>
      <c r="C34" s="259"/>
      <c r="D34" s="259"/>
      <c r="E34" s="188"/>
      <c r="F34" s="200"/>
      <c r="J34" s="262"/>
      <c r="K34" s="262"/>
      <c r="L34" s="262"/>
      <c r="M34" s="188"/>
      <c r="N34" s="188"/>
      <c r="O34" s="189"/>
      <c r="U34" s="8"/>
      <c r="AA34" s="8"/>
    </row>
    <row r="35" spans="1:27" ht="12.75" customHeight="1">
      <c r="A35" s="234"/>
      <c r="B35" s="234"/>
      <c r="C35" s="234"/>
      <c r="D35" s="188"/>
      <c r="E35" s="188"/>
      <c r="F35" s="200"/>
      <c r="I35" s="11"/>
      <c r="U35" s="205"/>
      <c r="AA35" s="8"/>
    </row>
    <row r="36" spans="1:27" ht="12.75" customHeight="1">
      <c r="A36" s="324" t="s">
        <v>519</v>
      </c>
      <c r="F36" s="204"/>
      <c r="G36" s="206"/>
      <c r="H36" s="207"/>
      <c r="I36" s="207"/>
      <c r="J36" s="208"/>
      <c r="K36" s="208"/>
      <c r="L36" s="209"/>
      <c r="M36" s="208"/>
      <c r="N36" s="208"/>
      <c r="O36" s="199"/>
      <c r="P36" s="199"/>
      <c r="U36" s="8"/>
      <c r="AA36" s="8"/>
    </row>
    <row r="37" spans="1:27" ht="12.75" customHeight="1">
      <c r="A37" s="272" t="s">
        <v>436</v>
      </c>
      <c r="B37" s="317" t="s">
        <v>459</v>
      </c>
      <c r="C37" s="317" t="s">
        <v>460</v>
      </c>
      <c r="D37" s="317" t="s">
        <v>489</v>
      </c>
      <c r="E37" s="317" t="s">
        <v>461</v>
      </c>
      <c r="F37" s="318" t="s">
        <v>437</v>
      </c>
      <c r="G37" s="210"/>
      <c r="H37" s="210"/>
      <c r="I37" s="210"/>
      <c r="J37" s="210"/>
      <c r="K37" s="210"/>
      <c r="L37" s="210"/>
      <c r="M37" s="210"/>
      <c r="N37" s="210"/>
      <c r="O37" s="199"/>
      <c r="P37" s="199"/>
      <c r="U37" s="8"/>
      <c r="AA37" s="8"/>
    </row>
    <row r="38" spans="1:27">
      <c r="A38" s="300" t="s">
        <v>108</v>
      </c>
      <c r="B38" s="276">
        <f>SUM('5.Verdelingsmatrix lasten'!$C114:$R114)</f>
        <v>0</v>
      </c>
      <c r="C38" s="276">
        <f>SUM('5.Verdelingsmatrix lasten'!$S114,'5.Verdelingsmatrix lasten'!$AB114)</f>
        <v>0</v>
      </c>
      <c r="D38" s="276">
        <f>SUM('6.Verdelingsmatrix baten'!$C114:$R114)</f>
        <v>0</v>
      </c>
      <c r="E38" s="276">
        <f>SUM('6.Verdelingsmatrix baten'!$S114,'6.Verdelingsmatrix baten'!$AB114)</f>
        <v>0</v>
      </c>
      <c r="F38" s="293">
        <f t="shared" ref="F38:F64" si="0">ABS(B38+C38)+ABS(D38+E38)</f>
        <v>0</v>
      </c>
      <c r="G38" s="211"/>
      <c r="H38" s="211"/>
      <c r="I38" s="212"/>
      <c r="J38" s="213"/>
      <c r="K38" s="213"/>
      <c r="L38" s="212"/>
      <c r="M38" s="214"/>
      <c r="N38" s="211"/>
      <c r="O38" s="208"/>
      <c r="P38" s="208"/>
      <c r="Q38" s="208"/>
      <c r="R38" s="208"/>
      <c r="U38" s="8"/>
      <c r="AA38" s="8"/>
    </row>
    <row r="39" spans="1:27" ht="12.75" customHeight="1">
      <c r="A39" s="302" t="s">
        <v>110</v>
      </c>
      <c r="B39" s="277">
        <f>SUM('5.Verdelingsmatrix lasten'!$C115:$R115)</f>
        <v>0</v>
      </c>
      <c r="C39" s="277">
        <f>SUM('5.Verdelingsmatrix lasten'!$S115,'5.Verdelingsmatrix lasten'!$AB115)</f>
        <v>0</v>
      </c>
      <c r="D39" s="277">
        <f>SUM('6.Verdelingsmatrix baten'!$C115:$R115)</f>
        <v>0</v>
      </c>
      <c r="E39" s="277">
        <f>SUM('6.Verdelingsmatrix baten'!$S115,'6.Verdelingsmatrix baten'!$AB115)</f>
        <v>0</v>
      </c>
      <c r="F39" s="294">
        <f t="shared" si="0"/>
        <v>0</v>
      </c>
      <c r="G39" s="211"/>
      <c r="H39" s="211"/>
      <c r="I39" s="212"/>
      <c r="J39" s="213"/>
      <c r="K39" s="213"/>
      <c r="L39" s="212"/>
      <c r="M39" s="214"/>
      <c r="N39" s="211"/>
      <c r="O39" s="263"/>
      <c r="P39" s="263"/>
      <c r="Q39" s="264"/>
      <c r="R39" s="264"/>
    </row>
    <row r="40" spans="1:27" ht="12.75" customHeight="1">
      <c r="A40" s="302" t="s">
        <v>112</v>
      </c>
      <c r="B40" s="277">
        <f>SUM('5.Verdelingsmatrix lasten'!$C116:$R116)</f>
        <v>0</v>
      </c>
      <c r="C40" s="277">
        <f>SUM('5.Verdelingsmatrix lasten'!$S116,'5.Verdelingsmatrix lasten'!$AB116)</f>
        <v>0</v>
      </c>
      <c r="D40" s="277">
        <f>SUM('6.Verdelingsmatrix baten'!$C116:$R116)</f>
        <v>0</v>
      </c>
      <c r="E40" s="277">
        <f>SUM('6.Verdelingsmatrix baten'!$S116,'6.Verdelingsmatrix baten'!$AB116)</f>
        <v>0</v>
      </c>
      <c r="F40" s="294">
        <f t="shared" si="0"/>
        <v>0</v>
      </c>
      <c r="G40" s="211"/>
      <c r="H40" s="211"/>
      <c r="I40" s="212"/>
      <c r="J40" s="213"/>
      <c r="K40" s="213"/>
      <c r="L40" s="212"/>
      <c r="M40" s="214"/>
      <c r="N40" s="211"/>
      <c r="O40" s="265"/>
      <c r="P40" s="265"/>
      <c r="Q40" s="266"/>
      <c r="R40" s="266"/>
    </row>
    <row r="41" spans="1:27" ht="12.75" customHeight="1">
      <c r="A41" s="302" t="s">
        <v>114</v>
      </c>
      <c r="B41" s="277">
        <f>SUM('5.Verdelingsmatrix lasten'!$C117:$R117)</f>
        <v>0</v>
      </c>
      <c r="C41" s="277">
        <f>SUM('5.Verdelingsmatrix lasten'!$S117,'5.Verdelingsmatrix lasten'!$AB117)</f>
        <v>0</v>
      </c>
      <c r="D41" s="277">
        <f>SUM('6.Verdelingsmatrix baten'!$C117:$R117)</f>
        <v>0</v>
      </c>
      <c r="E41" s="277">
        <f>SUM('6.Verdelingsmatrix baten'!$S117,'6.Verdelingsmatrix baten'!$AB117)</f>
        <v>0</v>
      </c>
      <c r="F41" s="294">
        <f t="shared" si="0"/>
        <v>0</v>
      </c>
      <c r="G41" s="211"/>
      <c r="H41" s="211"/>
      <c r="I41" s="212"/>
      <c r="J41" s="213"/>
      <c r="K41" s="213"/>
      <c r="L41" s="212"/>
      <c r="M41" s="214"/>
      <c r="N41" s="211"/>
      <c r="O41" s="213"/>
      <c r="P41" s="213"/>
      <c r="Q41" s="213"/>
      <c r="R41" s="213"/>
    </row>
    <row r="42" spans="1:27" ht="12.75" customHeight="1">
      <c r="A42" s="302" t="s">
        <v>116</v>
      </c>
      <c r="B42" s="277">
        <f>SUM('5.Verdelingsmatrix lasten'!$C118:$R118)</f>
        <v>0</v>
      </c>
      <c r="C42" s="277">
        <f>SUM('5.Verdelingsmatrix lasten'!$S118,'5.Verdelingsmatrix lasten'!$AB118)</f>
        <v>0</v>
      </c>
      <c r="D42" s="277">
        <f>SUM('6.Verdelingsmatrix baten'!$C118:$R118)</f>
        <v>0</v>
      </c>
      <c r="E42" s="277">
        <f>SUM('6.Verdelingsmatrix baten'!$S118,'6.Verdelingsmatrix baten'!$AB118)</f>
        <v>0</v>
      </c>
      <c r="F42" s="294">
        <f t="shared" si="0"/>
        <v>0</v>
      </c>
      <c r="G42" s="211"/>
      <c r="H42" s="211"/>
      <c r="I42" s="212"/>
      <c r="J42" s="213"/>
      <c r="K42" s="213"/>
      <c r="L42" s="212"/>
      <c r="M42" s="214"/>
      <c r="N42" s="211"/>
      <c r="O42" s="213"/>
      <c r="P42" s="213"/>
      <c r="Q42" s="213"/>
      <c r="R42" s="213"/>
    </row>
    <row r="43" spans="1:27" ht="12.75" customHeight="1">
      <c r="A43" s="302" t="s">
        <v>118</v>
      </c>
      <c r="B43" s="277">
        <f>SUM('5.Verdelingsmatrix lasten'!$C119:$R119)</f>
        <v>0</v>
      </c>
      <c r="C43" s="277">
        <f>SUM('5.Verdelingsmatrix lasten'!$S119,'5.Verdelingsmatrix lasten'!$AB119)</f>
        <v>0</v>
      </c>
      <c r="D43" s="277">
        <f>SUM('6.Verdelingsmatrix baten'!$C119:$R119)</f>
        <v>0</v>
      </c>
      <c r="E43" s="277">
        <f>SUM('6.Verdelingsmatrix baten'!$S119,'6.Verdelingsmatrix baten'!$AB119)</f>
        <v>0</v>
      </c>
      <c r="F43" s="294">
        <f t="shared" si="0"/>
        <v>0</v>
      </c>
      <c r="G43" s="211"/>
      <c r="H43" s="211"/>
      <c r="I43" s="212"/>
      <c r="J43" s="213"/>
      <c r="K43" s="213"/>
      <c r="L43" s="212"/>
      <c r="M43" s="214"/>
      <c r="N43" s="211"/>
      <c r="O43" s="215"/>
      <c r="P43" s="215"/>
      <c r="Q43" s="215"/>
      <c r="R43" s="215"/>
    </row>
    <row r="44" spans="1:27">
      <c r="A44" s="302" t="s">
        <v>120</v>
      </c>
      <c r="B44" s="277">
        <f>SUM('5.Verdelingsmatrix lasten'!$C120:$R120)</f>
        <v>0</v>
      </c>
      <c r="C44" s="277">
        <f>SUM('5.Verdelingsmatrix lasten'!$S120,'5.Verdelingsmatrix lasten'!$AB120)</f>
        <v>0</v>
      </c>
      <c r="D44" s="277">
        <f>SUM('6.Verdelingsmatrix baten'!$C120:$R120)</f>
        <v>0</v>
      </c>
      <c r="E44" s="277">
        <f>SUM('6.Verdelingsmatrix baten'!$S120,'6.Verdelingsmatrix baten'!$AB120)</f>
        <v>0</v>
      </c>
      <c r="F44" s="294">
        <f t="shared" si="0"/>
        <v>0</v>
      </c>
      <c r="G44" s="211"/>
      <c r="H44" s="211"/>
      <c r="I44" s="212"/>
      <c r="J44" s="213"/>
      <c r="K44" s="213"/>
      <c r="L44" s="212"/>
      <c r="M44" s="214"/>
      <c r="N44" s="211"/>
      <c r="O44" s="216"/>
      <c r="P44" s="216"/>
      <c r="Q44" s="216"/>
      <c r="R44" s="216"/>
    </row>
    <row r="45" spans="1:27" ht="12.75" customHeight="1">
      <c r="A45" s="302" t="s">
        <v>122</v>
      </c>
      <c r="B45" s="277">
        <f>SUM('5.Verdelingsmatrix lasten'!$C121:$R121)</f>
        <v>0</v>
      </c>
      <c r="C45" s="277">
        <f>SUM('5.Verdelingsmatrix lasten'!$S121,'5.Verdelingsmatrix lasten'!$AB121)</f>
        <v>0</v>
      </c>
      <c r="D45" s="277">
        <f>SUM('6.Verdelingsmatrix baten'!$C121:$R121)</f>
        <v>0</v>
      </c>
      <c r="E45" s="277">
        <f>SUM('6.Verdelingsmatrix baten'!$S121,'6.Verdelingsmatrix baten'!$AB121)</f>
        <v>0</v>
      </c>
      <c r="F45" s="294">
        <f t="shared" si="0"/>
        <v>0</v>
      </c>
      <c r="G45" s="211"/>
      <c r="H45" s="211"/>
      <c r="I45" s="212"/>
      <c r="J45" s="213"/>
      <c r="K45" s="213"/>
      <c r="L45" s="212"/>
      <c r="M45" s="214"/>
      <c r="N45" s="211"/>
      <c r="O45" s="199"/>
      <c r="P45" s="199"/>
    </row>
    <row r="46" spans="1:27" ht="12.75" customHeight="1">
      <c r="A46" s="302" t="s">
        <v>138</v>
      </c>
      <c r="B46" s="277">
        <f>SUM('5.Verdelingsmatrix lasten'!$C131:$R131)</f>
        <v>0</v>
      </c>
      <c r="C46" s="277">
        <f>SUM('5.Verdelingsmatrix lasten'!$S131,'5.Verdelingsmatrix lasten'!$AB131)</f>
        <v>0</v>
      </c>
      <c r="D46" s="277">
        <f>SUM('6.Verdelingsmatrix baten'!$C131:$R131)</f>
        <v>0</v>
      </c>
      <c r="E46" s="277">
        <f>SUM('6.Verdelingsmatrix baten'!$S131,'6.Verdelingsmatrix baten'!$AB131)</f>
        <v>0</v>
      </c>
      <c r="F46" s="294">
        <f t="shared" si="0"/>
        <v>0</v>
      </c>
      <c r="G46" s="211"/>
      <c r="H46" s="211"/>
      <c r="I46" s="212"/>
      <c r="J46" s="213"/>
      <c r="K46" s="213"/>
      <c r="L46" s="212"/>
      <c r="M46" s="214"/>
      <c r="N46" s="211"/>
      <c r="O46" s="199"/>
      <c r="P46" s="199"/>
    </row>
    <row r="47" spans="1:27">
      <c r="A47" s="302" t="s">
        <v>140</v>
      </c>
      <c r="B47" s="277">
        <f>SUM('5.Verdelingsmatrix lasten'!$C132:$R132)</f>
        <v>0</v>
      </c>
      <c r="C47" s="277">
        <f>SUM('5.Verdelingsmatrix lasten'!$S132,'5.Verdelingsmatrix lasten'!$AB132)</f>
        <v>0</v>
      </c>
      <c r="D47" s="277">
        <f>SUM('6.Verdelingsmatrix baten'!$C132:$R132)</f>
        <v>0</v>
      </c>
      <c r="E47" s="277">
        <f>SUM('6.Verdelingsmatrix baten'!$S132,'6.Verdelingsmatrix baten'!$AB132)</f>
        <v>0</v>
      </c>
      <c r="F47" s="294">
        <f t="shared" si="0"/>
        <v>0</v>
      </c>
      <c r="G47" s="211"/>
      <c r="H47" s="211"/>
      <c r="I47" s="212"/>
      <c r="J47" s="213"/>
      <c r="K47" s="213"/>
      <c r="L47" s="212"/>
      <c r="M47" s="214"/>
      <c r="N47" s="211"/>
      <c r="O47" s="199"/>
      <c r="P47" s="199"/>
    </row>
    <row r="48" spans="1:27">
      <c r="A48" s="302" t="s">
        <v>142</v>
      </c>
      <c r="B48" s="277">
        <f>SUM('5.Verdelingsmatrix lasten'!$C133:$R133)</f>
        <v>0</v>
      </c>
      <c r="C48" s="277">
        <f>SUM('5.Verdelingsmatrix lasten'!$S133,'5.Verdelingsmatrix lasten'!$AB133)</f>
        <v>0</v>
      </c>
      <c r="D48" s="277">
        <f>SUM('6.Verdelingsmatrix baten'!$C133:$R133)</f>
        <v>0</v>
      </c>
      <c r="E48" s="277">
        <f>SUM('6.Verdelingsmatrix baten'!$S133,'6.Verdelingsmatrix baten'!$AB133)</f>
        <v>0</v>
      </c>
      <c r="F48" s="294">
        <f t="shared" si="0"/>
        <v>0</v>
      </c>
      <c r="G48" s="211"/>
      <c r="H48" s="211"/>
      <c r="I48" s="212"/>
      <c r="J48" s="213"/>
      <c r="K48" s="213"/>
      <c r="L48" s="212"/>
      <c r="M48" s="214"/>
      <c r="N48" s="211"/>
      <c r="O48" s="199"/>
      <c r="P48" s="199"/>
    </row>
    <row r="49" spans="1:18" ht="12.75" customHeight="1">
      <c r="A49" s="302" t="s">
        <v>144</v>
      </c>
      <c r="B49" s="277">
        <f>SUM('5.Verdelingsmatrix lasten'!$C134:$R134)</f>
        <v>0</v>
      </c>
      <c r="C49" s="277">
        <f>SUM('5.Verdelingsmatrix lasten'!$S134,'5.Verdelingsmatrix lasten'!$AB134)</f>
        <v>0</v>
      </c>
      <c r="D49" s="277">
        <f>SUM('6.Verdelingsmatrix baten'!$C134:$R134)</f>
        <v>0</v>
      </c>
      <c r="E49" s="277">
        <f>SUM('6.Verdelingsmatrix baten'!$S134,'6.Verdelingsmatrix baten'!$AB134)</f>
        <v>0</v>
      </c>
      <c r="F49" s="294">
        <f t="shared" si="0"/>
        <v>0</v>
      </c>
      <c r="G49" s="211"/>
      <c r="H49" s="211"/>
      <c r="I49" s="212"/>
      <c r="J49" s="213"/>
      <c r="K49" s="213"/>
      <c r="L49" s="212"/>
      <c r="M49" s="214"/>
      <c r="N49" s="211"/>
      <c r="O49" s="199"/>
      <c r="P49" s="199"/>
    </row>
    <row r="50" spans="1:18" ht="12.75" customHeight="1">
      <c r="A50" s="302" t="s">
        <v>146</v>
      </c>
      <c r="B50" s="277">
        <f>SUM('5.Verdelingsmatrix lasten'!$C135:$R135)</f>
        <v>0</v>
      </c>
      <c r="C50" s="277">
        <f>SUM('5.Verdelingsmatrix lasten'!$S135,'5.Verdelingsmatrix lasten'!$AB135)</f>
        <v>0</v>
      </c>
      <c r="D50" s="277">
        <f>SUM('6.Verdelingsmatrix baten'!$C135:$R135)</f>
        <v>0</v>
      </c>
      <c r="E50" s="277">
        <f>SUM('6.Verdelingsmatrix baten'!$S135,'6.Verdelingsmatrix baten'!$AB135)</f>
        <v>0</v>
      </c>
      <c r="F50" s="294">
        <f t="shared" si="0"/>
        <v>0</v>
      </c>
      <c r="G50" s="211"/>
      <c r="H50" s="211"/>
      <c r="I50" s="212"/>
      <c r="J50" s="213"/>
      <c r="K50" s="213"/>
      <c r="L50" s="212"/>
      <c r="M50" s="214"/>
      <c r="N50" s="211"/>
      <c r="O50" s="217"/>
      <c r="P50" s="217"/>
      <c r="Q50" s="8"/>
      <c r="R50" s="8"/>
    </row>
    <row r="51" spans="1:18" ht="12.75" customHeight="1">
      <c r="A51" s="302" t="s">
        <v>148</v>
      </c>
      <c r="B51" s="277">
        <f>SUM('5.Verdelingsmatrix lasten'!$C136:$R136)</f>
        <v>0</v>
      </c>
      <c r="C51" s="277">
        <f>SUM('5.Verdelingsmatrix lasten'!$S136,'5.Verdelingsmatrix lasten'!$AB136)</f>
        <v>0</v>
      </c>
      <c r="D51" s="277">
        <f>SUM('6.Verdelingsmatrix baten'!$C136:$R136)</f>
        <v>0</v>
      </c>
      <c r="E51" s="277">
        <f>SUM('6.Verdelingsmatrix baten'!$S136,'6.Verdelingsmatrix baten'!$AB136)</f>
        <v>0</v>
      </c>
      <c r="F51" s="294">
        <f t="shared" si="0"/>
        <v>0</v>
      </c>
      <c r="G51" s="211"/>
      <c r="H51" s="211"/>
      <c r="I51" s="212"/>
      <c r="J51" s="213"/>
      <c r="K51" s="213"/>
      <c r="L51" s="212"/>
      <c r="M51" s="214"/>
      <c r="N51" s="211"/>
      <c r="O51" s="199"/>
      <c r="P51" s="199"/>
    </row>
    <row r="52" spans="1:18">
      <c r="A52" s="302" t="s">
        <v>149</v>
      </c>
      <c r="B52" s="277">
        <f>SUM('5.Verdelingsmatrix lasten'!$C137:$R137)</f>
        <v>0</v>
      </c>
      <c r="C52" s="277">
        <f>SUM('5.Verdelingsmatrix lasten'!$S137,'5.Verdelingsmatrix lasten'!$AB137)</f>
        <v>0</v>
      </c>
      <c r="D52" s="277">
        <f>SUM('6.Verdelingsmatrix baten'!$C137:$R137)</f>
        <v>0</v>
      </c>
      <c r="E52" s="277">
        <f>SUM('6.Verdelingsmatrix baten'!$S137,'6.Verdelingsmatrix baten'!$AB137)</f>
        <v>0</v>
      </c>
      <c r="F52" s="294">
        <f t="shared" si="0"/>
        <v>0</v>
      </c>
      <c r="G52" s="211"/>
      <c r="H52" s="211"/>
      <c r="I52" s="212"/>
      <c r="J52" s="213"/>
      <c r="K52" s="213"/>
      <c r="L52" s="212"/>
      <c r="M52" s="214"/>
      <c r="N52" s="211"/>
      <c r="O52" s="199"/>
      <c r="P52" s="199"/>
    </row>
    <row r="53" spans="1:18" ht="12.75" customHeight="1">
      <c r="A53" s="302" t="s">
        <v>163</v>
      </c>
      <c r="B53" s="277">
        <f>SUM('5.Verdelingsmatrix lasten'!$C146:$R146)</f>
        <v>0</v>
      </c>
      <c r="C53" s="277">
        <f>SUM('5.Verdelingsmatrix lasten'!$S146,'5.Verdelingsmatrix lasten'!$AB146)</f>
        <v>0</v>
      </c>
      <c r="D53" s="277">
        <f>SUM('6.Verdelingsmatrix baten'!$C146:$R146)</f>
        <v>0</v>
      </c>
      <c r="E53" s="277">
        <f>SUM('6.Verdelingsmatrix baten'!$S146,'6.Verdelingsmatrix baten'!$AB146)</f>
        <v>0</v>
      </c>
      <c r="F53" s="294">
        <f t="shared" si="0"/>
        <v>0</v>
      </c>
      <c r="G53" s="211"/>
      <c r="H53" s="211"/>
      <c r="I53" s="212"/>
      <c r="J53" s="213"/>
      <c r="K53" s="213"/>
      <c r="L53" s="212"/>
      <c r="M53" s="214"/>
      <c r="N53" s="211"/>
      <c r="O53" s="199"/>
      <c r="P53" s="199"/>
    </row>
    <row r="54" spans="1:18" ht="12.75" customHeight="1">
      <c r="A54" s="302" t="s">
        <v>165</v>
      </c>
      <c r="B54" s="277">
        <f>SUM('5.Verdelingsmatrix lasten'!$C147:$R147)</f>
        <v>0</v>
      </c>
      <c r="C54" s="277">
        <f>SUM('5.Verdelingsmatrix lasten'!$S147,'5.Verdelingsmatrix lasten'!$AB147)</f>
        <v>0</v>
      </c>
      <c r="D54" s="277">
        <f>SUM('6.Verdelingsmatrix baten'!$C147:$R147)</f>
        <v>0</v>
      </c>
      <c r="E54" s="277">
        <f>SUM('6.Verdelingsmatrix baten'!$S147,'6.Verdelingsmatrix baten'!$AB147)</f>
        <v>0</v>
      </c>
      <c r="F54" s="294">
        <f t="shared" si="0"/>
        <v>0</v>
      </c>
      <c r="G54" s="211"/>
      <c r="H54" s="211"/>
      <c r="I54" s="212"/>
      <c r="J54" s="213"/>
      <c r="K54" s="213"/>
      <c r="L54" s="212"/>
      <c r="M54" s="214"/>
      <c r="N54" s="211"/>
      <c r="O54" s="199"/>
      <c r="P54" s="199"/>
    </row>
    <row r="55" spans="1:18" ht="12.75" customHeight="1">
      <c r="A55" s="302" t="s">
        <v>167</v>
      </c>
      <c r="B55" s="277">
        <f>SUM('5.Verdelingsmatrix lasten'!$C148:$R148)</f>
        <v>0</v>
      </c>
      <c r="C55" s="277">
        <f>SUM('5.Verdelingsmatrix lasten'!$S148,'5.Verdelingsmatrix lasten'!$AB148)</f>
        <v>0</v>
      </c>
      <c r="D55" s="277">
        <f>SUM('6.Verdelingsmatrix baten'!$C148:$R148)</f>
        <v>0</v>
      </c>
      <c r="E55" s="277">
        <f>SUM('6.Verdelingsmatrix baten'!$S148,'6.Verdelingsmatrix baten'!$AB148)</f>
        <v>0</v>
      </c>
      <c r="F55" s="294">
        <f t="shared" si="0"/>
        <v>0</v>
      </c>
      <c r="G55" s="211"/>
      <c r="H55" s="211"/>
      <c r="I55" s="212"/>
      <c r="J55" s="213"/>
      <c r="K55" s="213"/>
      <c r="L55" s="212"/>
      <c r="M55" s="214"/>
      <c r="N55" s="211"/>
      <c r="O55" s="199"/>
      <c r="P55" s="199"/>
    </row>
    <row r="56" spans="1:18" ht="12.75" customHeight="1">
      <c r="A56" s="302" t="s">
        <v>169</v>
      </c>
      <c r="B56" s="277">
        <f>SUM('5.Verdelingsmatrix lasten'!$C149:$R149)</f>
        <v>0</v>
      </c>
      <c r="C56" s="277">
        <f>SUM('5.Verdelingsmatrix lasten'!$S149,'5.Verdelingsmatrix lasten'!$AB149)</f>
        <v>0</v>
      </c>
      <c r="D56" s="277">
        <f>SUM('6.Verdelingsmatrix baten'!$C149:$R149)</f>
        <v>0</v>
      </c>
      <c r="E56" s="277">
        <f>SUM('6.Verdelingsmatrix baten'!$S149,'6.Verdelingsmatrix baten'!$AB149)</f>
        <v>0</v>
      </c>
      <c r="F56" s="294">
        <f t="shared" si="0"/>
        <v>0</v>
      </c>
      <c r="G56" s="211"/>
      <c r="H56" s="211"/>
      <c r="I56" s="212"/>
      <c r="J56" s="213"/>
      <c r="K56" s="213"/>
      <c r="L56" s="212"/>
      <c r="M56" s="214"/>
      <c r="N56" s="211"/>
      <c r="O56" s="199"/>
      <c r="P56" s="199"/>
    </row>
    <row r="57" spans="1:18" ht="12.75" customHeight="1">
      <c r="A57" s="302" t="s">
        <v>171</v>
      </c>
      <c r="B57" s="277">
        <f>SUM('5.Verdelingsmatrix lasten'!$C150:$R150)</f>
        <v>0</v>
      </c>
      <c r="C57" s="277">
        <f>SUM('5.Verdelingsmatrix lasten'!$S150,'5.Verdelingsmatrix lasten'!$AB150)</f>
        <v>0</v>
      </c>
      <c r="D57" s="277">
        <f>SUM('6.Verdelingsmatrix baten'!$C150:$R150)</f>
        <v>0</v>
      </c>
      <c r="E57" s="277">
        <f>SUM('6.Verdelingsmatrix baten'!$S150,'6.Verdelingsmatrix baten'!$AB150)</f>
        <v>0</v>
      </c>
      <c r="F57" s="294">
        <f t="shared" si="0"/>
        <v>0</v>
      </c>
      <c r="G57" s="211"/>
      <c r="H57" s="211"/>
      <c r="I57" s="212"/>
      <c r="J57" s="213"/>
      <c r="K57" s="213"/>
      <c r="L57" s="212"/>
      <c r="M57" s="214"/>
      <c r="N57" s="211"/>
      <c r="O57" s="199"/>
      <c r="P57" s="199"/>
    </row>
    <row r="58" spans="1:18" ht="12.75" customHeight="1">
      <c r="A58" s="302" t="s">
        <v>173</v>
      </c>
      <c r="B58" s="277">
        <f>SUM('5.Verdelingsmatrix lasten'!$C151:$R151)</f>
        <v>0</v>
      </c>
      <c r="C58" s="277">
        <f>SUM('5.Verdelingsmatrix lasten'!$S151,'5.Verdelingsmatrix lasten'!$AB151)</f>
        <v>0</v>
      </c>
      <c r="D58" s="277">
        <f>SUM('6.Verdelingsmatrix baten'!$C151:$R151)</f>
        <v>0</v>
      </c>
      <c r="E58" s="277">
        <f>SUM('6.Verdelingsmatrix baten'!$S151,'6.Verdelingsmatrix baten'!$AB151)</f>
        <v>0</v>
      </c>
      <c r="F58" s="294">
        <f t="shared" si="0"/>
        <v>0</v>
      </c>
      <c r="G58" s="211"/>
      <c r="H58" s="211"/>
      <c r="I58" s="212"/>
      <c r="J58" s="213"/>
      <c r="K58" s="213"/>
      <c r="L58" s="212"/>
      <c r="M58" s="214"/>
      <c r="N58" s="211"/>
      <c r="O58" s="199"/>
      <c r="P58" s="199"/>
    </row>
    <row r="59" spans="1:18" ht="12.75" customHeight="1">
      <c r="A59" s="302" t="s">
        <v>174</v>
      </c>
      <c r="B59" s="277">
        <f>SUM('5.Verdelingsmatrix lasten'!$C152:$R152)</f>
        <v>0</v>
      </c>
      <c r="C59" s="277">
        <f>SUM('5.Verdelingsmatrix lasten'!$S152,'5.Verdelingsmatrix lasten'!$AB152)</f>
        <v>0</v>
      </c>
      <c r="D59" s="277">
        <f>SUM('6.Verdelingsmatrix baten'!$C152:$R152)</f>
        <v>0</v>
      </c>
      <c r="E59" s="277">
        <f>SUM('6.Verdelingsmatrix baten'!$S152,'6.Verdelingsmatrix baten'!$AB152)</f>
        <v>0</v>
      </c>
      <c r="F59" s="294">
        <f t="shared" si="0"/>
        <v>0</v>
      </c>
      <c r="G59" s="211"/>
      <c r="H59" s="211"/>
      <c r="I59" s="212"/>
      <c r="J59" s="213"/>
      <c r="K59" s="213"/>
      <c r="L59" s="212"/>
      <c r="M59" s="214"/>
      <c r="N59" s="211"/>
      <c r="O59" s="199"/>
      <c r="P59" s="199"/>
    </row>
    <row r="60" spans="1:18" ht="12.75" customHeight="1">
      <c r="A60" s="302" t="s">
        <v>176</v>
      </c>
      <c r="B60" s="277">
        <f>SUM('5.Verdelingsmatrix lasten'!$C153:$R153)</f>
        <v>0</v>
      </c>
      <c r="C60" s="277">
        <f>SUM('5.Verdelingsmatrix lasten'!$S153,'5.Verdelingsmatrix lasten'!$AB153)</f>
        <v>0</v>
      </c>
      <c r="D60" s="277">
        <f>SUM('6.Verdelingsmatrix baten'!$C153:$R153)</f>
        <v>0</v>
      </c>
      <c r="E60" s="277">
        <f>SUM('6.Verdelingsmatrix baten'!$S153,'6.Verdelingsmatrix baten'!$AB153)</f>
        <v>0</v>
      </c>
      <c r="F60" s="294">
        <f t="shared" si="0"/>
        <v>0</v>
      </c>
      <c r="G60" s="211"/>
      <c r="H60" s="211"/>
      <c r="I60" s="212"/>
      <c r="J60" s="213"/>
      <c r="K60" s="213"/>
      <c r="L60" s="212"/>
      <c r="M60" s="214"/>
      <c r="N60" s="211"/>
      <c r="O60" s="199"/>
      <c r="P60" s="199"/>
    </row>
    <row r="61" spans="1:18" ht="12.75" customHeight="1">
      <c r="A61" s="302" t="s">
        <v>180</v>
      </c>
      <c r="B61" s="277">
        <f>SUM('5.Verdelingsmatrix lasten'!$C157:$R157)</f>
        <v>0</v>
      </c>
      <c r="C61" s="277">
        <f>SUM('5.Verdelingsmatrix lasten'!$S157,'5.Verdelingsmatrix lasten'!$AB157)</f>
        <v>0</v>
      </c>
      <c r="D61" s="277">
        <f>SUM('6.Verdelingsmatrix baten'!$C157:$R157)</f>
        <v>0</v>
      </c>
      <c r="E61" s="277">
        <f>SUM('6.Verdelingsmatrix baten'!$S157,'6.Verdelingsmatrix baten'!$AB157)</f>
        <v>0</v>
      </c>
      <c r="F61" s="294">
        <f t="shared" si="0"/>
        <v>0</v>
      </c>
      <c r="G61" s="211"/>
      <c r="H61" s="211"/>
      <c r="I61" s="212"/>
      <c r="J61" s="213"/>
      <c r="K61" s="213"/>
      <c r="L61" s="212"/>
      <c r="M61" s="214"/>
      <c r="N61" s="211"/>
      <c r="O61" s="199"/>
      <c r="P61" s="199"/>
    </row>
    <row r="62" spans="1:18" ht="12.75" customHeight="1">
      <c r="A62" s="302" t="s">
        <v>182</v>
      </c>
      <c r="B62" s="277">
        <f>SUM('5.Verdelingsmatrix lasten'!$C158:$R158)</f>
        <v>0</v>
      </c>
      <c r="C62" s="277">
        <f>SUM('5.Verdelingsmatrix lasten'!$S158,'5.Verdelingsmatrix lasten'!$AB158)</f>
        <v>0</v>
      </c>
      <c r="D62" s="277">
        <f>SUM('6.Verdelingsmatrix baten'!$C158:$R158)</f>
        <v>0</v>
      </c>
      <c r="E62" s="277">
        <f>SUM('6.Verdelingsmatrix baten'!$S158,'6.Verdelingsmatrix baten'!$AB158)</f>
        <v>0</v>
      </c>
      <c r="F62" s="294">
        <f t="shared" si="0"/>
        <v>0</v>
      </c>
      <c r="G62" s="211"/>
      <c r="H62" s="211"/>
      <c r="I62" s="212"/>
      <c r="J62" s="213"/>
      <c r="K62" s="213"/>
      <c r="L62" s="212"/>
      <c r="M62" s="214"/>
      <c r="N62" s="211"/>
      <c r="O62" s="199"/>
      <c r="P62" s="199"/>
    </row>
    <row r="63" spans="1:18">
      <c r="A63" s="302" t="s">
        <v>183</v>
      </c>
      <c r="B63" s="277">
        <f>SUM('5.Verdelingsmatrix lasten'!$C159:$R159)</f>
        <v>0</v>
      </c>
      <c r="C63" s="277">
        <f>SUM('5.Verdelingsmatrix lasten'!$S159,'5.Verdelingsmatrix lasten'!$AB159)</f>
        <v>0</v>
      </c>
      <c r="D63" s="277">
        <f>SUM('6.Verdelingsmatrix baten'!$C159:$R159)</f>
        <v>0</v>
      </c>
      <c r="E63" s="277">
        <f>SUM('6.Verdelingsmatrix baten'!$S159,'6.Verdelingsmatrix baten'!$AB159)</f>
        <v>0</v>
      </c>
      <c r="F63" s="294">
        <f t="shared" si="0"/>
        <v>0</v>
      </c>
      <c r="G63" s="211"/>
      <c r="H63" s="211"/>
      <c r="I63" s="212"/>
      <c r="J63" s="213"/>
      <c r="K63" s="213"/>
      <c r="L63" s="212"/>
      <c r="M63" s="214"/>
      <c r="N63" s="211"/>
      <c r="O63" s="199"/>
      <c r="P63" s="199"/>
    </row>
    <row r="64" spans="1:18" ht="13.5" thickBot="1">
      <c r="A64" s="322" t="s">
        <v>185</v>
      </c>
      <c r="B64" s="299">
        <f>SUM('5.Verdelingsmatrix lasten'!$C160:$R160)</f>
        <v>0</v>
      </c>
      <c r="C64" s="299">
        <f>SUM('5.Verdelingsmatrix lasten'!$S160,'5.Verdelingsmatrix lasten'!$AB160)</f>
        <v>0</v>
      </c>
      <c r="D64" s="299">
        <f>SUM('6.Verdelingsmatrix baten'!$C160:$R160)</f>
        <v>0</v>
      </c>
      <c r="E64" s="299">
        <f>SUM('6.Verdelingsmatrix baten'!$S160,'6.Verdelingsmatrix baten'!$AB160)</f>
        <v>0</v>
      </c>
      <c r="F64" s="298">
        <f t="shared" si="0"/>
        <v>0</v>
      </c>
      <c r="G64" s="211"/>
      <c r="H64" s="211"/>
      <c r="I64" s="212"/>
      <c r="J64" s="213"/>
      <c r="K64" s="213"/>
      <c r="L64" s="212"/>
      <c r="M64" s="214"/>
      <c r="N64" s="211"/>
      <c r="O64" s="199"/>
      <c r="P64" s="199"/>
    </row>
    <row r="65" spans="1:18" ht="12.75" customHeight="1">
      <c r="A65" s="291" t="s">
        <v>438</v>
      </c>
      <c r="B65" s="319"/>
      <c r="C65" s="319"/>
      <c r="D65" s="319"/>
      <c r="E65" s="319"/>
      <c r="F65" s="327">
        <f>SUM(F38:F64)</f>
        <v>0</v>
      </c>
      <c r="G65" s="218"/>
      <c r="H65" s="219"/>
      <c r="I65" s="220"/>
      <c r="J65" s="219"/>
      <c r="K65" s="219"/>
      <c r="L65" s="206"/>
      <c r="M65" s="214"/>
      <c r="N65" s="218"/>
      <c r="O65" s="217"/>
      <c r="P65" s="217"/>
      <c r="Q65" s="8"/>
      <c r="R65" s="8"/>
    </row>
    <row r="66" spans="1:18" ht="12.75" customHeight="1">
      <c r="A66" s="282" t="s">
        <v>433</v>
      </c>
      <c r="B66" s="325">
        <f>+F65</f>
        <v>0</v>
      </c>
      <c r="C66" s="307"/>
      <c r="D66" s="307"/>
      <c r="E66" s="307"/>
      <c r="F66" s="307"/>
      <c r="G66" s="213"/>
      <c r="H66" s="208"/>
      <c r="I66" s="212"/>
      <c r="J66" s="208"/>
      <c r="K66" s="208"/>
      <c r="L66" s="221"/>
      <c r="M66" s="208"/>
      <c r="N66" s="208"/>
      <c r="O66" s="217"/>
      <c r="P66" s="217"/>
      <c r="Q66" s="8"/>
      <c r="R66" s="8"/>
    </row>
    <row r="67" spans="1:18" ht="12.75" customHeight="1">
      <c r="A67" s="302" t="s">
        <v>439</v>
      </c>
      <c r="B67" s="310"/>
      <c r="C67" s="310"/>
      <c r="D67" s="310"/>
      <c r="E67" s="310"/>
      <c r="F67" s="310"/>
      <c r="G67" s="213"/>
      <c r="H67" s="211"/>
      <c r="I67" s="222"/>
      <c r="J67" s="208"/>
      <c r="K67" s="208"/>
      <c r="L67" s="221"/>
      <c r="M67" s="211"/>
      <c r="N67" s="211"/>
      <c r="O67" s="217"/>
      <c r="P67" s="217"/>
      <c r="Q67" s="8"/>
      <c r="R67" s="8"/>
    </row>
    <row r="68" spans="1:18" ht="21" customHeight="1">
      <c r="A68" s="302" t="s">
        <v>440</v>
      </c>
      <c r="B68" s="286">
        <f>+B66/A24</f>
        <v>0</v>
      </c>
      <c r="C68" s="310"/>
      <c r="D68" s="310"/>
      <c r="E68" s="310"/>
      <c r="F68" s="310"/>
      <c r="G68" s="223"/>
      <c r="H68" s="211"/>
      <c r="I68" s="222"/>
      <c r="J68" s="208"/>
      <c r="K68" s="208"/>
      <c r="L68" s="221"/>
      <c r="M68" s="211"/>
      <c r="N68" s="211"/>
      <c r="O68" s="199"/>
      <c r="P68" s="199"/>
    </row>
    <row r="69" spans="1:18" s="12" customFormat="1" ht="13.5" customHeight="1">
      <c r="A69" s="292" t="s">
        <v>435</v>
      </c>
      <c r="B69" s="326" t="str">
        <f>IF(B68="nvt","onvoldoende",IF(B68&lt;=0.01,"voldoende","onvoldoende"))</f>
        <v>voldoende</v>
      </c>
      <c r="C69" s="313"/>
      <c r="D69" s="313"/>
      <c r="E69" s="313"/>
      <c r="F69" s="313"/>
      <c r="G69" s="224"/>
      <c r="H69" s="208"/>
      <c r="I69" s="212"/>
      <c r="J69" s="208"/>
      <c r="K69" s="208"/>
      <c r="L69" s="208"/>
      <c r="M69" s="208"/>
      <c r="N69" s="211"/>
      <c r="O69" s="199"/>
      <c r="P69" s="199"/>
      <c r="Q69" s="6"/>
      <c r="R69" s="6"/>
    </row>
    <row r="70" spans="1:18" ht="12.75" customHeight="1">
      <c r="F70" s="6"/>
      <c r="G70" s="199"/>
      <c r="H70" s="199"/>
      <c r="I70" s="199"/>
      <c r="J70" s="199"/>
      <c r="K70" s="199"/>
      <c r="L70" s="199"/>
      <c r="M70" s="199"/>
      <c r="N70" s="199"/>
      <c r="O70" s="199"/>
      <c r="P70" s="199"/>
    </row>
    <row r="71" spans="1:18" ht="12.75" customHeight="1">
      <c r="F71" s="6"/>
      <c r="G71" s="199"/>
      <c r="H71" s="199"/>
      <c r="I71" s="199"/>
      <c r="J71" s="199"/>
      <c r="K71" s="199"/>
      <c r="L71" s="199"/>
      <c r="M71" s="199"/>
      <c r="N71" s="199"/>
      <c r="O71" s="199"/>
      <c r="P71" s="199"/>
    </row>
    <row r="72" spans="1:18" ht="12.75" customHeight="1">
      <c r="A72" s="316" t="s">
        <v>520</v>
      </c>
      <c r="B72" s="206"/>
      <c r="C72" s="225"/>
      <c r="D72" s="226"/>
      <c r="E72" s="204"/>
      <c r="F72" s="204"/>
      <c r="G72" s="227"/>
      <c r="H72" s="204"/>
      <c r="I72" s="204"/>
      <c r="J72" s="199"/>
      <c r="K72" s="199"/>
      <c r="L72" s="199"/>
      <c r="M72" s="199"/>
      <c r="N72" s="199"/>
      <c r="O72" s="199"/>
      <c r="P72" s="199"/>
    </row>
    <row r="73" spans="1:18" ht="12.75" customHeight="1">
      <c r="A73" s="272" t="s">
        <v>441</v>
      </c>
      <c r="B73" s="317" t="s">
        <v>442</v>
      </c>
      <c r="C73" s="317" t="s">
        <v>443</v>
      </c>
      <c r="D73" s="317" t="s">
        <v>444</v>
      </c>
      <c r="E73" s="317" t="s">
        <v>445</v>
      </c>
      <c r="F73" s="317" t="s">
        <v>446</v>
      </c>
      <c r="G73" s="317" t="s">
        <v>447</v>
      </c>
      <c r="H73" s="317" t="s">
        <v>448</v>
      </c>
      <c r="I73" s="318" t="s">
        <v>439</v>
      </c>
      <c r="J73" s="199"/>
      <c r="K73" s="199"/>
      <c r="L73" s="199"/>
      <c r="M73" s="199"/>
      <c r="N73" s="199"/>
      <c r="O73" s="199"/>
      <c r="P73" s="199"/>
    </row>
    <row r="74" spans="1:18" ht="12.75" customHeight="1">
      <c r="A74" s="300" t="s">
        <v>90</v>
      </c>
      <c r="B74" s="276">
        <f>'7.Balansstanden'!$F$7</f>
        <v>0</v>
      </c>
      <c r="C74" s="276">
        <f>+'7.Balansstanden'!$H$7</f>
        <v>0</v>
      </c>
      <c r="D74" s="293">
        <f t="shared" ref="D74:D82" si="1">+C74-B74</f>
        <v>0</v>
      </c>
      <c r="E74" s="276">
        <f>+'5.Verdelingsmatrix lasten'!$AD105</f>
        <v>0</v>
      </c>
      <c r="F74" s="276">
        <f>+'6.Verdelingsmatrix baten'!$AD105</f>
        <v>0</v>
      </c>
      <c r="G74" s="293">
        <f t="shared" ref="G74:G82" si="2">+E74-F74</f>
        <v>0</v>
      </c>
      <c r="H74" s="301">
        <f t="shared" ref="H74:H82" si="3">ABS(+D74-G74)</f>
        <v>0</v>
      </c>
      <c r="I74" s="293">
        <f t="shared" ref="I74:I82" si="4">ABS(B74)+ABS(C74)</f>
        <v>0</v>
      </c>
      <c r="J74" s="199"/>
      <c r="K74" s="199"/>
      <c r="L74" s="199"/>
      <c r="M74" s="199"/>
      <c r="N74" s="199"/>
      <c r="O74" s="199"/>
      <c r="P74" s="199"/>
    </row>
    <row r="75" spans="1:18" ht="12.75" customHeight="1">
      <c r="A75" s="302" t="s">
        <v>92</v>
      </c>
      <c r="B75" s="303">
        <f>'7.Balansstanden'!$F$8</f>
        <v>0</v>
      </c>
      <c r="C75" s="303">
        <f>+'7.Balansstanden'!$H$8</f>
        <v>0</v>
      </c>
      <c r="D75" s="304">
        <f t="shared" si="1"/>
        <v>0</v>
      </c>
      <c r="E75" s="303">
        <f>+'5.Verdelingsmatrix lasten'!$AD106</f>
        <v>0</v>
      </c>
      <c r="F75" s="303">
        <f>+'6.Verdelingsmatrix baten'!$AD106</f>
        <v>0</v>
      </c>
      <c r="G75" s="304">
        <f t="shared" si="2"/>
        <v>0</v>
      </c>
      <c r="H75" s="305">
        <f t="shared" si="3"/>
        <v>0</v>
      </c>
      <c r="I75" s="304">
        <f t="shared" si="4"/>
        <v>0</v>
      </c>
      <c r="J75" s="199"/>
      <c r="K75" s="199"/>
      <c r="L75" s="199"/>
      <c r="M75" s="199"/>
      <c r="N75" s="199"/>
      <c r="O75" s="199"/>
      <c r="P75" s="199"/>
    </row>
    <row r="76" spans="1:18" ht="12.75" customHeight="1">
      <c r="A76" s="302" t="s">
        <v>94</v>
      </c>
      <c r="B76" s="303">
        <f>'7.Balansstanden'!$F$10</f>
        <v>0</v>
      </c>
      <c r="C76" s="303">
        <f>+'7.Balansstanden'!$H$10</f>
        <v>0</v>
      </c>
      <c r="D76" s="304">
        <f t="shared" si="1"/>
        <v>0</v>
      </c>
      <c r="E76" s="303">
        <f>+'5.Verdelingsmatrix lasten'!$AD107</f>
        <v>0</v>
      </c>
      <c r="F76" s="303">
        <f>+'6.Verdelingsmatrix baten'!$AD107</f>
        <v>0</v>
      </c>
      <c r="G76" s="304">
        <f t="shared" si="2"/>
        <v>0</v>
      </c>
      <c r="H76" s="305">
        <f t="shared" si="3"/>
        <v>0</v>
      </c>
      <c r="I76" s="304">
        <f t="shared" si="4"/>
        <v>0</v>
      </c>
      <c r="J76" s="199"/>
      <c r="K76" s="199"/>
      <c r="L76" s="199"/>
      <c r="M76" s="199"/>
      <c r="N76" s="199"/>
      <c r="O76" s="199"/>
      <c r="P76" s="199"/>
    </row>
    <row r="77" spans="1:18" ht="12.75" customHeight="1">
      <c r="A77" s="302" t="s">
        <v>96</v>
      </c>
      <c r="B77" s="303">
        <f>'7.Balansstanden'!$F$11</f>
        <v>0</v>
      </c>
      <c r="C77" s="303">
        <f>+'7.Balansstanden'!$H$11</f>
        <v>0</v>
      </c>
      <c r="D77" s="304">
        <f t="shared" si="1"/>
        <v>0</v>
      </c>
      <c r="E77" s="303">
        <f>+'5.Verdelingsmatrix lasten'!$AD108</f>
        <v>0</v>
      </c>
      <c r="F77" s="303">
        <f>+'6.Verdelingsmatrix baten'!$AD108</f>
        <v>0</v>
      </c>
      <c r="G77" s="304">
        <f t="shared" si="2"/>
        <v>0</v>
      </c>
      <c r="H77" s="305">
        <f t="shared" si="3"/>
        <v>0</v>
      </c>
      <c r="I77" s="304">
        <f t="shared" si="4"/>
        <v>0</v>
      </c>
      <c r="J77" s="199"/>
      <c r="K77" s="199"/>
      <c r="L77" s="199"/>
      <c r="M77" s="199"/>
      <c r="N77" s="199"/>
      <c r="O77" s="199"/>
      <c r="P77" s="199"/>
    </row>
    <row r="78" spans="1:18" ht="12.75" customHeight="1">
      <c r="A78" s="302" t="s">
        <v>98</v>
      </c>
      <c r="B78" s="303">
        <f>'7.Balansstanden'!$F$12</f>
        <v>39389.325020000004</v>
      </c>
      <c r="C78" s="303">
        <f>+'7.Balansstanden'!$H$12</f>
        <v>38199.372299999995</v>
      </c>
      <c r="D78" s="304">
        <f t="shared" si="1"/>
        <v>-1189.9527200000084</v>
      </c>
      <c r="E78" s="303">
        <f>+'5.Verdelingsmatrix lasten'!$AD109</f>
        <v>1165.1162400000001</v>
      </c>
      <c r="F78" s="303">
        <f>+'6.Verdelingsmatrix baten'!$AD109</f>
        <v>2355.0689600000001</v>
      </c>
      <c r="G78" s="304">
        <f t="shared" si="2"/>
        <v>-1189.95272</v>
      </c>
      <c r="H78" s="305">
        <f t="shared" si="3"/>
        <v>8.4128259913995862E-12</v>
      </c>
      <c r="I78" s="304">
        <f t="shared" si="4"/>
        <v>77588.697320000007</v>
      </c>
      <c r="J78" s="199"/>
      <c r="K78" s="199"/>
      <c r="L78" s="199"/>
      <c r="M78" s="199"/>
      <c r="N78" s="199"/>
      <c r="O78" s="199"/>
      <c r="P78" s="199"/>
    </row>
    <row r="79" spans="1:18" ht="12.75" customHeight="1">
      <c r="A79" s="302" t="s">
        <v>100</v>
      </c>
      <c r="B79" s="303">
        <f>'7.Balansstanden'!$F$13</f>
        <v>81274.417159999997</v>
      </c>
      <c r="C79" s="303">
        <f>+'7.Balansstanden'!$H$13</f>
        <v>61967.116030000005</v>
      </c>
      <c r="D79" s="304">
        <f t="shared" si="1"/>
        <v>-19307.301129999993</v>
      </c>
      <c r="E79" s="303">
        <f>+'5.Verdelingsmatrix lasten'!$AD110</f>
        <v>79629.620439999999</v>
      </c>
      <c r="F79" s="303">
        <f>+'6.Verdelingsmatrix baten'!$AD110</f>
        <v>98936.921570000006</v>
      </c>
      <c r="G79" s="304">
        <f t="shared" si="2"/>
        <v>-19307.301130000007</v>
      </c>
      <c r="H79" s="305">
        <f t="shared" si="3"/>
        <v>1.4551915228366852E-11</v>
      </c>
      <c r="I79" s="304">
        <f t="shared" si="4"/>
        <v>143241.53318999999</v>
      </c>
      <c r="J79" s="199"/>
      <c r="K79" s="199"/>
      <c r="L79" s="199"/>
      <c r="M79" s="199"/>
      <c r="N79" s="199"/>
      <c r="O79" s="199"/>
      <c r="P79" s="199"/>
    </row>
    <row r="80" spans="1:18" ht="12.75" customHeight="1">
      <c r="A80" s="302" t="s">
        <v>102</v>
      </c>
      <c r="B80" s="303">
        <f>'7.Balansstanden'!$F$14</f>
        <v>0</v>
      </c>
      <c r="C80" s="303">
        <f>+'7.Balansstanden'!$H$14</f>
        <v>0</v>
      </c>
      <c r="D80" s="304">
        <f t="shared" si="1"/>
        <v>0</v>
      </c>
      <c r="E80" s="303">
        <f>+'5.Verdelingsmatrix lasten'!$AD111</f>
        <v>0</v>
      </c>
      <c r="F80" s="303">
        <f>+'6.Verdelingsmatrix baten'!$AD111</f>
        <v>0</v>
      </c>
      <c r="G80" s="304">
        <f t="shared" si="2"/>
        <v>0</v>
      </c>
      <c r="H80" s="305">
        <f t="shared" si="3"/>
        <v>0</v>
      </c>
      <c r="I80" s="304">
        <f t="shared" si="4"/>
        <v>0</v>
      </c>
      <c r="J80" s="199"/>
      <c r="K80" s="199"/>
      <c r="L80" s="199"/>
      <c r="M80" s="199"/>
      <c r="N80" s="199"/>
      <c r="O80" s="199"/>
      <c r="P80" s="199"/>
    </row>
    <row r="81" spans="1:16" ht="12.75" customHeight="1">
      <c r="A81" s="302" t="s">
        <v>104</v>
      </c>
      <c r="B81" s="303">
        <f>'7.Balansstanden'!$F$15</f>
        <v>2103.09764</v>
      </c>
      <c r="C81" s="303">
        <f>+'7.Balansstanden'!$H$15</f>
        <v>2017.0421899999999</v>
      </c>
      <c r="D81" s="304">
        <f t="shared" si="1"/>
        <v>-86.055450000000064</v>
      </c>
      <c r="E81" s="303">
        <f>+'5.Verdelingsmatrix lasten'!$AD112</f>
        <v>3.0794000000000001</v>
      </c>
      <c r="F81" s="303">
        <f>+'6.Verdelingsmatrix baten'!$AD112</f>
        <v>89.13485</v>
      </c>
      <c r="G81" s="304">
        <f t="shared" si="2"/>
        <v>-86.055449999999993</v>
      </c>
      <c r="H81" s="305">
        <f t="shared" si="3"/>
        <v>7.1054273576010019E-14</v>
      </c>
      <c r="I81" s="304">
        <f t="shared" si="4"/>
        <v>4120.1398300000001</v>
      </c>
      <c r="J81" s="199"/>
      <c r="K81" s="199"/>
      <c r="L81" s="199"/>
      <c r="M81" s="199"/>
      <c r="N81" s="199"/>
      <c r="O81" s="199"/>
      <c r="P81" s="199"/>
    </row>
    <row r="82" spans="1:16" ht="12.75" customHeight="1">
      <c r="A82" s="302" t="s">
        <v>106</v>
      </c>
      <c r="B82" s="303">
        <f>'7.Balansstanden'!$F$16</f>
        <v>196.773</v>
      </c>
      <c r="C82" s="303">
        <f>+'7.Balansstanden'!$H$16</f>
        <v>196.773</v>
      </c>
      <c r="D82" s="304">
        <f t="shared" si="1"/>
        <v>0</v>
      </c>
      <c r="E82" s="303">
        <f>+'5.Verdelingsmatrix lasten'!$AD113</f>
        <v>0</v>
      </c>
      <c r="F82" s="303">
        <f>+'6.Verdelingsmatrix baten'!$AD113</f>
        <v>0</v>
      </c>
      <c r="G82" s="304">
        <f t="shared" si="2"/>
        <v>0</v>
      </c>
      <c r="H82" s="305">
        <f t="shared" si="3"/>
        <v>0</v>
      </c>
      <c r="I82" s="304">
        <f t="shared" si="4"/>
        <v>393.54599999999999</v>
      </c>
      <c r="J82" s="199"/>
      <c r="K82" s="199"/>
      <c r="L82" s="199"/>
      <c r="M82" s="199"/>
      <c r="N82" s="199"/>
      <c r="O82" s="199"/>
      <c r="P82" s="199"/>
    </row>
    <row r="83" spans="1:16" ht="12.75" customHeight="1">
      <c r="A83" s="302" t="s">
        <v>108</v>
      </c>
      <c r="B83" s="303">
        <f>+'7.Balansstanden'!$F$18</f>
        <v>2299.39275</v>
      </c>
      <c r="C83" s="303">
        <f>+'7.Balansstanden'!$H$18</f>
        <v>2283.6302099999998</v>
      </c>
      <c r="D83" s="304">
        <f t="shared" ref="D83:D120" si="5">+C83-B83</f>
        <v>-15.762540000000172</v>
      </c>
      <c r="E83" s="303">
        <f>+'5.Verdelingsmatrix lasten'!$AD114</f>
        <v>1</v>
      </c>
      <c r="F83" s="303">
        <f>+'6.Verdelingsmatrix baten'!$AD114</f>
        <v>16.762520000000002</v>
      </c>
      <c r="G83" s="304">
        <f t="shared" ref="G83:G103" si="6">+E83-F83</f>
        <v>-15.762520000000002</v>
      </c>
      <c r="H83" s="305">
        <f t="shared" ref="H83:H120" si="7">ABS(+D83-G83)</f>
        <v>2.0000000169773102E-5</v>
      </c>
      <c r="I83" s="304">
        <f t="shared" ref="I83:I120" si="8">ABS(B83)+ABS(C83)</f>
        <v>4583.0229600000002</v>
      </c>
      <c r="J83" s="199"/>
      <c r="K83" s="199"/>
      <c r="L83" s="199"/>
      <c r="M83" s="199"/>
      <c r="N83" s="199"/>
      <c r="O83" s="199"/>
      <c r="P83" s="199"/>
    </row>
    <row r="84" spans="1:16" ht="12.75" customHeight="1">
      <c r="A84" s="302" t="s">
        <v>110</v>
      </c>
      <c r="B84" s="277">
        <f>+'7.Balansstanden'!$F$19</f>
        <v>0</v>
      </c>
      <c r="C84" s="277">
        <f>+'7.Balansstanden'!$H$19</f>
        <v>0</v>
      </c>
      <c r="D84" s="294">
        <f t="shared" si="5"/>
        <v>0</v>
      </c>
      <c r="E84" s="277">
        <f>+'5.Verdelingsmatrix lasten'!$AD115</f>
        <v>0</v>
      </c>
      <c r="F84" s="277">
        <f>+'6.Verdelingsmatrix baten'!$AD115</f>
        <v>0</v>
      </c>
      <c r="G84" s="294">
        <f t="shared" si="6"/>
        <v>0</v>
      </c>
      <c r="H84" s="306">
        <f t="shared" si="7"/>
        <v>0</v>
      </c>
      <c r="I84" s="294">
        <f t="shared" si="8"/>
        <v>0</v>
      </c>
      <c r="J84" s="199"/>
      <c r="K84" s="199"/>
      <c r="L84" s="199"/>
      <c r="M84" s="199"/>
      <c r="N84" s="199"/>
      <c r="O84" s="199"/>
      <c r="P84" s="199"/>
    </row>
    <row r="85" spans="1:16" ht="12.75" customHeight="1">
      <c r="A85" s="302" t="s">
        <v>112</v>
      </c>
      <c r="B85" s="277">
        <f>+'7.Balansstanden'!$F$20</f>
        <v>0</v>
      </c>
      <c r="C85" s="277">
        <f>+'7.Balansstanden'!$H$20</f>
        <v>0</v>
      </c>
      <c r="D85" s="294">
        <f t="shared" si="5"/>
        <v>0</v>
      </c>
      <c r="E85" s="277">
        <f>+'5.Verdelingsmatrix lasten'!$AD116</f>
        <v>0</v>
      </c>
      <c r="F85" s="277">
        <f>+'6.Verdelingsmatrix baten'!$AD116</f>
        <v>0</v>
      </c>
      <c r="G85" s="294">
        <f t="shared" si="6"/>
        <v>0</v>
      </c>
      <c r="H85" s="306">
        <f t="shared" si="7"/>
        <v>0</v>
      </c>
      <c r="I85" s="294">
        <f t="shared" si="8"/>
        <v>0</v>
      </c>
      <c r="J85" s="199"/>
      <c r="K85" s="199"/>
      <c r="L85" s="199"/>
      <c r="M85" s="199"/>
      <c r="N85" s="199"/>
      <c r="O85" s="199"/>
      <c r="P85" s="199"/>
    </row>
    <row r="86" spans="1:16" ht="12.75" customHeight="1">
      <c r="A86" s="302" t="s">
        <v>114</v>
      </c>
      <c r="B86" s="277">
        <f>+'7.Balansstanden'!$F$21</f>
        <v>0</v>
      </c>
      <c r="C86" s="277">
        <f>+'7.Balansstanden'!$H$21</f>
        <v>0</v>
      </c>
      <c r="D86" s="294">
        <f t="shared" si="5"/>
        <v>0</v>
      </c>
      <c r="E86" s="277">
        <f>+'5.Verdelingsmatrix lasten'!$AD117</f>
        <v>0</v>
      </c>
      <c r="F86" s="277">
        <f>+'6.Verdelingsmatrix baten'!$AD117</f>
        <v>0</v>
      </c>
      <c r="G86" s="294">
        <f t="shared" si="6"/>
        <v>0</v>
      </c>
      <c r="H86" s="306">
        <f t="shared" si="7"/>
        <v>0</v>
      </c>
      <c r="I86" s="294">
        <f t="shared" si="8"/>
        <v>0</v>
      </c>
      <c r="J86" s="199"/>
      <c r="K86" s="199"/>
      <c r="L86" s="199"/>
      <c r="M86" s="199"/>
      <c r="N86" s="199"/>
      <c r="O86" s="199"/>
      <c r="P86" s="199"/>
    </row>
    <row r="87" spans="1:16" ht="12.75" customHeight="1">
      <c r="A87" s="302" t="s">
        <v>116</v>
      </c>
      <c r="B87" s="277">
        <f>+'7.Balansstanden'!$F$22</f>
        <v>77668.119959999996</v>
      </c>
      <c r="C87" s="277">
        <f>+'7.Balansstanden'!$H$22</f>
        <v>77668.119959999996</v>
      </c>
      <c r="D87" s="294">
        <f t="shared" si="5"/>
        <v>0</v>
      </c>
      <c r="E87" s="277">
        <f>+'5.Verdelingsmatrix lasten'!$AD118</f>
        <v>0</v>
      </c>
      <c r="F87" s="277">
        <f>+'6.Verdelingsmatrix baten'!$AD118</f>
        <v>0</v>
      </c>
      <c r="G87" s="294">
        <f t="shared" si="6"/>
        <v>0</v>
      </c>
      <c r="H87" s="306">
        <f t="shared" si="7"/>
        <v>0</v>
      </c>
      <c r="I87" s="294">
        <f t="shared" si="8"/>
        <v>155336.23991999999</v>
      </c>
      <c r="J87" s="199"/>
      <c r="K87" s="199"/>
      <c r="L87" s="199"/>
      <c r="M87" s="199"/>
      <c r="N87" s="199"/>
      <c r="O87" s="199"/>
      <c r="P87" s="199"/>
    </row>
    <row r="88" spans="1:16" ht="12.75" customHeight="1">
      <c r="A88" s="302" t="s">
        <v>118</v>
      </c>
      <c r="B88" s="277">
        <f>+'7.Balansstanden'!$F$23</f>
        <v>0</v>
      </c>
      <c r="C88" s="277">
        <f>+'7.Balansstanden'!$H$23</f>
        <v>0</v>
      </c>
      <c r="D88" s="294">
        <f t="shared" si="5"/>
        <v>0</v>
      </c>
      <c r="E88" s="277">
        <f>+'5.Verdelingsmatrix lasten'!$AD119</f>
        <v>0</v>
      </c>
      <c r="F88" s="277">
        <f>+'6.Verdelingsmatrix baten'!$AD119</f>
        <v>0</v>
      </c>
      <c r="G88" s="294">
        <f t="shared" si="6"/>
        <v>0</v>
      </c>
      <c r="H88" s="306">
        <f t="shared" si="7"/>
        <v>0</v>
      </c>
      <c r="I88" s="294">
        <f t="shared" si="8"/>
        <v>0</v>
      </c>
      <c r="J88" s="199"/>
      <c r="K88" s="199"/>
      <c r="L88" s="199"/>
      <c r="M88" s="199"/>
      <c r="N88" s="199"/>
      <c r="O88" s="199"/>
      <c r="P88" s="199"/>
    </row>
    <row r="89" spans="1:16" ht="12.75" customHeight="1">
      <c r="A89" s="302" t="s">
        <v>120</v>
      </c>
      <c r="B89" s="277">
        <f>+'7.Balansstanden'!$F$24</f>
        <v>143879.79484000002</v>
      </c>
      <c r="C89" s="277">
        <f>+'7.Balansstanden'!$H$24</f>
        <v>277414.50776000001</v>
      </c>
      <c r="D89" s="294">
        <f t="shared" si="5"/>
        <v>133534.71291999999</v>
      </c>
      <c r="E89" s="277">
        <f>+'5.Verdelingsmatrix lasten'!$AD120</f>
        <v>135187.98262999998</v>
      </c>
      <c r="F89" s="277">
        <f>+'6.Verdelingsmatrix baten'!$AD120</f>
        <v>1653.26971</v>
      </c>
      <c r="G89" s="294">
        <f t="shared" si="6"/>
        <v>133534.71291999999</v>
      </c>
      <c r="H89" s="306">
        <f t="shared" si="7"/>
        <v>0</v>
      </c>
      <c r="I89" s="294">
        <f t="shared" si="8"/>
        <v>421294.30260000005</v>
      </c>
      <c r="J89" s="199"/>
      <c r="K89" s="199"/>
      <c r="L89" s="199"/>
      <c r="M89" s="199"/>
      <c r="N89" s="199"/>
      <c r="O89" s="199"/>
      <c r="P89" s="199"/>
    </row>
    <row r="90" spans="1:16" ht="12.75" customHeight="1">
      <c r="A90" s="302" t="s">
        <v>122</v>
      </c>
      <c r="B90" s="277">
        <f>+'7.Balansstanden'!$F$25</f>
        <v>175880.29762999999</v>
      </c>
      <c r="C90" s="277">
        <f>+'7.Balansstanden'!$H$25</f>
        <v>131512.12544</v>
      </c>
      <c r="D90" s="294">
        <f t="shared" si="5"/>
        <v>-44368.172189999983</v>
      </c>
      <c r="E90" s="277">
        <f>+'5.Verdelingsmatrix lasten'!$AD121</f>
        <v>484.74871999999999</v>
      </c>
      <c r="F90" s="277">
        <f>+'6.Verdelingsmatrix baten'!$AD121</f>
        <v>44852.920909999993</v>
      </c>
      <c r="G90" s="294">
        <f t="shared" si="6"/>
        <v>-44368.17218999999</v>
      </c>
      <c r="H90" s="306">
        <f t="shared" si="7"/>
        <v>7.2759576141834259E-12</v>
      </c>
      <c r="I90" s="294">
        <f t="shared" si="8"/>
        <v>307392.42307000002</v>
      </c>
      <c r="J90" s="199"/>
      <c r="K90" s="199"/>
      <c r="L90" s="199"/>
      <c r="M90" s="199"/>
      <c r="N90" s="199"/>
      <c r="O90" s="199"/>
      <c r="P90" s="199"/>
    </row>
    <row r="91" spans="1:16" ht="12.75" customHeight="1">
      <c r="A91" s="302" t="s">
        <v>124</v>
      </c>
      <c r="B91" s="303">
        <f>'7.Balansstanden'!$F$26</f>
        <v>13.435549999999999</v>
      </c>
      <c r="C91" s="303">
        <f>+'7.Balansstanden'!$H$26</f>
        <v>0</v>
      </c>
      <c r="D91" s="304">
        <f t="shared" si="5"/>
        <v>-13.435549999999999</v>
      </c>
      <c r="E91" s="303">
        <f>+'5.Verdelingsmatrix lasten'!$AD122</f>
        <v>0</v>
      </c>
      <c r="F91" s="303">
        <f>+'6.Verdelingsmatrix baten'!$AD122</f>
        <v>13.435549999999999</v>
      </c>
      <c r="G91" s="304">
        <f t="shared" si="6"/>
        <v>-13.435549999999999</v>
      </c>
      <c r="H91" s="306">
        <f t="shared" si="7"/>
        <v>0</v>
      </c>
      <c r="I91" s="304">
        <f t="shared" si="8"/>
        <v>13.435549999999999</v>
      </c>
      <c r="J91" s="199"/>
      <c r="K91" s="199"/>
      <c r="L91" s="199"/>
      <c r="M91" s="199"/>
      <c r="N91" s="199"/>
      <c r="O91" s="199"/>
      <c r="P91" s="199"/>
    </row>
    <row r="92" spans="1:16" ht="12.75" customHeight="1">
      <c r="A92" s="302" t="s">
        <v>128</v>
      </c>
      <c r="B92" s="303">
        <f>'7.Balansstanden'!$F$29</f>
        <v>0</v>
      </c>
      <c r="C92" s="303">
        <f>+'7.Balansstanden'!$H$29</f>
        <v>0</v>
      </c>
      <c r="D92" s="304">
        <f t="shared" si="5"/>
        <v>0</v>
      </c>
      <c r="E92" s="303">
        <f>+'5.Verdelingsmatrix lasten'!$AD126</f>
        <v>0</v>
      </c>
      <c r="F92" s="303">
        <f>+'6.Verdelingsmatrix baten'!$AD126</f>
        <v>0</v>
      </c>
      <c r="G92" s="304">
        <f t="shared" si="6"/>
        <v>0</v>
      </c>
      <c r="H92" s="306">
        <f t="shared" si="7"/>
        <v>0</v>
      </c>
      <c r="I92" s="304">
        <f t="shared" si="8"/>
        <v>0</v>
      </c>
      <c r="J92" s="199"/>
      <c r="K92" s="199"/>
      <c r="L92" s="199"/>
      <c r="M92" s="199"/>
      <c r="N92" s="199"/>
      <c r="O92" s="199"/>
      <c r="P92" s="199"/>
    </row>
    <row r="93" spans="1:16" ht="12.75" customHeight="1">
      <c r="A93" s="302" t="s">
        <v>130</v>
      </c>
      <c r="B93" s="303">
        <f>'7.Balansstanden'!$F$30</f>
        <v>0</v>
      </c>
      <c r="C93" s="303">
        <f>+'7.Balansstanden'!$H$30</f>
        <v>0</v>
      </c>
      <c r="D93" s="304">
        <f t="shared" si="5"/>
        <v>0</v>
      </c>
      <c r="E93" s="303">
        <f>+'5.Verdelingsmatrix lasten'!$AD127</f>
        <v>0</v>
      </c>
      <c r="F93" s="303">
        <f>+'6.Verdelingsmatrix baten'!$AD127</f>
        <v>0</v>
      </c>
      <c r="G93" s="304">
        <f t="shared" si="6"/>
        <v>0</v>
      </c>
      <c r="H93" s="306">
        <f t="shared" si="7"/>
        <v>0</v>
      </c>
      <c r="I93" s="304">
        <f t="shared" si="8"/>
        <v>0</v>
      </c>
      <c r="J93" s="199"/>
      <c r="K93" s="199"/>
      <c r="L93" s="199"/>
      <c r="M93" s="199"/>
      <c r="N93" s="199"/>
      <c r="O93" s="199"/>
      <c r="P93" s="199"/>
    </row>
    <row r="94" spans="1:16" ht="12.75" customHeight="1">
      <c r="A94" s="302" t="s">
        <v>132</v>
      </c>
      <c r="B94" s="303">
        <f>'7.Balansstanden'!$F$31</f>
        <v>74990.28254</v>
      </c>
      <c r="C94" s="303">
        <f>+'7.Balansstanden'!$H$31</f>
        <v>67307.306430000011</v>
      </c>
      <c r="D94" s="304">
        <f t="shared" si="5"/>
        <v>-7682.9761099999887</v>
      </c>
      <c r="E94" s="303">
        <f>+'5.Verdelingsmatrix lasten'!$AD128</f>
        <v>3867.0238900000004</v>
      </c>
      <c r="F94" s="303">
        <f>+'6.Verdelingsmatrix baten'!$AD128</f>
        <v>11550</v>
      </c>
      <c r="G94" s="304">
        <f t="shared" si="6"/>
        <v>-7682.9761099999996</v>
      </c>
      <c r="H94" s="306">
        <f t="shared" si="7"/>
        <v>1.0913936421275139E-11</v>
      </c>
      <c r="I94" s="304">
        <f t="shared" si="8"/>
        <v>142297.58897000001</v>
      </c>
      <c r="J94" s="199"/>
      <c r="K94" s="199"/>
      <c r="L94" s="199"/>
      <c r="M94" s="199"/>
      <c r="N94" s="199"/>
      <c r="O94" s="199"/>
      <c r="P94" s="199"/>
    </row>
    <row r="95" spans="1:16" ht="12.75" customHeight="1">
      <c r="A95" s="302" t="s">
        <v>134</v>
      </c>
      <c r="B95" s="303">
        <f>'7.Balansstanden'!$F$32</f>
        <v>0</v>
      </c>
      <c r="C95" s="303">
        <f>+'7.Balansstanden'!$H$32</f>
        <v>0</v>
      </c>
      <c r="D95" s="304">
        <f t="shared" si="5"/>
        <v>0</v>
      </c>
      <c r="E95" s="303">
        <f>+'5.Verdelingsmatrix lasten'!$AD129</f>
        <v>0</v>
      </c>
      <c r="F95" s="303">
        <f>+'6.Verdelingsmatrix baten'!$AD129</f>
        <v>0</v>
      </c>
      <c r="G95" s="304">
        <f t="shared" si="6"/>
        <v>0</v>
      </c>
      <c r="H95" s="306">
        <f t="shared" si="7"/>
        <v>0</v>
      </c>
      <c r="I95" s="304">
        <f t="shared" si="8"/>
        <v>0</v>
      </c>
      <c r="J95" s="199"/>
      <c r="K95" s="199"/>
      <c r="L95" s="199"/>
      <c r="M95" s="199"/>
      <c r="N95" s="199"/>
      <c r="O95" s="199"/>
      <c r="P95" s="199"/>
    </row>
    <row r="96" spans="1:16" ht="12.75" customHeight="1">
      <c r="A96" s="302" t="s">
        <v>136</v>
      </c>
      <c r="B96" s="303">
        <f>'7.Balansstanden'!$F$33</f>
        <v>0</v>
      </c>
      <c r="C96" s="303">
        <f>+'7.Balansstanden'!$H$33</f>
        <v>0</v>
      </c>
      <c r="D96" s="304">
        <f t="shared" si="5"/>
        <v>0</v>
      </c>
      <c r="E96" s="303">
        <f>+'5.Verdelingsmatrix lasten'!$AD130</f>
        <v>0</v>
      </c>
      <c r="F96" s="303">
        <f>+'6.Verdelingsmatrix baten'!$AD130</f>
        <v>0</v>
      </c>
      <c r="G96" s="304">
        <f t="shared" si="6"/>
        <v>0</v>
      </c>
      <c r="H96" s="306">
        <f t="shared" si="7"/>
        <v>0</v>
      </c>
      <c r="I96" s="304">
        <f t="shared" si="8"/>
        <v>0</v>
      </c>
      <c r="J96" s="199"/>
      <c r="K96" s="199"/>
      <c r="L96" s="199"/>
      <c r="M96" s="199"/>
      <c r="N96" s="199"/>
      <c r="O96" s="199"/>
      <c r="P96" s="199"/>
    </row>
    <row r="97" spans="1:16" ht="12.75" customHeight="1">
      <c r="A97" s="302" t="s">
        <v>138</v>
      </c>
      <c r="B97" s="277">
        <f>+'7.Balansstanden'!$F$35</f>
        <v>49945.538700000005</v>
      </c>
      <c r="C97" s="277">
        <f>+'7.Balansstanden'!$H$35</f>
        <v>49339.176020000006</v>
      </c>
      <c r="D97" s="294">
        <f t="shared" si="5"/>
        <v>-606.36267999999836</v>
      </c>
      <c r="E97" s="277">
        <f>+'5.Verdelingsmatrix lasten'!$AD131</f>
        <v>37908.944869999999</v>
      </c>
      <c r="F97" s="277">
        <f>+'6.Verdelingsmatrix baten'!$AD131</f>
        <v>38515.307549999998</v>
      </c>
      <c r="G97" s="294">
        <f t="shared" si="6"/>
        <v>-606.36267999999836</v>
      </c>
      <c r="H97" s="306">
        <f t="shared" si="7"/>
        <v>0</v>
      </c>
      <c r="I97" s="294">
        <f t="shared" si="8"/>
        <v>99284.714720000018</v>
      </c>
      <c r="J97" s="199"/>
      <c r="K97" s="199"/>
      <c r="L97" s="199"/>
      <c r="M97" s="199"/>
      <c r="N97" s="199"/>
      <c r="O97" s="199"/>
      <c r="P97" s="199"/>
    </row>
    <row r="98" spans="1:16" ht="12.75" customHeight="1">
      <c r="A98" s="302" t="s">
        <v>140</v>
      </c>
      <c r="B98" s="277">
        <f>+'7.Balansstanden'!$F$36</f>
        <v>56000</v>
      </c>
      <c r="C98" s="277">
        <f>+'7.Balansstanden'!$H$36</f>
        <v>180300</v>
      </c>
      <c r="D98" s="294">
        <f t="shared" si="5"/>
        <v>124300</v>
      </c>
      <c r="E98" s="277">
        <f>+'5.Verdelingsmatrix lasten'!$AD132</f>
        <v>180313.49124999999</v>
      </c>
      <c r="F98" s="277">
        <f>+'6.Verdelingsmatrix baten'!$AD132</f>
        <v>56013.491249999999</v>
      </c>
      <c r="G98" s="294">
        <f t="shared" si="6"/>
        <v>124300</v>
      </c>
      <c r="H98" s="306">
        <f t="shared" si="7"/>
        <v>0</v>
      </c>
      <c r="I98" s="294">
        <f t="shared" si="8"/>
        <v>236300</v>
      </c>
      <c r="J98" s="199"/>
      <c r="K98" s="199"/>
      <c r="L98" s="199"/>
      <c r="M98" s="199"/>
      <c r="N98" s="199"/>
      <c r="O98" s="199"/>
      <c r="P98" s="199"/>
    </row>
    <row r="99" spans="1:16" ht="12.75" customHeight="1">
      <c r="A99" s="302" t="s">
        <v>142</v>
      </c>
      <c r="B99" s="277">
        <f>+'7.Balansstanden'!$F$37</f>
        <v>731775.90194000001</v>
      </c>
      <c r="C99" s="277">
        <f>+'7.Balansstanden'!$H$37</f>
        <v>515564.09445999999</v>
      </c>
      <c r="D99" s="294">
        <f t="shared" si="5"/>
        <v>-216211.80748000002</v>
      </c>
      <c r="E99" s="277">
        <f>+'5.Verdelingsmatrix lasten'!$AD133</f>
        <v>0</v>
      </c>
      <c r="F99" s="277">
        <f>+'6.Verdelingsmatrix baten'!$AD133</f>
        <v>216211.80747999999</v>
      </c>
      <c r="G99" s="294">
        <f t="shared" si="6"/>
        <v>-216211.80747999999</v>
      </c>
      <c r="H99" s="306">
        <f t="shared" si="7"/>
        <v>2.9103830456733704E-11</v>
      </c>
      <c r="I99" s="294">
        <f t="shared" si="8"/>
        <v>1247339.9964000001</v>
      </c>
      <c r="J99" s="199"/>
      <c r="K99" s="199"/>
      <c r="L99" s="199"/>
      <c r="M99" s="199"/>
      <c r="N99" s="199"/>
      <c r="O99" s="199"/>
      <c r="P99" s="199"/>
    </row>
    <row r="100" spans="1:16" ht="12.75" customHeight="1">
      <c r="A100" s="302" t="s">
        <v>144</v>
      </c>
      <c r="B100" s="277">
        <f>+'7.Balansstanden'!$F$38</f>
        <v>6436.7726500000008</v>
      </c>
      <c r="C100" s="277">
        <f>+'7.Balansstanden'!$H$38</f>
        <v>6302.9884299999994</v>
      </c>
      <c r="D100" s="294">
        <f t="shared" si="5"/>
        <v>-133.78422000000137</v>
      </c>
      <c r="E100" s="277">
        <f>+'5.Verdelingsmatrix lasten'!$AD134</f>
        <v>332.1952</v>
      </c>
      <c r="F100" s="277">
        <f>+'6.Verdelingsmatrix baten'!$AD134</f>
        <v>465.97942</v>
      </c>
      <c r="G100" s="294">
        <f t="shared" si="6"/>
        <v>-133.78422</v>
      </c>
      <c r="H100" s="306">
        <f t="shared" si="7"/>
        <v>1.3642420526593924E-12</v>
      </c>
      <c r="I100" s="294">
        <f t="shared" si="8"/>
        <v>12739.76108</v>
      </c>
      <c r="J100" s="199"/>
      <c r="K100" s="199"/>
      <c r="L100" s="199"/>
      <c r="M100" s="199"/>
      <c r="N100" s="199"/>
      <c r="O100" s="199"/>
      <c r="P100" s="199"/>
    </row>
    <row r="101" spans="1:16" ht="12.75" customHeight="1">
      <c r="A101" s="302" t="s">
        <v>146</v>
      </c>
      <c r="B101" s="277">
        <f>+'7.Balansstanden'!$F$39</f>
        <v>0</v>
      </c>
      <c r="C101" s="277">
        <f>+'7.Balansstanden'!$H$39</f>
        <v>0</v>
      </c>
      <c r="D101" s="294">
        <f t="shared" si="5"/>
        <v>0</v>
      </c>
      <c r="E101" s="277">
        <f>+'5.Verdelingsmatrix lasten'!$AD135</f>
        <v>0</v>
      </c>
      <c r="F101" s="277">
        <f>+'6.Verdelingsmatrix baten'!$AD135</f>
        <v>0</v>
      </c>
      <c r="G101" s="294">
        <f t="shared" si="6"/>
        <v>0</v>
      </c>
      <c r="H101" s="306">
        <f t="shared" si="7"/>
        <v>0</v>
      </c>
      <c r="I101" s="294">
        <f t="shared" si="8"/>
        <v>0</v>
      </c>
      <c r="J101" s="199"/>
      <c r="K101" s="199"/>
      <c r="L101" s="199"/>
      <c r="M101" s="199"/>
      <c r="N101" s="199"/>
      <c r="O101" s="199"/>
      <c r="P101" s="199"/>
    </row>
    <row r="102" spans="1:16" ht="12.75" customHeight="1">
      <c r="A102" s="302" t="s">
        <v>148</v>
      </c>
      <c r="B102" s="277">
        <f>+'7.Balansstanden'!$F$40</f>
        <v>1579.06475</v>
      </c>
      <c r="C102" s="277">
        <f>+'7.Balansstanden'!$H$40</f>
        <v>394.66975000000002</v>
      </c>
      <c r="D102" s="294">
        <f t="shared" si="5"/>
        <v>-1184.395</v>
      </c>
      <c r="E102" s="277">
        <f>+'5.Verdelingsmatrix lasten'!$AD136</f>
        <v>44780.703409999995</v>
      </c>
      <c r="F102" s="277">
        <f>+'6.Verdelingsmatrix baten'!$AD136</f>
        <v>45965.098409999999</v>
      </c>
      <c r="G102" s="294">
        <f t="shared" si="6"/>
        <v>-1184.3950000000041</v>
      </c>
      <c r="H102" s="306">
        <f t="shared" si="7"/>
        <v>4.0927261579781771E-12</v>
      </c>
      <c r="I102" s="294">
        <f t="shared" si="8"/>
        <v>1973.7345</v>
      </c>
      <c r="J102" s="199"/>
      <c r="K102" s="199"/>
      <c r="L102" s="199"/>
      <c r="M102" s="199"/>
      <c r="N102" s="199"/>
      <c r="O102" s="199"/>
      <c r="P102" s="199"/>
    </row>
    <row r="103" spans="1:16" ht="12.75" customHeight="1">
      <c r="A103" s="302" t="s">
        <v>149</v>
      </c>
      <c r="B103" s="277">
        <f>+'7.Balansstanden'!$F$41</f>
        <v>0</v>
      </c>
      <c r="C103" s="277">
        <f>+'7.Balansstanden'!$H$41</f>
        <v>0</v>
      </c>
      <c r="D103" s="294">
        <f t="shared" si="5"/>
        <v>0</v>
      </c>
      <c r="E103" s="277">
        <f>+'5.Verdelingsmatrix lasten'!$AD137</f>
        <v>0</v>
      </c>
      <c r="F103" s="277">
        <f>+'6.Verdelingsmatrix baten'!$AD137</f>
        <v>0</v>
      </c>
      <c r="G103" s="294">
        <f t="shared" si="6"/>
        <v>0</v>
      </c>
      <c r="H103" s="306">
        <f t="shared" si="7"/>
        <v>0</v>
      </c>
      <c r="I103" s="294">
        <f t="shared" si="8"/>
        <v>0</v>
      </c>
      <c r="J103" s="199"/>
      <c r="K103" s="199"/>
      <c r="L103" s="199"/>
      <c r="M103" s="199"/>
      <c r="N103" s="199"/>
      <c r="O103" s="199"/>
      <c r="P103" s="199"/>
    </row>
    <row r="104" spans="1:16" ht="12.75" customHeight="1">
      <c r="A104" s="302" t="s">
        <v>153</v>
      </c>
      <c r="B104" s="303">
        <f>'7.Balansstanden'!$F$46</f>
        <v>40884.486400000002</v>
      </c>
      <c r="C104" s="277">
        <f>+'7.Balansstanden'!$H$46</f>
        <v>35923.472549999999</v>
      </c>
      <c r="D104" s="294">
        <f t="shared" si="5"/>
        <v>-4961.013850000003</v>
      </c>
      <c r="E104" s="303">
        <f>+'5.Verdelingsmatrix lasten'!$AD141</f>
        <v>25412.199850000001</v>
      </c>
      <c r="F104" s="303">
        <f>+'6.Verdelingsmatrix baten'!$AD141</f>
        <v>20451.186000000002</v>
      </c>
      <c r="G104" s="294">
        <f t="shared" ref="G104:G109" si="9">-E104+F104</f>
        <v>-4961.0138499999994</v>
      </c>
      <c r="H104" s="306">
        <f t="shared" si="7"/>
        <v>3.637978807091713E-12</v>
      </c>
      <c r="I104" s="304">
        <f t="shared" si="8"/>
        <v>76807.95895</v>
      </c>
      <c r="J104" s="199"/>
      <c r="K104" s="199"/>
      <c r="L104" s="199"/>
      <c r="M104" s="199"/>
      <c r="N104" s="199"/>
      <c r="O104" s="199"/>
      <c r="P104" s="199"/>
    </row>
    <row r="105" spans="1:16" ht="12.75" customHeight="1">
      <c r="A105" s="302" t="s">
        <v>155</v>
      </c>
      <c r="B105" s="303">
        <f>'7.Balansstanden'!$F$47</f>
        <v>905101.9415800001</v>
      </c>
      <c r="C105" s="277">
        <f>+'7.Balansstanden'!$H$47</f>
        <v>882378.53625</v>
      </c>
      <c r="D105" s="294">
        <f t="shared" si="5"/>
        <v>-22723.405330000096</v>
      </c>
      <c r="E105" s="303">
        <f>+'5.Verdelingsmatrix lasten'!$AD142</f>
        <v>123285.69592</v>
      </c>
      <c r="F105" s="303">
        <f>+'6.Verdelingsmatrix baten'!$AD142</f>
        <v>100562.29059</v>
      </c>
      <c r="G105" s="294">
        <f t="shared" si="9"/>
        <v>-22723.405329999994</v>
      </c>
      <c r="H105" s="306">
        <f t="shared" si="7"/>
        <v>1.0186340659856796E-10</v>
      </c>
      <c r="I105" s="304">
        <f t="shared" si="8"/>
        <v>1787480.4778300002</v>
      </c>
      <c r="J105" s="199"/>
      <c r="K105" s="199"/>
      <c r="L105" s="199"/>
      <c r="M105" s="199"/>
      <c r="N105" s="199"/>
      <c r="O105" s="199"/>
      <c r="P105" s="199"/>
    </row>
    <row r="106" spans="1:16" ht="12.75" customHeight="1">
      <c r="A106" s="302" t="s">
        <v>157</v>
      </c>
      <c r="B106" s="303">
        <f>'7.Balansstanden'!$F$48</f>
        <v>0</v>
      </c>
      <c r="C106" s="277">
        <f>+'7.Balansstanden'!$H$48</f>
        <v>0</v>
      </c>
      <c r="D106" s="294">
        <f t="shared" si="5"/>
        <v>0</v>
      </c>
      <c r="E106" s="303">
        <f>+'5.Verdelingsmatrix lasten'!$AD143</f>
        <v>0</v>
      </c>
      <c r="F106" s="303">
        <f>+'6.Verdelingsmatrix baten'!$AD143</f>
        <v>0</v>
      </c>
      <c r="G106" s="294">
        <f t="shared" si="9"/>
        <v>0</v>
      </c>
      <c r="H106" s="306">
        <f t="shared" si="7"/>
        <v>0</v>
      </c>
      <c r="I106" s="304">
        <f t="shared" si="8"/>
        <v>0</v>
      </c>
      <c r="J106" s="199"/>
      <c r="K106" s="199"/>
      <c r="L106" s="199"/>
      <c r="M106" s="199"/>
      <c r="N106" s="199"/>
      <c r="O106" s="199"/>
      <c r="P106" s="199"/>
    </row>
    <row r="107" spans="1:16" ht="12.75" customHeight="1">
      <c r="A107" s="302" t="s">
        <v>159</v>
      </c>
      <c r="B107" s="303">
        <f>'7.Balansstanden'!$F$49</f>
        <v>-4184.0098500000004</v>
      </c>
      <c r="C107" s="277">
        <f>+'7.Balansstanden'!$H$49</f>
        <v>-5692.5714200000002</v>
      </c>
      <c r="D107" s="294">
        <f t="shared" si="5"/>
        <v>-1508.5615699999998</v>
      </c>
      <c r="E107" s="303">
        <f>+'5.Verdelingsmatrix lasten'!$AD144</f>
        <v>5692.5714200000002</v>
      </c>
      <c r="F107" s="303">
        <f>+'6.Verdelingsmatrix baten'!$AD144</f>
        <v>4184.0098500000004</v>
      </c>
      <c r="G107" s="294">
        <f t="shared" si="9"/>
        <v>-1508.5615699999998</v>
      </c>
      <c r="H107" s="306">
        <f t="shared" si="7"/>
        <v>0</v>
      </c>
      <c r="I107" s="304">
        <f t="shared" si="8"/>
        <v>9876.5812700000006</v>
      </c>
      <c r="J107" s="199"/>
      <c r="K107" s="199"/>
      <c r="L107" s="199"/>
      <c r="M107" s="199"/>
      <c r="N107" s="199"/>
      <c r="O107" s="199"/>
      <c r="P107" s="199"/>
    </row>
    <row r="108" spans="1:16" ht="12.75" customHeight="1">
      <c r="A108" s="302" t="s">
        <v>161</v>
      </c>
      <c r="B108" s="303">
        <f>'7.Balansstanden'!$F$51</f>
        <v>32108.265480000002</v>
      </c>
      <c r="C108" s="277">
        <f>+'7.Balansstanden'!$H$51</f>
        <v>32244.934000000001</v>
      </c>
      <c r="D108" s="294">
        <f t="shared" si="5"/>
        <v>136.66851999999926</v>
      </c>
      <c r="E108" s="303">
        <f>+'5.Verdelingsmatrix lasten'!$AD145</f>
        <v>449.58699999999999</v>
      </c>
      <c r="F108" s="303">
        <f>+'6.Verdelingsmatrix baten'!$AD145</f>
        <v>586.25552000000005</v>
      </c>
      <c r="G108" s="294">
        <f t="shared" si="9"/>
        <v>136.66852000000006</v>
      </c>
      <c r="H108" s="306">
        <f t="shared" si="7"/>
        <v>7.9580786405131221E-13</v>
      </c>
      <c r="I108" s="304">
        <f t="shared" si="8"/>
        <v>64353.199480000003</v>
      </c>
      <c r="J108" s="199"/>
      <c r="K108" s="199"/>
      <c r="L108" s="199"/>
      <c r="M108" s="199"/>
      <c r="N108" s="199"/>
      <c r="O108" s="199"/>
      <c r="P108" s="199"/>
    </row>
    <row r="109" spans="1:16" ht="12.75" customHeight="1">
      <c r="A109" s="302" t="s">
        <v>163</v>
      </c>
      <c r="B109" s="277">
        <f>+'7.Balansstanden'!$F$53</f>
        <v>0</v>
      </c>
      <c r="C109" s="277">
        <f>+'7.Balansstanden'!$H$53</f>
        <v>0</v>
      </c>
      <c r="D109" s="294">
        <f t="shared" si="5"/>
        <v>0</v>
      </c>
      <c r="E109" s="277">
        <f>+'5.Verdelingsmatrix lasten'!$AD146</f>
        <v>0</v>
      </c>
      <c r="F109" s="277">
        <f>+'6.Verdelingsmatrix baten'!$AD146</f>
        <v>0</v>
      </c>
      <c r="G109" s="294">
        <f t="shared" si="9"/>
        <v>0</v>
      </c>
      <c r="H109" s="306">
        <f t="shared" si="7"/>
        <v>0</v>
      </c>
      <c r="I109" s="294">
        <f t="shared" si="8"/>
        <v>0</v>
      </c>
      <c r="J109" s="199"/>
      <c r="K109" s="199"/>
      <c r="L109" s="199"/>
      <c r="M109" s="199"/>
      <c r="N109" s="199"/>
      <c r="O109" s="199"/>
      <c r="P109" s="199"/>
    </row>
    <row r="110" spans="1:16" ht="12.75" customHeight="1">
      <c r="A110" s="302" t="s">
        <v>165</v>
      </c>
      <c r="B110" s="277">
        <f>+'7.Balansstanden'!$F$54</f>
        <v>0</v>
      </c>
      <c r="C110" s="277">
        <f>+'7.Balansstanden'!$H$54</f>
        <v>0</v>
      </c>
      <c r="D110" s="294">
        <f t="shared" si="5"/>
        <v>0</v>
      </c>
      <c r="E110" s="277">
        <f>+'5.Verdelingsmatrix lasten'!$AD147</f>
        <v>0</v>
      </c>
      <c r="F110" s="277">
        <f>+'6.Verdelingsmatrix baten'!$AD147</f>
        <v>0</v>
      </c>
      <c r="G110" s="294">
        <f t="shared" ref="G110:G120" si="10">-E110+F110</f>
        <v>0</v>
      </c>
      <c r="H110" s="306">
        <f t="shared" si="7"/>
        <v>0</v>
      </c>
      <c r="I110" s="294">
        <f t="shared" si="8"/>
        <v>0</v>
      </c>
      <c r="J110" s="199"/>
      <c r="K110" s="199"/>
      <c r="L110" s="199"/>
      <c r="M110" s="199"/>
      <c r="N110" s="199"/>
      <c r="O110" s="199"/>
      <c r="P110" s="199"/>
    </row>
    <row r="111" spans="1:16" ht="12.75" customHeight="1">
      <c r="A111" s="302" t="s">
        <v>167</v>
      </c>
      <c r="B111" s="277">
        <f>+'7.Balansstanden'!$F$55</f>
        <v>0</v>
      </c>
      <c r="C111" s="277">
        <f>+'7.Balansstanden'!$H$55</f>
        <v>0</v>
      </c>
      <c r="D111" s="294">
        <f t="shared" si="5"/>
        <v>0</v>
      </c>
      <c r="E111" s="277">
        <f>+'5.Verdelingsmatrix lasten'!$AD148</f>
        <v>0</v>
      </c>
      <c r="F111" s="277">
        <f>+'6.Verdelingsmatrix baten'!$AD148</f>
        <v>0</v>
      </c>
      <c r="G111" s="294">
        <f t="shared" si="10"/>
        <v>0</v>
      </c>
      <c r="H111" s="306">
        <f t="shared" si="7"/>
        <v>0</v>
      </c>
      <c r="I111" s="294">
        <f t="shared" si="8"/>
        <v>0</v>
      </c>
      <c r="J111" s="199"/>
      <c r="K111" s="199"/>
      <c r="L111" s="199"/>
      <c r="M111" s="199"/>
      <c r="N111" s="199"/>
      <c r="O111" s="199"/>
      <c r="P111" s="199"/>
    </row>
    <row r="112" spans="1:16" ht="12.75" customHeight="1">
      <c r="A112" s="302" t="s">
        <v>169</v>
      </c>
      <c r="B112" s="277">
        <f>+'7.Balansstanden'!$F$56</f>
        <v>0</v>
      </c>
      <c r="C112" s="277">
        <f>+'7.Balansstanden'!$H$56</f>
        <v>0</v>
      </c>
      <c r="D112" s="294">
        <f t="shared" si="5"/>
        <v>0</v>
      </c>
      <c r="E112" s="277">
        <f>+'5.Verdelingsmatrix lasten'!$AD149</f>
        <v>0</v>
      </c>
      <c r="F112" s="277">
        <f>+'6.Verdelingsmatrix baten'!$AD149</f>
        <v>0</v>
      </c>
      <c r="G112" s="294">
        <f t="shared" si="10"/>
        <v>0</v>
      </c>
      <c r="H112" s="306">
        <f t="shared" si="7"/>
        <v>0</v>
      </c>
      <c r="I112" s="294">
        <f t="shared" si="8"/>
        <v>0</v>
      </c>
      <c r="J112" s="199"/>
      <c r="K112" s="199"/>
      <c r="L112" s="199"/>
      <c r="M112" s="199"/>
      <c r="N112" s="199"/>
      <c r="O112" s="199"/>
      <c r="P112" s="199"/>
    </row>
    <row r="113" spans="1:16" ht="12.75" customHeight="1">
      <c r="A113" s="302" t="s">
        <v>171</v>
      </c>
      <c r="B113" s="277">
        <f>+'7.Balansstanden'!$F$57</f>
        <v>0</v>
      </c>
      <c r="C113" s="277">
        <f>+'7.Balansstanden'!$H$57</f>
        <v>0</v>
      </c>
      <c r="D113" s="294">
        <f t="shared" si="5"/>
        <v>0</v>
      </c>
      <c r="E113" s="277">
        <f>+'5.Verdelingsmatrix lasten'!$AD150</f>
        <v>0</v>
      </c>
      <c r="F113" s="277">
        <f>+'6.Verdelingsmatrix baten'!$AD150</f>
        <v>0</v>
      </c>
      <c r="G113" s="294">
        <f t="shared" si="10"/>
        <v>0</v>
      </c>
      <c r="H113" s="306">
        <f t="shared" si="7"/>
        <v>0</v>
      </c>
      <c r="I113" s="294">
        <f t="shared" si="8"/>
        <v>0</v>
      </c>
      <c r="J113" s="199"/>
      <c r="K113" s="199"/>
      <c r="L113" s="199"/>
      <c r="M113" s="199"/>
      <c r="N113" s="199"/>
      <c r="O113" s="199"/>
      <c r="P113" s="199"/>
    </row>
    <row r="114" spans="1:16" ht="12.75" customHeight="1">
      <c r="A114" s="302" t="s">
        <v>173</v>
      </c>
      <c r="B114" s="277">
        <f>+'7.Balansstanden'!$F$58</f>
        <v>0</v>
      </c>
      <c r="C114" s="277">
        <f>+'7.Balansstanden'!$H$58</f>
        <v>0</v>
      </c>
      <c r="D114" s="294">
        <f t="shared" si="5"/>
        <v>0</v>
      </c>
      <c r="E114" s="277">
        <f>+'5.Verdelingsmatrix lasten'!$AD151</f>
        <v>0</v>
      </c>
      <c r="F114" s="277">
        <f>+'6.Verdelingsmatrix baten'!$AD151</f>
        <v>0</v>
      </c>
      <c r="G114" s="294">
        <f t="shared" si="10"/>
        <v>0</v>
      </c>
      <c r="H114" s="306">
        <f t="shared" si="7"/>
        <v>0</v>
      </c>
      <c r="I114" s="294">
        <f t="shared" si="8"/>
        <v>0</v>
      </c>
      <c r="J114" s="199"/>
      <c r="K114" s="199"/>
      <c r="L114" s="199"/>
      <c r="M114" s="199"/>
      <c r="N114" s="199"/>
      <c r="O114" s="199"/>
      <c r="P114" s="199"/>
    </row>
    <row r="115" spans="1:16" ht="12.75" customHeight="1">
      <c r="A115" s="302" t="s">
        <v>174</v>
      </c>
      <c r="B115" s="277">
        <f>+'7.Balansstanden'!$F$59</f>
        <v>0</v>
      </c>
      <c r="C115" s="277">
        <f>+'7.Balansstanden'!$H$59</f>
        <v>0</v>
      </c>
      <c r="D115" s="294">
        <f t="shared" si="5"/>
        <v>0</v>
      </c>
      <c r="E115" s="277">
        <f>+'5.Verdelingsmatrix lasten'!$AD152</f>
        <v>0</v>
      </c>
      <c r="F115" s="277">
        <f>+'6.Verdelingsmatrix baten'!$AD152</f>
        <v>0</v>
      </c>
      <c r="G115" s="294">
        <f t="shared" si="10"/>
        <v>0</v>
      </c>
      <c r="H115" s="306">
        <f t="shared" si="7"/>
        <v>0</v>
      </c>
      <c r="I115" s="294">
        <f t="shared" si="8"/>
        <v>0</v>
      </c>
      <c r="J115" s="199"/>
      <c r="K115" s="199"/>
      <c r="L115" s="199"/>
      <c r="M115" s="199"/>
      <c r="N115" s="199"/>
      <c r="O115" s="199"/>
      <c r="P115" s="199"/>
    </row>
    <row r="116" spans="1:16" ht="12.75" customHeight="1">
      <c r="A116" s="302" t="s">
        <v>176</v>
      </c>
      <c r="B116" s="277">
        <f>+'7.Balansstanden'!$F$60</f>
        <v>20.74203</v>
      </c>
      <c r="C116" s="277">
        <f>+'7.Balansstanden'!$H$60</f>
        <v>21.342029999999998</v>
      </c>
      <c r="D116" s="294">
        <f t="shared" si="5"/>
        <v>0.59999999999999787</v>
      </c>
      <c r="E116" s="277">
        <f>+'5.Verdelingsmatrix lasten'!$AD153</f>
        <v>0</v>
      </c>
      <c r="F116" s="277">
        <f>+'6.Verdelingsmatrix baten'!$AD153</f>
        <v>0.6</v>
      </c>
      <c r="G116" s="294">
        <f t="shared" si="10"/>
        <v>0.6</v>
      </c>
      <c r="H116" s="306">
        <f t="shared" si="7"/>
        <v>2.1094237467877974E-15</v>
      </c>
      <c r="I116" s="294">
        <f t="shared" si="8"/>
        <v>42.084059999999994</v>
      </c>
      <c r="J116" s="199"/>
      <c r="K116" s="199"/>
      <c r="L116" s="199"/>
      <c r="M116" s="199"/>
      <c r="N116" s="199"/>
      <c r="O116" s="199"/>
      <c r="P116" s="199"/>
    </row>
    <row r="117" spans="1:16" ht="12.75" customHeight="1">
      <c r="A117" s="302" t="s">
        <v>180</v>
      </c>
      <c r="B117" s="277">
        <f>+'7.Balansstanden'!$F$63</f>
        <v>0</v>
      </c>
      <c r="C117" s="277">
        <f>+'7.Balansstanden'!$H$63</f>
        <v>0</v>
      </c>
      <c r="D117" s="294">
        <f t="shared" si="5"/>
        <v>0</v>
      </c>
      <c r="E117" s="277">
        <f>+'5.Verdelingsmatrix lasten'!$AD157</f>
        <v>0</v>
      </c>
      <c r="F117" s="277">
        <f>+'6.Verdelingsmatrix baten'!$AD157</f>
        <v>0</v>
      </c>
      <c r="G117" s="294">
        <f t="shared" si="10"/>
        <v>0</v>
      </c>
      <c r="H117" s="306">
        <f t="shared" si="7"/>
        <v>0</v>
      </c>
      <c r="I117" s="294">
        <f t="shared" si="8"/>
        <v>0</v>
      </c>
      <c r="J117" s="199"/>
      <c r="K117" s="199"/>
      <c r="L117" s="199"/>
      <c r="M117" s="199"/>
      <c r="N117" s="199"/>
      <c r="O117" s="199"/>
      <c r="P117" s="199"/>
    </row>
    <row r="118" spans="1:16" ht="12.75" customHeight="1">
      <c r="A118" s="302" t="s">
        <v>182</v>
      </c>
      <c r="B118" s="277">
        <f>+'7.Balansstanden'!$F$64</f>
        <v>0</v>
      </c>
      <c r="C118" s="277">
        <f>+'7.Balansstanden'!$H$64</f>
        <v>0</v>
      </c>
      <c r="D118" s="294">
        <f t="shared" si="5"/>
        <v>0</v>
      </c>
      <c r="E118" s="277">
        <f>+'5.Verdelingsmatrix lasten'!$AD158</f>
        <v>0</v>
      </c>
      <c r="F118" s="277">
        <f>+'6.Verdelingsmatrix baten'!$AD158</f>
        <v>0</v>
      </c>
      <c r="G118" s="294">
        <f t="shared" si="10"/>
        <v>0</v>
      </c>
      <c r="H118" s="306">
        <f t="shared" si="7"/>
        <v>0</v>
      </c>
      <c r="I118" s="294">
        <f t="shared" si="8"/>
        <v>0</v>
      </c>
      <c r="J118" s="199"/>
      <c r="K118" s="199"/>
      <c r="L118" s="199"/>
      <c r="M118" s="199"/>
      <c r="N118" s="199"/>
      <c r="O118" s="199"/>
      <c r="P118" s="199"/>
    </row>
    <row r="119" spans="1:16" ht="12.75" customHeight="1">
      <c r="A119" s="302" t="s">
        <v>183</v>
      </c>
      <c r="B119" s="277">
        <f>+'7.Balansstanden'!$F$65</f>
        <v>220005.97096000001</v>
      </c>
      <c r="C119" s="277">
        <f>+'7.Balansstanden'!$H$65</f>
        <v>214012.97235</v>
      </c>
      <c r="D119" s="294">
        <f t="shared" si="5"/>
        <v>-5992.9986100000096</v>
      </c>
      <c r="E119" s="277">
        <f>+'5.Verdelingsmatrix lasten'!$AD159</f>
        <v>192363.40635</v>
      </c>
      <c r="F119" s="277">
        <f>+'6.Verdelingsmatrix baten'!$AD159</f>
        <v>186370.40774</v>
      </c>
      <c r="G119" s="294">
        <f t="shared" si="10"/>
        <v>-5992.9986100000096</v>
      </c>
      <c r="H119" s="306">
        <f t="shared" si="7"/>
        <v>0</v>
      </c>
      <c r="I119" s="294">
        <f t="shared" si="8"/>
        <v>434018.94331</v>
      </c>
      <c r="J119" s="199"/>
      <c r="K119" s="199"/>
      <c r="L119" s="199"/>
      <c r="M119" s="199"/>
      <c r="N119" s="199"/>
      <c r="O119" s="199"/>
      <c r="P119" s="199"/>
    </row>
    <row r="120" spans="1:16" ht="12.75" customHeight="1" thickBot="1">
      <c r="A120" s="322" t="s">
        <v>185</v>
      </c>
      <c r="B120" s="299">
        <f>+'7.Balansstanden'!$F$66</f>
        <v>249494.81750999999</v>
      </c>
      <c r="C120" s="299">
        <f>+'7.Balansstanden'!$H$66</f>
        <v>251578.23621999996</v>
      </c>
      <c r="D120" s="298">
        <f t="shared" si="5"/>
        <v>2083.418709999969</v>
      </c>
      <c r="E120" s="299">
        <f>+'5.Verdelingsmatrix lasten'!$AD160</f>
        <v>13179.34376</v>
      </c>
      <c r="F120" s="299">
        <f>+'6.Verdelingsmatrix baten'!$AD160</f>
        <v>15262.762470000001</v>
      </c>
      <c r="G120" s="298">
        <f t="shared" si="10"/>
        <v>2083.4187100000017</v>
      </c>
      <c r="H120" s="323">
        <f t="shared" si="7"/>
        <v>3.2741809263825417E-11</v>
      </c>
      <c r="I120" s="298">
        <f t="shared" si="8"/>
        <v>501073.05372999993</v>
      </c>
      <c r="J120" s="199"/>
      <c r="K120" s="199"/>
      <c r="L120" s="199"/>
      <c r="M120" s="199"/>
      <c r="N120" s="199"/>
      <c r="O120" s="199"/>
      <c r="P120" s="199"/>
    </row>
    <row r="121" spans="1:16" ht="12.75" customHeight="1">
      <c r="A121" s="291" t="s">
        <v>438</v>
      </c>
      <c r="B121" s="297"/>
      <c r="C121" s="319"/>
      <c r="D121" s="320"/>
      <c r="E121" s="319"/>
      <c r="F121" s="319"/>
      <c r="G121" s="321"/>
      <c r="H121" s="305">
        <f>SUM(H74:H120)</f>
        <v>2.0000214997373256E-5</v>
      </c>
      <c r="I121" s="305">
        <f>SUM(I74:I120)</f>
        <v>5727551.4347400004</v>
      </c>
      <c r="J121" s="199"/>
      <c r="K121" s="199"/>
      <c r="L121" s="199"/>
      <c r="M121" s="199"/>
      <c r="N121" s="199"/>
      <c r="O121" s="199"/>
      <c r="P121" s="199"/>
    </row>
    <row r="122" spans="1:16" ht="12.75" customHeight="1">
      <c r="A122" s="282" t="s">
        <v>433</v>
      </c>
      <c r="B122" s="277">
        <f>+H121</f>
        <v>2.0000214997373256E-5</v>
      </c>
      <c r="C122" s="307"/>
      <c r="D122" s="308"/>
      <c r="E122" s="307"/>
      <c r="F122" s="307"/>
      <c r="G122" s="309"/>
      <c r="H122" s="307"/>
      <c r="I122" s="307"/>
      <c r="J122" s="199"/>
      <c r="K122" s="199"/>
      <c r="L122" s="199"/>
      <c r="M122" s="199"/>
      <c r="N122" s="199"/>
      <c r="O122" s="199"/>
      <c r="P122" s="199"/>
    </row>
    <row r="123" spans="1:16" ht="12.75" customHeight="1">
      <c r="A123" s="302" t="s">
        <v>439</v>
      </c>
      <c r="B123" s="277">
        <f>+I121/2</f>
        <v>2863775.7173700002</v>
      </c>
      <c r="C123" s="310"/>
      <c r="D123" s="311"/>
      <c r="E123" s="307"/>
      <c r="F123" s="307"/>
      <c r="G123" s="309"/>
      <c r="H123" s="310"/>
      <c r="I123" s="310"/>
      <c r="J123" s="199"/>
      <c r="K123" s="199"/>
      <c r="L123" s="199"/>
      <c r="M123" s="199"/>
      <c r="N123" s="199"/>
      <c r="O123" s="199"/>
      <c r="P123" s="199"/>
    </row>
    <row r="124" spans="1:16" ht="12.75" customHeight="1">
      <c r="A124" s="302" t="s">
        <v>449</v>
      </c>
      <c r="B124" s="312">
        <f>IF(OR(SUM(B83:B103)=0,SUM(B109:B120)=0),"nvt",+B122/B123)</f>
        <v>6.9838622054316505E-12</v>
      </c>
      <c r="C124" s="310"/>
      <c r="D124" s="311"/>
      <c r="E124" s="307"/>
      <c r="F124" s="307"/>
      <c r="G124" s="309"/>
      <c r="H124" s="310"/>
      <c r="I124" s="310"/>
      <c r="J124" s="199"/>
      <c r="K124" s="199"/>
      <c r="L124" s="199"/>
      <c r="M124" s="199"/>
      <c r="N124" s="199"/>
      <c r="O124" s="199"/>
      <c r="P124" s="199"/>
    </row>
    <row r="125" spans="1:16" ht="12.75" customHeight="1">
      <c r="A125" s="292" t="s">
        <v>435</v>
      </c>
      <c r="B125" s="279" t="str">
        <f>IF(B124="nvt","onvoldoende",IF(B124&lt;=0.01,"voldoende","onvoldoende"))</f>
        <v>voldoende</v>
      </c>
      <c r="C125" s="313"/>
      <c r="D125" s="314"/>
      <c r="E125" s="313"/>
      <c r="F125" s="313"/>
      <c r="G125" s="313"/>
      <c r="H125" s="313"/>
      <c r="I125" s="315"/>
      <c r="J125" s="199"/>
      <c r="K125" s="199"/>
      <c r="L125" s="199"/>
      <c r="M125" s="199"/>
      <c r="N125" s="199"/>
      <c r="O125" s="199"/>
      <c r="P125" s="199"/>
    </row>
    <row r="126" spans="1:16" ht="12.75" customHeight="1">
      <c r="F126" s="6"/>
      <c r="G126" s="199"/>
      <c r="H126" s="199"/>
      <c r="I126" s="199"/>
      <c r="J126" s="199"/>
      <c r="K126" s="199"/>
      <c r="L126" s="199"/>
      <c r="M126" s="199"/>
      <c r="N126" s="199"/>
      <c r="O126" s="199"/>
      <c r="P126" s="199"/>
    </row>
    <row r="127" spans="1:16" ht="12.75" customHeight="1">
      <c r="A127" s="201" t="s">
        <v>521</v>
      </c>
      <c r="F127" s="6"/>
      <c r="G127" s="199"/>
      <c r="H127" s="199"/>
      <c r="I127" s="199"/>
      <c r="J127" s="199"/>
      <c r="K127" s="199"/>
      <c r="L127" s="199"/>
      <c r="M127" s="199"/>
      <c r="N127" s="199"/>
      <c r="O127" s="199"/>
      <c r="P127" s="199"/>
    </row>
    <row r="128" spans="1:16" ht="12.75" customHeight="1">
      <c r="A128" s="280" t="s">
        <v>450</v>
      </c>
      <c r="B128" s="281">
        <f>ABS(+'5.Verdelingsmatrix lasten'!$C$165)</f>
        <v>0</v>
      </c>
      <c r="F128" s="6"/>
      <c r="G128" s="199"/>
      <c r="H128" s="199"/>
      <c r="I128" s="199"/>
      <c r="J128" s="199"/>
      <c r="K128" s="199"/>
      <c r="L128" s="199"/>
      <c r="M128" s="199"/>
      <c r="N128" s="199"/>
      <c r="O128" s="199"/>
      <c r="P128" s="199"/>
    </row>
    <row r="129" spans="1:18" ht="12.75" customHeight="1">
      <c r="A129" s="282" t="s">
        <v>446</v>
      </c>
      <c r="B129" s="283">
        <f>ABS(+'6.Verdelingsmatrix baten'!$C$165)</f>
        <v>0</v>
      </c>
      <c r="F129" s="6"/>
      <c r="G129" s="199"/>
      <c r="H129" s="199"/>
      <c r="I129" s="199"/>
      <c r="J129" s="199"/>
      <c r="K129" s="199"/>
      <c r="L129" s="199"/>
      <c r="M129" s="199"/>
      <c r="N129" s="199"/>
      <c r="O129" s="199"/>
      <c r="P129" s="199"/>
    </row>
    <row r="130" spans="1:18" ht="12.75" customHeight="1">
      <c r="A130" s="282" t="s">
        <v>437</v>
      </c>
      <c r="B130" s="284">
        <f>ABS(B128)+ABS(B129)</f>
        <v>0</v>
      </c>
      <c r="F130" s="6"/>
      <c r="G130" s="199"/>
      <c r="H130" s="199"/>
      <c r="I130" s="199"/>
      <c r="J130" s="199"/>
      <c r="K130" s="199"/>
      <c r="L130" s="199"/>
      <c r="M130" s="199"/>
      <c r="N130" s="199"/>
      <c r="O130" s="199"/>
      <c r="P130" s="199"/>
    </row>
    <row r="131" spans="1:18" ht="12.75" customHeight="1">
      <c r="A131" s="285" t="s">
        <v>451</v>
      </c>
      <c r="B131" s="286">
        <f>+$B$130/$A$24</f>
        <v>0</v>
      </c>
      <c r="F131" s="6"/>
      <c r="G131" s="199"/>
      <c r="H131" s="199"/>
      <c r="I131" s="199"/>
      <c r="J131" s="199"/>
      <c r="K131" s="199"/>
      <c r="L131" s="199"/>
      <c r="M131" s="199"/>
      <c r="N131" s="199"/>
      <c r="O131" s="199"/>
      <c r="P131" s="199"/>
    </row>
    <row r="132" spans="1:18" ht="12.75" customHeight="1">
      <c r="A132" s="287" t="s">
        <v>435</v>
      </c>
      <c r="B132" s="279" t="str">
        <f>IF(B131&lt;=0.01,"voldoende","onvoldoende")</f>
        <v>voldoende</v>
      </c>
      <c r="F132" s="6"/>
      <c r="G132" s="199"/>
      <c r="H132" s="199"/>
      <c r="I132" s="199"/>
      <c r="J132" s="199"/>
      <c r="K132" s="199"/>
      <c r="L132" s="199"/>
      <c r="M132" s="199"/>
      <c r="N132" s="199"/>
      <c r="O132" s="199"/>
      <c r="P132" s="199"/>
    </row>
    <row r="133" spans="1:18" ht="12.75" customHeight="1">
      <c r="F133" s="6"/>
      <c r="G133" s="199"/>
      <c r="H133" s="199"/>
      <c r="I133" s="199"/>
      <c r="J133" s="199"/>
      <c r="K133" s="199"/>
      <c r="L133" s="199"/>
      <c r="M133" s="199"/>
      <c r="N133" s="199"/>
      <c r="O133" s="199"/>
      <c r="P133" s="199"/>
    </row>
    <row r="134" spans="1:18" s="12" customFormat="1" ht="13.5" customHeight="1">
      <c r="A134" s="201" t="s">
        <v>522</v>
      </c>
      <c r="B134" s="6"/>
      <c r="C134" s="6"/>
      <c r="D134" s="6"/>
      <c r="E134" s="6"/>
      <c r="F134" s="200"/>
      <c r="G134" s="228"/>
      <c r="H134" s="228"/>
      <c r="I134" s="228"/>
      <c r="J134" s="228"/>
      <c r="K134" s="228"/>
      <c r="L134" s="228"/>
      <c r="M134" s="228"/>
      <c r="N134" s="228"/>
      <c r="O134" s="228"/>
      <c r="P134" s="228"/>
    </row>
    <row r="135" spans="1:18" s="12" customFormat="1" ht="13.5" customHeight="1">
      <c r="A135" s="288"/>
      <c r="B135" s="289" t="s">
        <v>445</v>
      </c>
      <c r="C135" s="289" t="s">
        <v>446</v>
      </c>
      <c r="D135" s="289" t="s">
        <v>452</v>
      </c>
      <c r="E135" s="290" t="s">
        <v>453</v>
      </c>
      <c r="F135" s="200"/>
      <c r="G135" s="228"/>
      <c r="H135" s="228"/>
      <c r="I135" s="228"/>
      <c r="J135" s="228"/>
      <c r="K135" s="228"/>
      <c r="L135" s="228"/>
      <c r="M135" s="228"/>
      <c r="N135" s="228"/>
      <c r="O135" s="228"/>
      <c r="P135" s="228"/>
    </row>
    <row r="136" spans="1:18" s="12" customFormat="1" ht="13.5" customHeight="1">
      <c r="A136" s="280" t="s">
        <v>39</v>
      </c>
      <c r="B136" s="276">
        <f>+'5.Verdelingsmatrix lasten'!$S165</f>
        <v>396536.46591999999</v>
      </c>
      <c r="C136" s="276">
        <f>+'6.Verdelingsmatrix baten'!$S165</f>
        <v>396536.46582000004</v>
      </c>
      <c r="D136" s="293">
        <f>ABS(B136-C136)</f>
        <v>9.9999946542084217E-5</v>
      </c>
      <c r="E136" s="293">
        <f>ABS(B136)+ABS(C136)</f>
        <v>793072.93174000003</v>
      </c>
      <c r="F136" s="200"/>
      <c r="G136" s="228"/>
      <c r="J136" s="228"/>
      <c r="K136" s="228"/>
      <c r="L136" s="228"/>
      <c r="M136" s="228"/>
      <c r="N136" s="228"/>
      <c r="O136" s="228"/>
      <c r="P136" s="228"/>
    </row>
    <row r="137" spans="1:18" s="12" customFormat="1" ht="13.5" customHeight="1">
      <c r="A137" s="282" t="s">
        <v>251</v>
      </c>
      <c r="B137" s="277">
        <f>+'5.Verdelingsmatrix lasten'!$AB165</f>
        <v>3105.5165299999999</v>
      </c>
      <c r="C137" s="277">
        <f>+'6.Verdelingsmatrix baten'!$AB165</f>
        <v>3105.5165299999999</v>
      </c>
      <c r="D137" s="294">
        <f>ABS(B137-C137)</f>
        <v>0</v>
      </c>
      <c r="E137" s="294">
        <f>ABS(B137)+ABS(C137)</f>
        <v>6211.0330599999998</v>
      </c>
      <c r="F137" s="200"/>
      <c r="G137" s="228"/>
      <c r="J137" s="228"/>
      <c r="K137" s="228"/>
      <c r="L137" s="228"/>
      <c r="M137" s="228"/>
      <c r="N137" s="228"/>
      <c r="O137" s="228"/>
      <c r="P137" s="228"/>
    </row>
    <row r="138" spans="1:18" s="12" customFormat="1" ht="13.5" customHeight="1" thickBot="1">
      <c r="A138" s="282" t="s">
        <v>252</v>
      </c>
      <c r="B138" s="299">
        <f>+'5.Verdelingsmatrix lasten'!$AC165</f>
        <v>98648.510379999992</v>
      </c>
      <c r="C138" s="299">
        <f>+'6.Verdelingsmatrix baten'!$AC165</f>
        <v>98648.510379999992</v>
      </c>
      <c r="D138" s="298">
        <f>ABS(B138-C138)</f>
        <v>0</v>
      </c>
      <c r="E138" s="298">
        <f>ABS(B138)+ABS(C138)</f>
        <v>197297.02075999998</v>
      </c>
      <c r="F138" s="200"/>
      <c r="G138" s="228"/>
      <c r="J138" s="228"/>
      <c r="K138" s="228"/>
      <c r="L138" s="228"/>
      <c r="M138" s="228"/>
      <c r="N138" s="228"/>
      <c r="O138" s="228"/>
      <c r="P138" s="228"/>
    </row>
    <row r="139" spans="1:18" s="12" customFormat="1" ht="12.75" customHeight="1">
      <c r="A139" s="291" t="s">
        <v>454</v>
      </c>
      <c r="B139" s="297"/>
      <c r="C139" s="297"/>
      <c r="D139" s="297">
        <f>SUM(D136:D138)</f>
        <v>9.9999946542084217E-5</v>
      </c>
      <c r="E139" s="297">
        <f>SUM(E136:E138)</f>
        <v>996580.98556000006</v>
      </c>
      <c r="F139" s="200"/>
      <c r="G139" s="6"/>
      <c r="H139" s="6"/>
      <c r="I139" s="6"/>
      <c r="J139" s="6"/>
      <c r="K139" s="6"/>
      <c r="L139" s="6"/>
      <c r="M139" s="6"/>
      <c r="N139" s="6"/>
      <c r="O139" s="6"/>
      <c r="P139" s="6"/>
      <c r="Q139" s="6"/>
      <c r="R139" s="6"/>
    </row>
    <row r="140" spans="1:18" s="12" customFormat="1" ht="12.75" customHeight="1">
      <c r="A140" s="282" t="s">
        <v>433</v>
      </c>
      <c r="B140" s="277">
        <f>+D139</f>
        <v>9.9999946542084217E-5</v>
      </c>
      <c r="C140" s="284"/>
      <c r="D140" s="295"/>
      <c r="E140" s="295"/>
      <c r="F140" s="200"/>
      <c r="G140" s="6"/>
      <c r="H140" s="6"/>
      <c r="I140" s="6"/>
      <c r="J140" s="6"/>
      <c r="K140" s="6"/>
      <c r="L140" s="6"/>
      <c r="M140" s="6"/>
      <c r="N140" s="6"/>
      <c r="O140" s="6"/>
      <c r="P140" s="6"/>
      <c r="Q140" s="6"/>
      <c r="R140" s="6"/>
    </row>
    <row r="141" spans="1:18" s="12" customFormat="1" ht="12.75" customHeight="1">
      <c r="A141" s="282" t="s">
        <v>439</v>
      </c>
      <c r="B141" s="277">
        <f>+A24</f>
        <v>374734.52132900001</v>
      </c>
      <c r="C141" s="284"/>
      <c r="D141" s="295"/>
      <c r="E141" s="295"/>
      <c r="F141" s="200"/>
      <c r="G141" s="6"/>
      <c r="H141" s="6"/>
      <c r="I141" s="6"/>
      <c r="J141" s="6"/>
      <c r="K141" s="6"/>
      <c r="L141" s="6"/>
      <c r="M141" s="6"/>
      <c r="N141" s="6"/>
      <c r="O141" s="6"/>
      <c r="P141" s="6"/>
      <c r="Q141" s="6"/>
      <c r="R141" s="6"/>
    </row>
    <row r="142" spans="1:18" s="12" customFormat="1" ht="12.75" customHeight="1">
      <c r="A142" s="282" t="s">
        <v>455</v>
      </c>
      <c r="B142" s="374">
        <f>IF(B141=0,0,+B140/B141)</f>
        <v>2.6685544258755062E-10</v>
      </c>
      <c r="C142" s="295"/>
      <c r="D142" s="295"/>
      <c r="E142" s="295"/>
      <c r="F142" s="200"/>
      <c r="G142" s="6"/>
      <c r="H142" s="6"/>
      <c r="I142" s="6"/>
      <c r="J142" s="6"/>
      <c r="K142" s="6"/>
      <c r="L142" s="6"/>
      <c r="M142" s="6"/>
      <c r="N142" s="6"/>
      <c r="O142" s="6"/>
      <c r="P142" s="6"/>
      <c r="Q142" s="6"/>
      <c r="R142" s="6"/>
    </row>
    <row r="143" spans="1:18" s="12" customFormat="1" ht="12.75" customHeight="1">
      <c r="A143" s="292" t="s">
        <v>435</v>
      </c>
      <c r="B143" s="279" t="str">
        <f>IF(B142&lt;=0.01,"voldoende","onvoldoende")</f>
        <v>voldoende</v>
      </c>
      <c r="C143" s="296"/>
      <c r="D143" s="296"/>
      <c r="E143" s="296"/>
      <c r="F143" s="200"/>
      <c r="G143" s="6"/>
      <c r="H143" s="6"/>
      <c r="I143" s="6"/>
      <c r="J143" s="6"/>
      <c r="K143" s="6"/>
      <c r="L143" s="6"/>
      <c r="M143" s="6"/>
      <c r="N143" s="6"/>
      <c r="O143" s="6"/>
      <c r="P143" s="6"/>
      <c r="Q143" s="6"/>
      <c r="R143" s="6"/>
    </row>
    <row r="144" spans="1:18" s="12" customFormat="1" ht="12.75" customHeight="1">
      <c r="A144" s="259"/>
      <c r="B144" s="259"/>
      <c r="C144" s="259"/>
      <c r="D144" s="259"/>
      <c r="E144" s="229"/>
      <c r="F144" s="200"/>
      <c r="G144" s="6"/>
      <c r="H144" s="6"/>
      <c r="I144" s="6"/>
      <c r="J144" s="6"/>
      <c r="K144" s="6"/>
      <c r="L144" s="6"/>
      <c r="M144" s="6"/>
      <c r="N144" s="6"/>
      <c r="O144" s="6"/>
      <c r="P144" s="6"/>
      <c r="Q144" s="6"/>
      <c r="R144" s="6"/>
    </row>
    <row r="145" spans="1:18" s="12" customFormat="1" ht="12.75" customHeight="1">
      <c r="A145" s="259"/>
      <c r="B145" s="259"/>
      <c r="C145" s="259"/>
      <c r="D145" s="259"/>
      <c r="E145" s="229"/>
      <c r="F145" s="200"/>
      <c r="G145" s="6"/>
      <c r="H145" s="6"/>
      <c r="I145" s="6"/>
      <c r="J145" s="6"/>
      <c r="K145" s="6"/>
      <c r="L145" s="6"/>
      <c r="M145" s="6"/>
      <c r="N145" s="6"/>
      <c r="O145" s="6"/>
      <c r="P145" s="6"/>
      <c r="Q145" s="6"/>
      <c r="R145" s="6"/>
    </row>
  </sheetData>
  <mergeCells count="5">
    <mergeCell ref="I10:J18"/>
    <mergeCell ref="A3:D3"/>
    <mergeCell ref="A5:D5"/>
    <mergeCell ref="A7:D7"/>
    <mergeCell ref="F10:H10"/>
  </mergeCells>
  <phoneticPr fontId="0" type="noConversion"/>
  <pageMargins left="0.36" right="0.23" top="0.98425196850393704" bottom="0.98425196850393704" header="0.51181102362204722" footer="0.51181102362204722"/>
  <pageSetup paperSize="9" scale="60" orientation="portrait" r:id="rId1"/>
  <headerFooter alignWithMargins="0"/>
  <rowBreaks count="1" manualBreakCount="1">
    <brk id="71" max="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9</vt:i4>
      </vt:variant>
    </vt:vector>
  </HeadingPairs>
  <TitlesOfParts>
    <vt:vector size="18" baseType="lpstr">
      <vt:lpstr>1.Aanschrijfbrief</vt:lpstr>
      <vt:lpstr>2.Adressering</vt:lpstr>
      <vt:lpstr>3.Toelichting</vt:lpstr>
      <vt:lpstr>4.Informatie</vt:lpstr>
      <vt:lpstr>5.Verdelingsmatrix lasten</vt:lpstr>
      <vt:lpstr>6.Verdelingsmatrix baten</vt:lpstr>
      <vt:lpstr>7.Balansstanden</vt:lpstr>
      <vt:lpstr>8.Akkoordverklaring</vt:lpstr>
      <vt:lpstr>9.Eindoordeel</vt:lpstr>
      <vt:lpstr>'2.Adressering'!Afdrukbereik</vt:lpstr>
      <vt:lpstr>'3.Toelichting'!Afdrukbereik</vt:lpstr>
      <vt:lpstr>'4.Informatie'!Afdrukbereik</vt:lpstr>
      <vt:lpstr>'5.Verdelingsmatrix lasten'!Afdrukbereik</vt:lpstr>
      <vt:lpstr>'6.Verdelingsmatrix baten'!Afdrukbereik</vt:lpstr>
      <vt:lpstr>'7.Balansstanden'!Afdrukbereik</vt:lpstr>
      <vt:lpstr>'8.Akkoordverklaring'!Afdrukbereik</vt:lpstr>
      <vt:lpstr>'9.Eindoordeel'!Afdrukbereik</vt:lpstr>
      <vt:lpstr>'9.Eindoordeel'!Afdruktitels</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provincie</dc:title>
  <dc:creator>Bureau Kredo</dc:creator>
  <cp:lastModifiedBy>cma207</cp:lastModifiedBy>
  <cp:lastPrinted>2015-05-26T12:32:05Z</cp:lastPrinted>
  <dcterms:created xsi:type="dcterms:W3CDTF">2003-06-19T13:24:40Z</dcterms:created>
  <dcterms:modified xsi:type="dcterms:W3CDTF">2015-06-15T06:26:57Z</dcterms:modified>
</cp:coreProperties>
</file>