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zhu\python-package\Quant_Bond\Data\"/>
    </mc:Choice>
  </mc:AlternateContent>
  <xr:revisionPtr revIDLastSave="0" documentId="13_ncr:1_{673E3C3F-BEF8-404A-845C-45797802722C}" xr6:coauthVersionLast="40" xr6:coauthVersionMax="40" xr10:uidLastSave="{00000000-0000-0000-0000-000000000000}"/>
  <bookViews>
    <workbookView xWindow="0" yWindow="0" windowWidth="28800" windowHeight="11850" xr2:uid="{00000000-000D-0000-FFFF-FFFF00000000}"/>
  </bookViews>
  <sheets>
    <sheet name="daily" sheetId="1" r:id="rId1"/>
    <sheet name="info" sheetId="2" r:id="rId2"/>
  </sheets>
  <externalReferences>
    <externalReference r:id="rId3"/>
  </externalReferences>
  <definedNames>
    <definedName name="_xlnm._FilterDatabase" localSheetId="0" hidden="1">daily!$A$1:$K$5</definedName>
    <definedName name="_xlnm._FilterDatabase" localSheetId="1" hidden="1">info!$A$1:$Y$8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W5" i="2"/>
  <c r="U2" i="2"/>
  <c r="M3" i="2"/>
  <c r="F4" i="2"/>
  <c r="N5" i="2"/>
  <c r="M4" i="2"/>
  <c r="C5" i="2"/>
  <c r="V8" i="2"/>
  <c r="S8" i="2"/>
  <c r="N3" i="2"/>
  <c r="M6" i="2"/>
  <c r="C2" i="1"/>
  <c r="L6" i="2"/>
  <c r="S4" i="2"/>
  <c r="S5" i="2"/>
  <c r="T5" i="2"/>
  <c r="P2" i="2"/>
  <c r="G6" i="2"/>
  <c r="F5" i="2"/>
  <c r="F9" i="2"/>
  <c r="Y6" i="2"/>
  <c r="R4" i="2"/>
  <c r="L8" i="2"/>
  <c r="M8" i="2"/>
  <c r="O8" i="2"/>
  <c r="U5" i="2"/>
  <c r="M2" i="2"/>
  <c r="R3" i="2"/>
  <c r="P8" i="2"/>
  <c r="K8" i="2"/>
  <c r="K6" i="2"/>
  <c r="P4" i="2"/>
  <c r="E6" i="2"/>
  <c r="N8" i="2"/>
  <c r="T6" i="2"/>
  <c r="B4" i="2"/>
  <c r="I6" i="2"/>
  <c r="Y5" i="2"/>
  <c r="Y4" i="2"/>
  <c r="R5" i="2"/>
  <c r="Q8" i="2"/>
  <c r="G5" i="2"/>
  <c r="U4" i="2"/>
  <c r="W4" i="2"/>
  <c r="M7" i="2"/>
  <c r="B2" i="2"/>
  <c r="F8" i="2"/>
  <c r="U9" i="2"/>
  <c r="R9" i="2"/>
  <c r="B8" i="2"/>
  <c r="D5" i="2"/>
  <c r="D8" i="1"/>
  <c r="C5" i="1"/>
  <c r="L9" i="2"/>
  <c r="C7" i="1"/>
  <c r="V6" i="2"/>
  <c r="C4" i="2"/>
  <c r="C9" i="2"/>
  <c r="V2" i="2"/>
  <c r="P3" i="2"/>
  <c r="I4" i="2"/>
  <c r="Q7" i="2"/>
  <c r="U3" i="2"/>
  <c r="E9" i="2"/>
  <c r="U7" i="2"/>
  <c r="V3" i="2"/>
  <c r="C8" i="2"/>
  <c r="K9" i="2"/>
  <c r="D3" i="2"/>
  <c r="P5" i="2"/>
  <c r="C2" i="2"/>
  <c r="V9" i="2"/>
  <c r="P7" i="2"/>
  <c r="D7" i="2"/>
  <c r="Q3" i="2"/>
  <c r="T2" i="2"/>
  <c r="Y7" i="2"/>
  <c r="O3" i="2"/>
  <c r="C3" i="2"/>
  <c r="O2" i="2"/>
  <c r="S3" i="2"/>
  <c r="K4" i="2"/>
  <c r="Q6" i="2"/>
  <c r="T9" i="2"/>
  <c r="E3" i="2"/>
  <c r="T4" i="2"/>
  <c r="W7" i="2"/>
  <c r="L3" i="2"/>
  <c r="O5" i="2"/>
  <c r="Y3" i="2"/>
  <c r="I8" i="2"/>
  <c r="B5" i="2"/>
  <c r="G9" i="2"/>
  <c r="L5" i="2"/>
  <c r="S6" i="2"/>
  <c r="C3" i="1"/>
  <c r="U8" i="2"/>
  <c r="O6" i="2"/>
  <c r="F3" i="2"/>
  <c r="C6" i="2"/>
  <c r="Q4" i="2"/>
  <c r="T3" i="2"/>
  <c r="W2" i="2"/>
  <c r="P6" i="2"/>
  <c r="S9" i="2"/>
  <c r="F7" i="2"/>
  <c r="E7" i="2"/>
  <c r="E4" i="2"/>
  <c r="D6" i="1"/>
  <c r="K5" i="2"/>
  <c r="P9" i="2"/>
  <c r="Q2" i="2"/>
  <c r="W9" i="2"/>
  <c r="Q9" i="2"/>
  <c r="F6" i="2"/>
  <c r="D4" i="1"/>
  <c r="E4" i="1" s="1"/>
  <c r="D7" i="1"/>
  <c r="T8" i="2"/>
  <c r="I3" i="2"/>
  <c r="R8" i="2"/>
  <c r="D2" i="1"/>
  <c r="E2" i="1" s="1"/>
  <c r="G7" i="2"/>
  <c r="I9" i="2"/>
  <c r="B6" i="2"/>
  <c r="F2" i="2"/>
  <c r="K7" i="2"/>
  <c r="D6" i="2"/>
  <c r="E8" i="2"/>
  <c r="E5" i="2"/>
  <c r="V5" i="2"/>
  <c r="U6" i="2"/>
  <c r="D2" i="2"/>
  <c r="C4" i="1"/>
  <c r="D8" i="2"/>
  <c r="I5" i="2"/>
  <c r="V4" i="2"/>
  <c r="L7" i="2"/>
  <c r="N2" i="2"/>
  <c r="W3" i="2"/>
  <c r="E7" i="1"/>
  <c r="W8" i="2"/>
  <c r="S7" i="2"/>
  <c r="D9" i="2"/>
  <c r="E2" i="2"/>
  <c r="N6" i="2"/>
  <c r="Y8" i="2"/>
  <c r="B9" i="2"/>
  <c r="W6" i="2"/>
  <c r="K3" i="2"/>
  <c r="O9" i="2"/>
  <c r="R7" i="2"/>
  <c r="D3" i="1"/>
  <c r="E3" i="1" s="1"/>
  <c r="I7" i="2"/>
  <c r="R6" i="2"/>
  <c r="N7" i="2"/>
  <c r="Y9" i="2"/>
  <c r="T7" i="2"/>
  <c r="C8" i="1"/>
  <c r="Y2" i="2"/>
  <c r="M5" i="2"/>
  <c r="O7" i="2"/>
  <c r="V7" i="2"/>
  <c r="K2" i="2"/>
  <c r="C6" i="1"/>
  <c r="N4" i="2"/>
  <c r="I2" i="2"/>
  <c r="D4" i="2"/>
  <c r="N9" i="2"/>
  <c r="B7" i="2"/>
  <c r="O4" i="2"/>
  <c r="S2" i="2"/>
  <c r="M9" i="2"/>
  <c r="G8" i="2"/>
  <c r="L4" i="2"/>
  <c r="L2" i="2"/>
  <c r="D5" i="1"/>
  <c r="C7" i="2"/>
  <c r="R2" i="2"/>
  <c r="Q5" i="2"/>
  <c r="B3" i="2"/>
  <c r="E8" i="1"/>
  <c r="E6" i="1"/>
  <c r="H4" i="2" l="1"/>
  <c r="G5" i="1"/>
  <c r="H5" i="1"/>
  <c r="X2" i="2"/>
  <c r="X9" i="2"/>
  <c r="X8" i="2"/>
  <c r="H9" i="2"/>
  <c r="H8" i="2"/>
  <c r="H2" i="2"/>
  <c r="H6" i="2"/>
  <c r="X3" i="2"/>
  <c r="X7" i="2"/>
  <c r="H7" i="2"/>
  <c r="H3" i="2"/>
  <c r="H5" i="2"/>
  <c r="G7" i="1"/>
  <c r="H7" i="1"/>
  <c r="X4" i="2"/>
  <c r="X5" i="2"/>
  <c r="H2" i="1"/>
  <c r="G2" i="1"/>
  <c r="H8" i="1"/>
  <c r="G8" i="1"/>
  <c r="X6" i="2"/>
  <c r="G6" i="1"/>
  <c r="H6" i="1"/>
  <c r="H4" i="1"/>
  <c r="G4" i="1"/>
  <c r="G3" i="1"/>
  <c r="H3" i="1"/>
  <c r="I3" i="1"/>
  <c r="J3" i="1"/>
  <c r="K3" i="1"/>
  <c r="F3" i="1"/>
  <c r="F5" i="1"/>
  <c r="J4" i="1"/>
  <c r="K4" i="1"/>
  <c r="I4" i="1"/>
  <c r="F4" i="1"/>
  <c r="J2" i="1"/>
  <c r="F2" i="1"/>
  <c r="K2" i="1"/>
  <c r="I2" i="1"/>
  <c r="F7" i="1"/>
  <c r="K7" i="1"/>
  <c r="J7" i="1"/>
  <c r="I7" i="1"/>
  <c r="J6" i="1"/>
  <c r="K6" i="1"/>
  <c r="I6" i="1"/>
  <c r="F6" i="1"/>
  <c r="I8" i="1"/>
  <c r="J8" i="1"/>
  <c r="F8" i="1"/>
  <c r="K8" i="1"/>
  <c r="E5" i="1"/>
  <c r="G2" i="2"/>
  <c r="G4" i="2"/>
  <c r="G3" i="2"/>
  <c r="K5" i="1"/>
  <c r="I5" i="1"/>
  <c r="J5" i="1"/>
</calcChain>
</file>

<file path=xl/sharedStrings.xml><?xml version="1.0" encoding="utf-8"?>
<sst xmlns="http://schemas.openxmlformats.org/spreadsheetml/2006/main" count="60" uniqueCount="45">
  <si>
    <t>YTM</t>
  </si>
  <si>
    <t>应计利息</t>
    <phoneticPr fontId="2" type="noConversion"/>
  </si>
  <si>
    <t>凸性</t>
  </si>
  <si>
    <t>180022.IB</t>
  </si>
  <si>
    <t>180021.IB</t>
  </si>
  <si>
    <t>180023.IB</t>
  </si>
  <si>
    <t>180020.IB</t>
  </si>
  <si>
    <t>180019.IB</t>
  </si>
  <si>
    <t>150021.IB</t>
  </si>
  <si>
    <t>180024.IB</t>
  </si>
  <si>
    <t>180012.IB</t>
  </si>
  <si>
    <t>期限</t>
    <phoneticPr fontId="2" type="noConversion"/>
  </si>
  <si>
    <t>计息截至日</t>
    <phoneticPr fontId="2" type="noConversion"/>
  </si>
  <si>
    <t>计息基准</t>
    <phoneticPr fontId="2" type="noConversion"/>
  </si>
  <si>
    <t>年度第一次付息</t>
    <phoneticPr fontId="2" type="noConversion"/>
  </si>
  <si>
    <t>年度第二次付息</t>
    <phoneticPr fontId="2" type="noConversion"/>
  </si>
  <si>
    <t>最后一次付息日</t>
    <phoneticPr fontId="2" type="noConversion"/>
  </si>
  <si>
    <t>付息日说明</t>
    <phoneticPr fontId="2" type="noConversion"/>
  </si>
  <si>
    <t>上市日期</t>
    <phoneticPr fontId="2" type="noConversion"/>
  </si>
  <si>
    <t>发行起始日</t>
    <phoneticPr fontId="2" type="noConversion"/>
  </si>
  <si>
    <t>发行截止日</t>
    <phoneticPr fontId="2" type="noConversion"/>
  </si>
  <si>
    <t>缴款起始日</t>
    <phoneticPr fontId="2" type="noConversion"/>
  </si>
  <si>
    <t>兑付日</t>
    <phoneticPr fontId="2" type="noConversion"/>
  </si>
  <si>
    <t>兑付登记日</t>
    <phoneticPr fontId="2" type="noConversion"/>
  </si>
  <si>
    <t>摘牌日期</t>
    <phoneticPr fontId="2" type="noConversion"/>
  </si>
  <si>
    <t>发行价格</t>
  </si>
  <si>
    <t>发行总额</t>
    <phoneticPr fontId="2" type="noConversion"/>
  </si>
  <si>
    <t>债券余额</t>
    <phoneticPr fontId="2" type="noConversion"/>
  </si>
  <si>
    <t>到期兑付金额</t>
  </si>
  <si>
    <t>Date</t>
    <phoneticPr fontId="1" type="noConversion"/>
  </si>
  <si>
    <t>GB</t>
    <phoneticPr fontId="1" type="noConversion"/>
  </si>
  <si>
    <t>久期(macaulay)</t>
    <phoneticPr fontId="1" type="noConversion"/>
  </si>
  <si>
    <t>久期(modified)</t>
    <phoneticPr fontId="1" type="noConversion"/>
  </si>
  <si>
    <t>付息convention</t>
    <phoneticPr fontId="1" type="noConversion"/>
  </si>
  <si>
    <t>Following</t>
    <phoneticPr fontId="1" type="noConversion"/>
  </si>
  <si>
    <t>Maturity</t>
    <phoneticPr fontId="1" type="noConversion"/>
  </si>
  <si>
    <t>Terminate</t>
    <phoneticPr fontId="1" type="noConversion"/>
  </si>
  <si>
    <t>Issue</t>
    <phoneticPr fontId="1" type="noConversion"/>
  </si>
  <si>
    <t>couponFreq</t>
    <phoneticPr fontId="2" type="noConversion"/>
  </si>
  <si>
    <t>Dirty</t>
    <phoneticPr fontId="2" type="noConversion"/>
  </si>
  <si>
    <t>Clean</t>
    <phoneticPr fontId="2" type="noConversion"/>
  </si>
  <si>
    <t>couponRate</t>
    <phoneticPr fontId="2" type="noConversion"/>
  </si>
  <si>
    <t>MaturityDay</t>
    <phoneticPr fontId="1" type="noConversion"/>
  </si>
  <si>
    <t>coupon</t>
    <phoneticPr fontId="1" type="noConversion"/>
  </si>
  <si>
    <t>GB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</si>
</sst>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0"/>
    <numFmt numFmtId="177" formatCode="###,###,##0.0000"/>
    <numFmt numFmtId="178" formatCode="###,###,##0.000000"/>
    <numFmt numFmtId="179" formatCode="0.00_);[Red]\(0.00\)"/>
    <numFmt numFmtId="180" formatCode="###,###,##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/>
    <xf numFmtId="179" fontId="0" fillId="0" borderId="1" xfId="0" applyNumberFormat="1" applyBorder="1" applyAlignment="1">
      <alignment vertical="top"/>
    </xf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3" borderId="1" xfId="0" applyFill="1" applyBorder="1" applyAlignment="1"/>
    <xf numFmtId="180" fontId="0" fillId="0" borderId="1" xfId="0" applyNumberFormat="1" applyBorder="1" applyAlignment="1"/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/>
    <xf numFmtId="178" fontId="0" fillId="0" borderId="1" xfId="0" applyNumberFormat="1" applyBorder="1" applyAlignment="1"/>
    <xf numFmtId="0" fontId="0" fillId="0" borderId="1" xfId="0" quotePrefix="1" applyBorder="1" applyAlignment="1">
      <alignment vertical="top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calc_accrued"/>
      <definedName name="b_calc_conv"/>
      <definedName name="b_calc_duration"/>
      <definedName name="b_calc_mduration"/>
      <definedName name="B_Calc_Yield"/>
      <definedName name="b_dq_close"/>
      <definedName name="b_info_actualbenchmark"/>
      <definedName name="b_info_carrydate"/>
      <definedName name="b_info_carryenddate"/>
      <definedName name="b_info_coupondatetxt"/>
      <definedName name="b_info_couponrate"/>
      <definedName name="b_info_interestfrequency"/>
      <definedName name="b_info_issueamount"/>
      <definedName name="b_info_listeddate"/>
      <definedName name="b_info_maturitydate"/>
      <definedName name="b_info_outstandingbalance"/>
      <definedName name="b_info_par"/>
      <definedName name="b_info_term"/>
      <definedName name="b_issue_firstissue"/>
      <definedName name="b_issue_lastissue"/>
      <definedName name="b_redemption_beginning"/>
      <definedName name="b_redemption_regbeginning"/>
      <definedName name="b_tender_paymentdate"/>
      <definedName name="paymentdate"/>
      <definedName name="s_info_delist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15" sqref="C15"/>
    </sheetView>
  </sheetViews>
  <sheetFormatPr defaultRowHeight="14.25" x14ac:dyDescent="0.2"/>
  <cols>
    <col min="1" max="1" width="10.5" style="2" bestFit="1" customWidth="1"/>
    <col min="2" max="2" width="11.625" style="2" bestFit="1" customWidth="1"/>
    <col min="3" max="3" width="9" style="2" bestFit="1" customWidth="1"/>
    <col min="4" max="4" width="11" style="2" bestFit="1" customWidth="1"/>
    <col min="5" max="5" width="8.875" style="2" bestFit="1" customWidth="1"/>
    <col min="6" max="6" width="11" style="2" bestFit="1" customWidth="1"/>
    <col min="7" max="7" width="12.75" style="2" bestFit="1" customWidth="1"/>
    <col min="8" max="8" width="12.75" style="2" customWidth="1"/>
    <col min="9" max="9" width="16.75" style="2" customWidth="1"/>
    <col min="10" max="10" width="15.375" style="2" bestFit="1" customWidth="1"/>
    <col min="11" max="16384" width="9" style="2"/>
  </cols>
  <sheetData>
    <row r="1" spans="1:11" s="1" customFormat="1" x14ac:dyDescent="0.2">
      <c r="A1" s="3" t="s">
        <v>30</v>
      </c>
      <c r="B1" s="4" t="s">
        <v>29</v>
      </c>
      <c r="C1" s="4" t="s">
        <v>40</v>
      </c>
      <c r="D1" s="4" t="s">
        <v>39</v>
      </c>
      <c r="E1" s="4" t="s">
        <v>0</v>
      </c>
      <c r="F1" s="4" t="s">
        <v>1</v>
      </c>
      <c r="G1" s="12" t="s">
        <v>35</v>
      </c>
      <c r="H1" s="12" t="s">
        <v>42</v>
      </c>
      <c r="I1" s="12" t="s">
        <v>31</v>
      </c>
      <c r="J1" s="13" t="s">
        <v>32</v>
      </c>
      <c r="K1" s="4" t="s">
        <v>2</v>
      </c>
    </row>
    <row r="2" spans="1:11" s="1" customFormat="1" x14ac:dyDescent="0.2">
      <c r="A2" s="15" t="s">
        <v>3</v>
      </c>
      <c r="B2" s="3">
        <v>43411</v>
      </c>
      <c r="C2" s="13">
        <f>[1]!b_dq_close(A2,B2,1)</f>
        <v>100.0907</v>
      </c>
      <c r="D2" s="13">
        <f>[1]!b_dq_close(A2,B2,2)</f>
        <v>100.2551</v>
      </c>
      <c r="E2" s="13">
        <f>[1]!B_Calc_Yield(A2,B2,D2,2,"",,,,"",)</f>
        <v>2.9501221482324205</v>
      </c>
      <c r="F2" s="14">
        <f>[1]!b_calc_accrued(A2,B2,info!M2,info!K2,info!Y2,info!X2,info!C2,100)</f>
        <v>0.16438356164383561</v>
      </c>
      <c r="G2" s="4">
        <f>(info!M2-B2)/365</f>
        <v>1.9479452054794522</v>
      </c>
      <c r="H2" s="6">
        <f>(info!M2-B2)</f>
        <v>711</v>
      </c>
      <c r="I2" s="13">
        <f>[1]!b_calc_duration(A2,B2,E2,info!M2,info!K2,info!Y2,info!X2,info!C2,)</f>
        <v>1.9187506737287863</v>
      </c>
      <c r="J2" s="13">
        <f>[1]!b_calc_mduration(A2,B2,E2,info!M2,info!K2,info!Y2,info!X2,info!C2,)</f>
        <v>1.863767663876758</v>
      </c>
      <c r="K2" s="13">
        <f>[1]!b_calc_conv(A2,B2,E2,info!M2,info!K2,info!Y2,info!X2,info!C2,)</f>
        <v>5.3103960522349105</v>
      </c>
    </row>
    <row r="3" spans="1:11" s="1" customFormat="1" x14ac:dyDescent="0.2">
      <c r="A3" s="15" t="s">
        <v>4</v>
      </c>
      <c r="B3" s="3">
        <v>43411</v>
      </c>
      <c r="C3" s="13">
        <f>[1]!b_dq_close(A3,B3,1)</f>
        <v>100.13420000000001</v>
      </c>
      <c r="D3" s="13">
        <f>[1]!b_dq_close(A3,B3,2)</f>
        <v>100.3687</v>
      </c>
      <c r="E3" s="13">
        <f>[1]!B_Calc_Yield(A3,B3,D3,2,"",,,,"",)</f>
        <v>3.1200912204026658</v>
      </c>
      <c r="F3" s="14">
        <f>[1]!b_calc_accrued(A3,B3,info!M3,info!K3,info!Y3,info!X3,info!C3,100)</f>
        <v>0.23449315068493151</v>
      </c>
      <c r="G3" s="4">
        <f>(info!M3-B3)/365</f>
        <v>2.9287671232876713</v>
      </c>
      <c r="H3" s="6">
        <f>(info!M3-B3)</f>
        <v>1069</v>
      </c>
      <c r="I3" s="13">
        <f>[1]!b_calc_duration(A3,B3,E3,info!M3,info!K3,info!Y3,info!X3,info!C3,)</f>
        <v>2.8375140209559722</v>
      </c>
      <c r="J3" s="13">
        <f>[1]!b_calc_mduration(A3,B3,E3,info!M3,info!K3,info!Y3,info!X3,info!C3,)</f>
        <v>2.7516594931114033</v>
      </c>
      <c r="K3" s="13">
        <f>[1]!b_calc_conv(A3,B3,E3,info!M3,info!K3,info!Y3,info!X3,info!C3,)</f>
        <v>10.375148194203453</v>
      </c>
    </row>
    <row r="4" spans="1:11" s="1" customFormat="1" x14ac:dyDescent="0.2">
      <c r="A4" s="15" t="s">
        <v>5</v>
      </c>
      <c r="B4" s="3">
        <v>43411</v>
      </c>
      <c r="C4" s="13">
        <f>[1]!b_dq_close(A4,B4,1)</f>
        <v>99.952200000000005</v>
      </c>
      <c r="D4" s="13">
        <f>[1]!b_dq_close(A4,B4,2)</f>
        <v>100.13249999999999</v>
      </c>
      <c r="E4" s="13">
        <f>[1]!B_Calc_Yield(A4,B4,D4,2,"",,,,"",)</f>
        <v>3.3000161186095465</v>
      </c>
      <c r="F4" s="14">
        <f>[1]!b_calc_accrued(A4,B4,info!M4,info!K4,info!Y4,info!X4,info!C4,100)</f>
        <v>0.18027397260273972</v>
      </c>
      <c r="G4" s="4">
        <f>(info!M4-B4)/365</f>
        <v>4.9479452054794519</v>
      </c>
      <c r="H4" s="6">
        <f>(info!M4-B4)</f>
        <v>1806</v>
      </c>
      <c r="I4" s="13">
        <f>[1]!b_calc_duration(A4,B4,E4,info!M4,info!K4,info!Y4,info!X4,info!C4,)</f>
        <v>4.6392304001429219</v>
      </c>
      <c r="J4" s="13">
        <f>[1]!b_calc_mduration(A4,B4,E4,info!M4,info!K4,info!Y4,info!X4,info!C4,)</f>
        <v>4.4910265248237389</v>
      </c>
      <c r="K4" s="13">
        <f>[1]!b_calc_conv(A4,B4,E4,info!M4,info!K4,info!Y4,info!X4,info!C4,)</f>
        <v>25.303018236397644</v>
      </c>
    </row>
    <row r="5" spans="1:11" s="1" customFormat="1" x14ac:dyDescent="0.2">
      <c r="A5" s="15" t="s">
        <v>6</v>
      </c>
      <c r="B5" s="3">
        <v>43411</v>
      </c>
      <c r="C5" s="13">
        <f>[1]!b_dq_close(A5,B5,1)</f>
        <v>100.58929999999999</v>
      </c>
      <c r="D5" s="13">
        <f>[1]!b_dq_close(A5,B5,2)</f>
        <v>101.2008</v>
      </c>
      <c r="E5" s="13">
        <f>[1]!B_Calc_Yield(A5,B5,D5,2,"",,,,"",)</f>
        <v>3.5000500932278644</v>
      </c>
      <c r="F5" s="14">
        <f>[1]!b_calc_accrued(A5,B5,info!M5,info!K5,info!Y5,info!X5,info!C5,100)</f>
        <v>0.61150684931506849</v>
      </c>
      <c r="G5" s="4">
        <f>(info!M5-B5)/365</f>
        <v>6.8356164383561646</v>
      </c>
      <c r="H5" s="6">
        <f>(info!M5-B5)</f>
        <v>2495</v>
      </c>
      <c r="I5" s="13">
        <f>[1]!b_calc_duration(A5,B5,E5,info!M5,info!K5,info!Y5,info!X5,info!C5,)</f>
        <v>6.1485738100819072</v>
      </c>
      <c r="J5" s="13">
        <f>[1]!b_calc_mduration(A5,B5,E5,info!M5,info!K5,info!Y5,info!X5,info!C5,)</f>
        <v>5.9406452844798281</v>
      </c>
      <c r="K5" s="13">
        <f>[1]!b_calc_conv(A5,B5,E5,info!M5,info!K5,info!Y5,info!X5,info!C5,)</f>
        <v>43.412758267596679</v>
      </c>
    </row>
    <row r="6" spans="1:11" x14ac:dyDescent="0.2">
      <c r="A6" s="15" t="s">
        <v>7</v>
      </c>
      <c r="B6" s="3">
        <v>43411</v>
      </c>
      <c r="C6" s="13">
        <f>[1]!b_dq_close(A6,B6,1)</f>
        <v>100.4896</v>
      </c>
      <c r="D6" s="13">
        <f>[1]!b_dq_close(A6,B6,2)</f>
        <v>101.288</v>
      </c>
      <c r="E6" s="13">
        <f>[1]!B_Calc_Yield(A6,B6,D6,2,"",,,,"",)</f>
        <v>3.4800222090661963</v>
      </c>
      <c r="F6" s="14">
        <f>[1]!b_calc_accrued(A6,B6,info!M6,info!K6,info!Y6,info!X6,info!C6,100)</f>
        <v>0.79842391304347826</v>
      </c>
      <c r="G6" s="4">
        <f>(info!M6-B6)/365</f>
        <v>9.7808219178082183</v>
      </c>
      <c r="H6" s="6">
        <f>(info!M6-B6)</f>
        <v>3570</v>
      </c>
      <c r="I6" s="13">
        <f>[1]!b_calc_duration(A6,B6,E6,info!M6,info!K6,info!Y6,info!X6,info!C6,)</f>
        <v>8.2948046878857529</v>
      </c>
      <c r="J6" s="13">
        <f>[1]!b_calc_mduration(A6,B6,E6,info!M6,info!K6,info!Y6,info!X6,info!C6,)</f>
        <v>8.0158530033685285</v>
      </c>
      <c r="K6" s="13">
        <f>[1]!b_calc_conv(A6,B6,E6,info!M6,info!K6,info!Y6,info!X6,info!C6,)</f>
        <v>79.384535911994845</v>
      </c>
    </row>
    <row r="7" spans="1:11" x14ac:dyDescent="0.2">
      <c r="A7" s="15" t="s">
        <v>8</v>
      </c>
      <c r="B7" s="3">
        <v>43411</v>
      </c>
      <c r="C7" s="13">
        <f>[1]!b_dq_close(A7,B7,1)</f>
        <v>99.447199999999995</v>
      </c>
      <c r="D7" s="13">
        <f>[1]!b_dq_close(A7,B7,2)</f>
        <v>99.922399999999996</v>
      </c>
      <c r="E7" s="13">
        <f>[1]!B_Calc_Yield(A7,B7,D7,2,"",,,,"",)</f>
        <v>3.7843631399829292</v>
      </c>
      <c r="F7" s="14">
        <f>[1]!b_calc_accrued(A7,B7,info!M7,info!K7,info!Y7,info!X7,info!C7,100)</f>
        <v>0.47524861878453045</v>
      </c>
      <c r="G7" s="4">
        <f>(info!M7-B7)/365</f>
        <v>16.884931506849316</v>
      </c>
      <c r="H7" s="6">
        <f>(info!M7-B7)</f>
        <v>6163</v>
      </c>
      <c r="I7" s="13">
        <f>[1]!b_calc_duration(A7,B7,E7,info!M7,info!K7,info!Y7,info!X7,info!C7,)</f>
        <v>12.607999107667485</v>
      </c>
      <c r="J7" s="13">
        <f>[1]!b_calc_mduration(A7,B7,E7,info!M7,info!K7,info!Y7,info!X7,info!C7,)</f>
        <v>12.148260343237986</v>
      </c>
      <c r="K7" s="13">
        <f>[1]!b_calc_conv(A7,B7,E7,info!M7,info!K7,info!Y7,info!X7,info!C7,)</f>
        <v>189.63527261613825</v>
      </c>
    </row>
    <row r="8" spans="1:11" x14ac:dyDescent="0.2">
      <c r="A8" s="15" t="s">
        <v>9</v>
      </c>
      <c r="B8" s="3">
        <v>43411</v>
      </c>
      <c r="C8" s="13">
        <f>[1]!b_dq_close(A8,B8,1)</f>
        <v>100.6844</v>
      </c>
      <c r="D8" s="13">
        <f>[1]!b_dq_close(A8,B8,2)</f>
        <v>100.8638</v>
      </c>
      <c r="E8" s="13">
        <f>[1]!B_Calc_Yield(A8,B8,D8,2,"",,,,"",)</f>
        <v>4.040302196722811</v>
      </c>
      <c r="F8" s="14">
        <f>[1]!b_calc_accrued(A8,B8,info!M8,info!K8,info!Y8,info!X8,info!C8,100)</f>
        <v>0.17934065934065935</v>
      </c>
      <c r="G8" s="4">
        <f>(info!M8-B8)/365</f>
        <v>29.978082191780821</v>
      </c>
      <c r="H8" s="6">
        <f>(info!M8-B8)</f>
        <v>10942</v>
      </c>
      <c r="I8" s="13">
        <f>[1]!b_calc_duration(A8,B8,E8,info!M8,info!K8,info!Y8,info!X8,info!C8,)</f>
        <v>17.619136888663931</v>
      </c>
      <c r="J8" s="13">
        <f>[1]!b_calc_mduration(A8,B8,E8,info!M8,info!K8,info!Y8,info!X8,info!C8,)</f>
        <v>16.934915497806074</v>
      </c>
      <c r="K8" s="13">
        <f>[1]!b_calc_conv(A8,B8,E8,info!M8,info!K8,info!Y8,info!X8,info!C8,)</f>
        <v>411.58334748188798</v>
      </c>
    </row>
    <row r="9" spans="1:11" x14ac:dyDescent="0.2">
      <c r="A9" s="15" t="s">
        <v>10</v>
      </c>
      <c r="B9" s="3">
        <v>43411</v>
      </c>
      <c r="C9" s="13">
        <f>[1]!b_dq_close(A9,B9,1)</f>
        <v>101.72709999999999</v>
      </c>
      <c r="D9" s="13">
        <f>[1]!b_dq_close(A9,B9,2)</f>
        <v>103.63500000000001</v>
      </c>
      <c r="E9" s="13">
        <f>[1]!B_Calc_Yield(A9,B9,D9,2,"",,,,"",)</f>
        <v>4.0488748042549743</v>
      </c>
      <c r="F9" s="14">
        <f>[1]!b_calc_accrued(A9,B9,info!M9,info!K9,info!Y9,info!X9,info!C9,100)</f>
        <v>1.9078804347826088</v>
      </c>
      <c r="G9" s="4">
        <f>(info!M9-B9)/365</f>
        <v>49.56986301369863</v>
      </c>
      <c r="H9" s="6">
        <f>(info!M9-B9)</f>
        <v>18093</v>
      </c>
      <c r="I9" s="13">
        <f>[1]!b_calc_duration(A9,B9,E9,info!M9,info!K9,info!Y9,info!X9,info!C9,)</f>
        <v>21.378611387284401</v>
      </c>
      <c r="J9" s="13">
        <f>[1]!b_calc_mduration(A9,B9,E9,info!M9,info!K9,info!Y9,info!X9,info!C9,)</f>
        <v>20.546696204654157</v>
      </c>
      <c r="K9" s="13">
        <f>[1]!b_calc_conv(A9,B9,E9,info!M9,info!K9,info!Y9,info!X9,info!C9,)</f>
        <v>699.3363872295572</v>
      </c>
    </row>
  </sheetData>
  <autoFilter ref="A1:K5" xr:uid="{00000000-0009-0000-0000-000000000000}"/>
  <phoneticPr fontId="1" type="noConversion"/>
  <conditionalFormatting sqref="G1:H9">
    <cfRule type="duplicateValues" dxfId="4" priority="4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"/>
  <sheetViews>
    <sheetView workbookViewId="0">
      <selection activeCell="J11" sqref="J11"/>
    </sheetView>
  </sheetViews>
  <sheetFormatPr defaultRowHeight="14.25" x14ac:dyDescent="0.2"/>
  <cols>
    <col min="1" max="1" width="9.875" bestFit="1" customWidth="1"/>
    <col min="2" max="2" width="10" bestFit="1" customWidth="1"/>
    <col min="3" max="4" width="11.625" bestFit="1" customWidth="1"/>
    <col min="5" max="5" width="9" bestFit="1" customWidth="1"/>
    <col min="6" max="8" width="15.125" bestFit="1" customWidth="1"/>
    <col min="9" max="9" width="37.875" bestFit="1" customWidth="1"/>
    <col min="10" max="10" width="15.5" customWidth="1"/>
    <col min="11" max="12" width="11" bestFit="1" customWidth="1"/>
    <col min="13" max="20" width="11.625" bestFit="1" customWidth="1"/>
    <col min="24" max="24" width="13" bestFit="1" customWidth="1"/>
    <col min="25" max="25" width="5.5" bestFit="1" customWidth="1"/>
  </cols>
  <sheetData>
    <row r="1" spans="1:25" x14ac:dyDescent="0.2">
      <c r="A1" s="4" t="s">
        <v>44</v>
      </c>
      <c r="B1" s="3" t="s">
        <v>11</v>
      </c>
      <c r="C1" s="4" t="s">
        <v>37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5" t="s">
        <v>17</v>
      </c>
      <c r="J1" s="5" t="s">
        <v>33</v>
      </c>
      <c r="K1" s="4" t="s">
        <v>38</v>
      </c>
      <c r="L1" s="4" t="s">
        <v>41</v>
      </c>
      <c r="M1" s="4" t="s">
        <v>36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4" t="s">
        <v>25</v>
      </c>
      <c r="V1" s="8" t="s">
        <v>26</v>
      </c>
      <c r="W1" s="8" t="s">
        <v>27</v>
      </c>
      <c r="X1" s="4" t="s">
        <v>28</v>
      </c>
      <c r="Y1" s="4" t="s">
        <v>43</v>
      </c>
    </row>
    <row r="2" spans="1:25" x14ac:dyDescent="0.2">
      <c r="A2" s="15" t="s">
        <v>3</v>
      </c>
      <c r="B2" s="16">
        <f>[1]!b_info_term(A2)</f>
        <v>2</v>
      </c>
      <c r="C2" s="8" t="str">
        <f>[1]!b_info_carrydate(A2)</f>
        <v>2018-10-18</v>
      </c>
      <c r="D2" s="8" t="str">
        <f>[1]!b_info_carryenddate(A2)</f>
        <v>2020-10-17</v>
      </c>
      <c r="E2" s="8" t="str">
        <f>[1]!b_info_actualbenchmark(A2)</f>
        <v>ACT/ACT</v>
      </c>
      <c r="F2" s="8" t="str">
        <f>[1]!paymentdate(A2,1)</f>
        <v>10月18日</v>
      </c>
      <c r="G2" s="8" t="str">
        <f>IF([1]!paymentdate(A2,2)=F2,"",[1]!paymentdate(A2,2))</f>
        <v/>
      </c>
      <c r="H2" s="3">
        <f t="shared" ref="H2:H6" si="0">DATE(YEAR(D2),MONTH(F2),DAY(F2))</f>
        <v>44122</v>
      </c>
      <c r="I2" s="6" t="str">
        <f>[1]!b_info_coupondatetxt(A2)</f>
        <v>每年10月18日付息,节假日顺延</v>
      </c>
      <c r="J2" s="6" t="s">
        <v>34</v>
      </c>
      <c r="K2" s="4">
        <f>[1]!b_info_interestfrequency(A2)</f>
        <v>1</v>
      </c>
      <c r="L2" s="4">
        <f>[1]!b_info_couponrate(A2)</f>
        <v>3</v>
      </c>
      <c r="M2" s="7" t="str">
        <f>[1]!b_info_maturitydate(A2)</f>
        <v>2020-10-18</v>
      </c>
      <c r="N2" s="9" t="str">
        <f>[1]!b_info_listeddate(A2)</f>
        <v>2018-10-22</v>
      </c>
      <c r="O2" s="10" t="str">
        <f>[1]!b_issue_firstissue(A2)</f>
        <v>2018-10-17</v>
      </c>
      <c r="P2" s="4" t="str">
        <f>[1]!b_issue_lastissue(A2)</f>
        <v>2018-10-18</v>
      </c>
      <c r="Q2" s="4" t="str">
        <f>[1]!b_tender_paymentdate(A2)</f>
        <v>2018-10-18</v>
      </c>
      <c r="R2" s="4" t="str">
        <f>[1]!b_redemption_beginning(A2)</f>
        <v>2020-10-18</v>
      </c>
      <c r="S2" s="4" t="str">
        <f>[1]!b_redemption_regbeginning(A2)</f>
        <v>2020-10-14</v>
      </c>
      <c r="T2" s="4" t="str">
        <f>[1]!s_info_delistdate(A2)</f>
        <v>2020-10-16</v>
      </c>
      <c r="U2" s="4">
        <f>[1]!b_info_par(A2)</f>
        <v>100</v>
      </c>
      <c r="V2" s="11">
        <f>[1]!b_info_issueamount(A2,100000000)</f>
        <v>491.2</v>
      </c>
      <c r="W2" s="11">
        <f>[1]!b_info_outstandingbalance(A2,"2018-11-02")</f>
        <v>290</v>
      </c>
      <c r="X2" s="4">
        <f t="shared" ref="X2:X6" si="1">100+Y2/K2</f>
        <v>103</v>
      </c>
      <c r="Y2" s="4">
        <f>[1]!b_info_couponrate(A2)</f>
        <v>3</v>
      </c>
    </row>
    <row r="3" spans="1:25" x14ac:dyDescent="0.2">
      <c r="A3" s="15" t="s">
        <v>4</v>
      </c>
      <c r="B3" s="16">
        <f>[1]!b_info_term(A3)</f>
        <v>3</v>
      </c>
      <c r="C3" s="8" t="str">
        <f>[1]!b_info_carrydate(A3)</f>
        <v>2018-10-11</v>
      </c>
      <c r="D3" s="8" t="str">
        <f>[1]!b_info_carryenddate(A3)</f>
        <v>2021-10-10</v>
      </c>
      <c r="E3" s="8" t="str">
        <f>[1]!b_info_actualbenchmark(A3)</f>
        <v>ACT/ACT</v>
      </c>
      <c r="F3" s="8" t="str">
        <f>[1]!paymentdate(A3,1)</f>
        <v>10月11日</v>
      </c>
      <c r="G3" s="8" t="str">
        <f>IF([1]!paymentdate(A3,2)=F3,"",[1]!paymentdate(A3,2))</f>
        <v/>
      </c>
      <c r="H3" s="3">
        <f t="shared" si="0"/>
        <v>44480</v>
      </c>
      <c r="I3" s="6" t="str">
        <f>[1]!b_info_coupondatetxt(A3)</f>
        <v>每年10月11日付息,节假日顺延</v>
      </c>
      <c r="J3" s="6" t="s">
        <v>34</v>
      </c>
      <c r="K3" s="4">
        <f>[1]!b_info_interestfrequency(A3)</f>
        <v>1</v>
      </c>
      <c r="L3" s="4">
        <f>[1]!b_info_couponrate(A3)</f>
        <v>3.17</v>
      </c>
      <c r="M3" s="7" t="str">
        <f>[1]!b_info_maturitydate(A3)</f>
        <v>2021-10-11</v>
      </c>
      <c r="N3" s="9" t="str">
        <f>[1]!b_info_listeddate(A3)</f>
        <v>2018-10-15</v>
      </c>
      <c r="O3" s="10" t="str">
        <f>[1]!b_issue_firstissue(A3)</f>
        <v>2018-10-10</v>
      </c>
      <c r="P3" s="4" t="str">
        <f>[1]!b_issue_lastissue(A3)</f>
        <v>2018-10-11</v>
      </c>
      <c r="Q3" s="4" t="str">
        <f>[1]!b_tender_paymentdate(A3)</f>
        <v>2018-10-11</v>
      </c>
      <c r="R3" s="4" t="str">
        <f>[1]!b_redemption_beginning(A3)</f>
        <v>2021-10-11</v>
      </c>
      <c r="S3" s="4" t="str">
        <f>[1]!b_redemption_regbeginning(A3)</f>
        <v>2021-10-06</v>
      </c>
      <c r="T3" s="4" t="str">
        <f>[1]!s_info_delistdate(A3)</f>
        <v>2021-10-08</v>
      </c>
      <c r="U3" s="4">
        <f>[1]!b_info_par(A3)</f>
        <v>100</v>
      </c>
      <c r="V3" s="11">
        <f>[1]!b_info_issueamount(A3,100000000)</f>
        <v>740.2</v>
      </c>
      <c r="W3" s="11">
        <f>[1]!b_info_outstandingbalance(A3,"2018-11-02")</f>
        <v>390.2</v>
      </c>
      <c r="X3" s="4">
        <f t="shared" si="1"/>
        <v>103.17</v>
      </c>
      <c r="Y3" s="4">
        <f>[1]!b_info_couponrate(A3)</f>
        <v>3.17</v>
      </c>
    </row>
    <row r="4" spans="1:25" x14ac:dyDescent="0.2">
      <c r="A4" s="15" t="s">
        <v>5</v>
      </c>
      <c r="B4" s="16">
        <f>[1]!b_info_term(A4)</f>
        <v>5</v>
      </c>
      <c r="C4" s="8" t="str">
        <f>[1]!b_info_carrydate(A4)</f>
        <v>2018-10-18</v>
      </c>
      <c r="D4" s="8" t="str">
        <f>[1]!b_info_carryenddate(A4)</f>
        <v>2023-10-17</v>
      </c>
      <c r="E4" s="8" t="str">
        <f>[1]!b_info_actualbenchmark(A4)</f>
        <v>ACT/ACT</v>
      </c>
      <c r="F4" s="8" t="str">
        <f>[1]!paymentdate(A4,1)</f>
        <v>10月18日</v>
      </c>
      <c r="G4" s="8" t="str">
        <f>IF([1]!paymentdate(A4,2)=F4,"",[1]!paymentdate(A4,2))</f>
        <v/>
      </c>
      <c r="H4" s="3">
        <f t="shared" si="0"/>
        <v>45217</v>
      </c>
      <c r="I4" s="6" t="str">
        <f>[1]!b_info_coupondatetxt(A4)</f>
        <v>每年10月18日付息,节假日顺延</v>
      </c>
      <c r="J4" s="6" t="s">
        <v>34</v>
      </c>
      <c r="K4" s="4">
        <f>[1]!b_info_interestfrequency(A4)</f>
        <v>1</v>
      </c>
      <c r="L4" s="4">
        <f>[1]!b_info_couponrate(A4)</f>
        <v>3.29</v>
      </c>
      <c r="M4" s="7" t="str">
        <f>[1]!b_info_maturitydate(A4)</f>
        <v>2023-10-18</v>
      </c>
      <c r="N4" s="9" t="str">
        <f>[1]!b_info_listeddate(A4)</f>
        <v>2018-10-22</v>
      </c>
      <c r="O4" s="10" t="str">
        <f>[1]!b_issue_firstissue(A4)</f>
        <v>2018-10-17</v>
      </c>
      <c r="P4" s="4" t="str">
        <f>[1]!b_issue_lastissue(A4)</f>
        <v>2018-10-18</v>
      </c>
      <c r="Q4" s="4" t="str">
        <f>[1]!b_tender_paymentdate(A4)</f>
        <v>2018-10-18</v>
      </c>
      <c r="R4" s="4" t="str">
        <f>[1]!b_redemption_beginning(A4)</f>
        <v>2023-10-18</v>
      </c>
      <c r="S4" s="4" t="str">
        <f>[1]!b_redemption_regbeginning(A4)</f>
        <v>2023-10-13</v>
      </c>
      <c r="T4" s="4" t="str">
        <f>[1]!s_info_delistdate(A4)</f>
        <v>2023-10-17</v>
      </c>
      <c r="U4" s="4">
        <f>[1]!b_info_par(A4)</f>
        <v>100</v>
      </c>
      <c r="V4" s="11">
        <f>[1]!b_info_issueamount(A4,100000000)</f>
        <v>653.59999999999991</v>
      </c>
      <c r="W4" s="11">
        <f>[1]!b_info_outstandingbalance(A4,"2018-11-02")</f>
        <v>390.7</v>
      </c>
      <c r="X4" s="4">
        <f t="shared" si="1"/>
        <v>103.29</v>
      </c>
      <c r="Y4" s="4">
        <f>[1]!b_info_couponrate(A4)</f>
        <v>3.29</v>
      </c>
    </row>
    <row r="5" spans="1:25" x14ac:dyDescent="0.2">
      <c r="A5" s="15" t="s">
        <v>6</v>
      </c>
      <c r="B5" s="16">
        <f>[1]!b_info_term(A5)</f>
        <v>7</v>
      </c>
      <c r="C5" s="8" t="str">
        <f>[1]!b_info_carrydate(A5)</f>
        <v>2018-09-06</v>
      </c>
      <c r="D5" s="8" t="str">
        <f>[1]!b_info_carryenddate(A5)</f>
        <v>2025-09-05</v>
      </c>
      <c r="E5" s="8" t="str">
        <f>[1]!b_info_actualbenchmark(A5)</f>
        <v>ACT/ACT</v>
      </c>
      <c r="F5" s="8" t="str">
        <f>[1]!paymentdate(A5,1)</f>
        <v>9月6日</v>
      </c>
      <c r="G5" s="8" t="str">
        <f>[1]!paymentdate(A5,2)</f>
        <v>9月6日</v>
      </c>
      <c r="H5" s="3">
        <f t="shared" si="0"/>
        <v>45906</v>
      </c>
      <c r="I5" s="6" t="str">
        <f>[1]!b_info_coupondatetxt(A5)</f>
        <v>每年9月6日付息,节假日顺延</v>
      </c>
      <c r="J5" s="6" t="s">
        <v>34</v>
      </c>
      <c r="K5" s="4">
        <f>[1]!b_info_interestfrequency(A5)</f>
        <v>1</v>
      </c>
      <c r="L5" s="4">
        <f>[1]!b_info_couponrate(A5)</f>
        <v>3.6</v>
      </c>
      <c r="M5" s="7" t="str">
        <f>[1]!b_info_maturitydate(A5)</f>
        <v>2025-09-06</v>
      </c>
      <c r="N5" s="9" t="str">
        <f>[1]!b_info_listeddate(A5)</f>
        <v>2018-09-10</v>
      </c>
      <c r="O5" s="10" t="str">
        <f>[1]!b_issue_firstissue(A5)</f>
        <v>2018-09-05</v>
      </c>
      <c r="P5" s="4" t="str">
        <f>[1]!b_issue_lastissue(A5)</f>
        <v>2018-09-06</v>
      </c>
      <c r="Q5" s="4" t="str">
        <f>[1]!b_tender_paymentdate(A5)</f>
        <v>2018-09-06</v>
      </c>
      <c r="R5" s="4" t="str">
        <f>[1]!b_redemption_beginning(A5)</f>
        <v>2025-09-06</v>
      </c>
      <c r="S5" s="4" t="str">
        <f>[1]!b_redemption_regbeginning(A5)</f>
        <v>2025-09-03</v>
      </c>
      <c r="T5" s="4" t="str">
        <f>[1]!s_info_delistdate(A5)</f>
        <v>2025-09-05</v>
      </c>
      <c r="U5" s="4">
        <f>[1]!b_info_par(A5)</f>
        <v>100</v>
      </c>
      <c r="V5" s="11">
        <f>[1]!b_info_issueamount(A5,100000000)</f>
        <v>1191.7</v>
      </c>
      <c r="W5" s="11">
        <f>[1]!b_info_outstandingbalance(A5,"2018-11-02")</f>
        <v>840.5</v>
      </c>
      <c r="X5" s="4">
        <f t="shared" si="1"/>
        <v>103.6</v>
      </c>
      <c r="Y5" s="4">
        <f>[1]!b_info_couponrate(A5)</f>
        <v>3.6</v>
      </c>
    </row>
    <row r="6" spans="1:25" x14ac:dyDescent="0.2">
      <c r="A6" s="15" t="s">
        <v>7</v>
      </c>
      <c r="B6" s="16">
        <f>[1]!b_info_term(A6)</f>
        <v>10</v>
      </c>
      <c r="C6" s="4" t="str">
        <f>[1]!b_info_carrydate(A6)</f>
        <v>2018-08-16</v>
      </c>
      <c r="D6" s="4" t="str">
        <f>[1]!b_info_carryenddate(A6)</f>
        <v>2028-08-15</v>
      </c>
      <c r="E6" s="4" t="str">
        <f>[1]!b_info_actualbenchmark(A6)</f>
        <v>ACT/ACT</v>
      </c>
      <c r="F6" s="4" t="str">
        <f>[1]!paymentdate(A6,1)</f>
        <v>2月16日</v>
      </c>
      <c r="G6" s="4" t="str">
        <f>[1]!paymentdate(A6,2)</f>
        <v>8月16日</v>
      </c>
      <c r="H6" s="3">
        <f t="shared" si="0"/>
        <v>46799</v>
      </c>
      <c r="I6" s="6" t="str">
        <f>[1]!b_info_coupondatetxt(A6)</f>
        <v>每年8月16日和2月16日付息,节假日顺延</v>
      </c>
      <c r="J6" s="6" t="s">
        <v>34</v>
      </c>
      <c r="K6" s="4">
        <f>[1]!b_info_interestfrequency(A6)</f>
        <v>2</v>
      </c>
      <c r="L6" s="4">
        <f>[1]!b_info_couponrate(A6)</f>
        <v>3.54</v>
      </c>
      <c r="M6" s="7" t="str">
        <f>[1]!b_info_maturitydate(A6)</f>
        <v>2028-08-16</v>
      </c>
      <c r="N6" s="9" t="str">
        <f>[1]!b_info_listeddate(A6)</f>
        <v>2018-08-20</v>
      </c>
      <c r="O6" s="10" t="str">
        <f>[1]!b_issue_firstissue(A6)</f>
        <v>2018-08-15</v>
      </c>
      <c r="P6" s="4" t="str">
        <f>[1]!b_issue_lastissue(A6)</f>
        <v>2018-08-16</v>
      </c>
      <c r="Q6" s="4" t="str">
        <f>[1]!b_tender_paymentdate(A6)</f>
        <v>2018-08-16</v>
      </c>
      <c r="R6" s="4" t="str">
        <f>[1]!b_redemption_beginning(A6)</f>
        <v>2028-08-16</v>
      </c>
      <c r="S6" s="4" t="str">
        <f>[1]!b_redemption_regbeginning(A6)</f>
        <v>2028-08-11</v>
      </c>
      <c r="T6" s="4" t="str">
        <f>[1]!s_info_delistdate(A6)</f>
        <v>2028-08-15</v>
      </c>
      <c r="U6" s="4">
        <f>[1]!b_info_par(A6)</f>
        <v>100</v>
      </c>
      <c r="V6" s="11">
        <f>[1]!b_info_issueamount(A6,100000000)</f>
        <v>1250.5</v>
      </c>
      <c r="W6" s="11">
        <f>[1]!b_info_outstandingbalance(A6,"2018-11-02")</f>
        <v>1250.5</v>
      </c>
      <c r="X6" s="4">
        <f t="shared" si="1"/>
        <v>101.77</v>
      </c>
      <c r="Y6" s="4">
        <f>[1]!b_info_couponrate(A6)</f>
        <v>3.54</v>
      </c>
    </row>
    <row r="7" spans="1:25" x14ac:dyDescent="0.2">
      <c r="A7" s="15" t="s">
        <v>8</v>
      </c>
      <c r="B7" s="16">
        <f>[1]!b_info_term(A7)</f>
        <v>20</v>
      </c>
      <c r="C7" s="4" t="str">
        <f>[1]!b_info_carrydate(A7)</f>
        <v>2015-09-22</v>
      </c>
      <c r="D7" s="4" t="str">
        <f>[1]!b_info_carryenddate(A7)</f>
        <v>2035-09-21</v>
      </c>
      <c r="E7" s="4" t="str">
        <f>[1]!b_info_actualbenchmark(A7)</f>
        <v>ACT/ACT</v>
      </c>
      <c r="F7" s="4" t="str">
        <f>[1]!paymentdate(A7,1)</f>
        <v>3月22日</v>
      </c>
      <c r="G7" s="4" t="str">
        <f>[1]!paymentdate(A7,2)</f>
        <v>9月22日</v>
      </c>
      <c r="H7" s="3">
        <f t="shared" ref="H7:H9" si="2">DATE(YEAR(D7),MONTH(F7),DAY(F7))</f>
        <v>49390</v>
      </c>
      <c r="I7" s="6" t="str">
        <f>[1]!b_info_coupondatetxt(A7)</f>
        <v>每年9月22日和3月22日付息,节假日顺延</v>
      </c>
      <c r="J7" s="6" t="s">
        <v>34</v>
      </c>
      <c r="K7" s="4">
        <f>[1]!b_info_interestfrequency(A7)</f>
        <v>2</v>
      </c>
      <c r="L7" s="4">
        <f>[1]!b_info_couponrate(A7)</f>
        <v>3.74</v>
      </c>
      <c r="M7" s="7" t="str">
        <f>[1]!b_info_maturitydate(A7)</f>
        <v>2035-09-22</v>
      </c>
      <c r="N7" s="9" t="str">
        <f>[1]!b_info_listeddate(A7)</f>
        <v>2015-09-28</v>
      </c>
      <c r="O7" s="10" t="str">
        <f>[1]!b_issue_firstissue(A7)</f>
        <v>2015-09-21</v>
      </c>
      <c r="P7" s="4" t="str">
        <f>[1]!b_issue_lastissue(A7)</f>
        <v>2015-09-24</v>
      </c>
      <c r="Q7" s="4" t="str">
        <f>[1]!b_tender_paymentdate(A7)</f>
        <v>2015-09-24</v>
      </c>
      <c r="R7" s="4" t="str">
        <f>[1]!b_redemption_beginning(A7)</f>
        <v>2035-09-22</v>
      </c>
      <c r="S7" s="4" t="str">
        <f>[1]!b_redemption_regbeginning(A7)</f>
        <v>2035-09-19</v>
      </c>
      <c r="T7" s="4" t="str">
        <f>[1]!s_info_delistdate(A7)</f>
        <v>2035-09-21</v>
      </c>
      <c r="U7" s="4">
        <f>[1]!b_info_par(A7)</f>
        <v>100</v>
      </c>
      <c r="V7" s="11">
        <f>[1]!b_info_issueamount(A7,100000000)</f>
        <v>260</v>
      </c>
      <c r="W7" s="11">
        <f>[1]!b_info_outstandingbalance(A7,"2018-11-02")</f>
        <v>260</v>
      </c>
      <c r="X7" s="4">
        <f t="shared" ref="X7:X9" si="3">100+Y7/K7</f>
        <v>101.87</v>
      </c>
      <c r="Y7" s="4">
        <f>[1]!b_info_couponrate(A7)</f>
        <v>3.74</v>
      </c>
    </row>
    <row r="8" spans="1:25" x14ac:dyDescent="0.2">
      <c r="A8" s="15" t="s">
        <v>9</v>
      </c>
      <c r="B8" s="16">
        <f>[1]!b_info_term(A8)</f>
        <v>30</v>
      </c>
      <c r="C8" s="4" t="str">
        <f>[1]!b_info_carrydate(A8)</f>
        <v>2018-10-22</v>
      </c>
      <c r="D8" s="4" t="str">
        <f>[1]!b_info_carryenddate(A8)</f>
        <v>2048-10-21</v>
      </c>
      <c r="E8" s="4" t="str">
        <f>[1]!b_info_actualbenchmark(A8)</f>
        <v>ACT/ACT</v>
      </c>
      <c r="F8" s="4" t="str">
        <f>[1]!paymentdate(A8,1)</f>
        <v>4月22日</v>
      </c>
      <c r="G8" s="4" t="str">
        <f>[1]!paymentdate(A8,2)</f>
        <v>10月22日</v>
      </c>
      <c r="H8" s="3">
        <f t="shared" si="2"/>
        <v>54170</v>
      </c>
      <c r="I8" s="6" t="str">
        <f>[1]!b_info_coupondatetxt(A8)</f>
        <v>每年10月22日和4月22日付息,节假日顺延</v>
      </c>
      <c r="J8" s="6" t="s">
        <v>34</v>
      </c>
      <c r="K8" s="4">
        <f>[1]!b_info_interestfrequency(A8)</f>
        <v>2</v>
      </c>
      <c r="L8" s="4">
        <f>[1]!b_info_couponrate(A8)</f>
        <v>4.08</v>
      </c>
      <c r="M8" s="7" t="str">
        <f>[1]!b_info_maturitydate(A8)</f>
        <v>2048-10-22</v>
      </c>
      <c r="N8" s="9" t="str">
        <f>[1]!b_info_listeddate(A8)</f>
        <v>2018-10-24</v>
      </c>
      <c r="O8" s="10" t="str">
        <f>[1]!b_issue_firstissue(A8)</f>
        <v>2018-10-19</v>
      </c>
      <c r="P8" s="4" t="str">
        <f>[1]!b_issue_lastissue(A8)</f>
        <v>2018-10-22</v>
      </c>
      <c r="Q8" s="4" t="str">
        <f>[1]!b_tender_paymentdate(A8)</f>
        <v>2018-10-22</v>
      </c>
      <c r="R8" s="4" t="str">
        <f>[1]!b_redemption_beginning(A8)</f>
        <v>2048-10-22</v>
      </c>
      <c r="S8" s="4" t="str">
        <f>[1]!b_redemption_regbeginning(A8)</f>
        <v>2048-10-19</v>
      </c>
      <c r="T8" s="4" t="str">
        <f>[1]!s_info_delistdate(A8)</f>
        <v>2048-10-21</v>
      </c>
      <c r="U8" s="4">
        <f>[1]!b_info_par(A8)</f>
        <v>100</v>
      </c>
      <c r="V8" s="11">
        <f>[1]!b_info_issueamount(A8,100000000)</f>
        <v>302.39999999999998</v>
      </c>
      <c r="W8" s="11">
        <f>[1]!b_info_outstandingbalance(A8,"2018-11-02")</f>
        <v>302.39999999999998</v>
      </c>
      <c r="X8" s="4">
        <f t="shared" si="3"/>
        <v>102.04</v>
      </c>
      <c r="Y8" s="4">
        <f>[1]!b_info_couponrate(A8)</f>
        <v>4.08</v>
      </c>
    </row>
    <row r="9" spans="1:25" x14ac:dyDescent="0.2">
      <c r="A9" s="15" t="s">
        <v>10</v>
      </c>
      <c r="B9" s="16">
        <f>[1]!b_info_term(A9)</f>
        <v>50</v>
      </c>
      <c r="C9" s="4" t="str">
        <f>[1]!b_info_carrydate(A9)</f>
        <v>2018-05-21</v>
      </c>
      <c r="D9" s="4" t="str">
        <f>[1]!b_info_carryenddate(A9)</f>
        <v>2068-05-20</v>
      </c>
      <c r="E9" s="4" t="str">
        <f>[1]!b_info_actualbenchmark(A9)</f>
        <v>ACT/ACT</v>
      </c>
      <c r="F9" s="4" t="str">
        <f>[1]!paymentdate(A9,1)</f>
        <v>5月21日</v>
      </c>
      <c r="G9" s="4" t="str">
        <f>[1]!paymentdate(A9,2)</f>
        <v>11月21日</v>
      </c>
      <c r="H9" s="3">
        <f t="shared" si="2"/>
        <v>61504</v>
      </c>
      <c r="I9" s="6" t="str">
        <f>[1]!b_info_coupondatetxt(A9)</f>
        <v>每年5月21日和11月21日付息,节假日顺延</v>
      </c>
      <c r="J9" s="6" t="s">
        <v>34</v>
      </c>
      <c r="K9" s="4">
        <f>[1]!b_info_interestfrequency(A9)</f>
        <v>2</v>
      </c>
      <c r="L9" s="4">
        <f>[1]!b_info_couponrate(A9)</f>
        <v>4.13</v>
      </c>
      <c r="M9" s="7" t="str">
        <f>[1]!b_info_maturitydate(A9)</f>
        <v>2068-05-21</v>
      </c>
      <c r="N9" s="9" t="str">
        <f>[1]!b_info_listeddate(A9)</f>
        <v>2018-05-23</v>
      </c>
      <c r="O9" s="10" t="str">
        <f>[1]!b_issue_firstissue(A9)</f>
        <v>2018-05-18</v>
      </c>
      <c r="P9" s="4" t="str">
        <f>[1]!b_issue_lastissue(A9)</f>
        <v>2018-05-21</v>
      </c>
      <c r="Q9" s="4" t="str">
        <f>[1]!b_tender_paymentdate(A9)</f>
        <v>2018-05-21</v>
      </c>
      <c r="R9" s="4" t="str">
        <f>[1]!b_redemption_beginning(A9)</f>
        <v>2068-05-21</v>
      </c>
      <c r="S9" s="4" t="str">
        <f>[1]!b_redemption_regbeginning(A9)</f>
        <v>2068-05-18</v>
      </c>
      <c r="T9" s="4" t="str">
        <f>[1]!s_info_delistdate(A9)</f>
        <v>2068-05-18</v>
      </c>
      <c r="U9" s="4">
        <f>[1]!b_info_par(A9)</f>
        <v>100</v>
      </c>
      <c r="V9" s="11">
        <f>[1]!b_info_issueamount(A9,100000000)</f>
        <v>305.2</v>
      </c>
      <c r="W9" s="11">
        <f>[1]!b_info_outstandingbalance(A9,"2018-11-02")</f>
        <v>305.2</v>
      </c>
      <c r="X9" s="4">
        <f t="shared" si="3"/>
        <v>102.065</v>
      </c>
      <c r="Y9" s="4">
        <f>[1]!b_info_couponrate(A9)</f>
        <v>4.13</v>
      </c>
    </row>
  </sheetData>
  <autoFilter ref="A1:Y8" xr:uid="{00000000-0009-0000-0000-000001000000}"/>
  <phoneticPr fontId="1" type="noConversion"/>
  <conditionalFormatting sqref="C5:C9">
    <cfRule type="duplicateValues" dxfId="3" priority="37"/>
  </conditionalFormatting>
  <conditionalFormatting sqref="C5:C9">
    <cfRule type="duplicateValues" dxfId="2" priority="38"/>
    <cfRule type="duplicateValues" dxfId="1" priority="39"/>
  </conditionalFormatting>
  <conditionalFormatting sqref="G5:G8">
    <cfRule type="duplicateValues" dxfId="0" priority="4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ymzhu</dc:creator>
  <cp:lastModifiedBy>ymzhu</cp:lastModifiedBy>
  <dcterms:created xsi:type="dcterms:W3CDTF">2018-11-08T07:11:50Z</dcterms:created>
  <dcterms:modified xsi:type="dcterms:W3CDTF">2018-12-03T05:22:26Z</dcterms:modified>
</cp:coreProperties>
</file>