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20" yWindow="-120" windowWidth="20700" windowHeight="11730"/>
  </bookViews>
  <sheets>
    <sheet name="Presupuestos recursos" sheetId="7" r:id="rId1"/>
    <sheet name="Presupuesto total personal" sheetId="8" r:id="rId2"/>
    <sheet name="Presupuesto individual personal" sheetId="6" r:id="rId3"/>
    <sheet name="Informe de recursos" sheetId="9" r:id="rId4"/>
  </sheets>
  <definedNames>
    <definedName name="NOMBRE_EMPRESA">#REF!</definedName>
    <definedName name="Título_PRESUPUESTO">#REF!</definedName>
    <definedName name="Título1">#REF!</definedName>
    <definedName name="Titulo2">#REF!</definedName>
    <definedName name="Titulo3">#REF!</definedName>
    <definedName name="Titulo4">#REF!</definedName>
    <definedName name="TítuloColumna1">#REF!</definedName>
  </definedNames>
  <calcPr calcId="14562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K56" i="7" l="1"/>
  <c r="J56" i="7"/>
  <c r="I56" i="7"/>
  <c r="L55" i="7"/>
  <c r="L54" i="7"/>
  <c r="L53" i="7"/>
  <c r="L52" i="7"/>
  <c r="L51" i="7"/>
  <c r="L50" i="7"/>
  <c r="E56" i="7"/>
  <c r="D56" i="7"/>
  <c r="C56" i="7"/>
  <c r="F55" i="7"/>
  <c r="F54" i="7"/>
  <c r="F53" i="7"/>
  <c r="F52" i="7"/>
  <c r="F51" i="7"/>
  <c r="F50" i="7"/>
  <c r="K47" i="7"/>
  <c r="J47" i="7"/>
  <c r="I47" i="7"/>
  <c r="L46" i="7"/>
  <c r="L45" i="7"/>
  <c r="L44" i="7"/>
  <c r="L43" i="7"/>
  <c r="L42" i="7"/>
  <c r="L41" i="7"/>
  <c r="E47" i="7"/>
  <c r="D47" i="7"/>
  <c r="C47" i="7"/>
  <c r="F46" i="7"/>
  <c r="F45" i="7"/>
  <c r="F44" i="7"/>
  <c r="F43" i="7"/>
  <c r="F42" i="7"/>
  <c r="F41" i="7"/>
  <c r="F47" i="7" s="1"/>
  <c r="K38" i="7"/>
  <c r="J38" i="7"/>
  <c r="I38" i="7"/>
  <c r="L37" i="7"/>
  <c r="L36" i="7"/>
  <c r="L35" i="7"/>
  <c r="L34" i="7"/>
  <c r="L33" i="7"/>
  <c r="L32" i="7"/>
  <c r="E38" i="7"/>
  <c r="D38" i="7"/>
  <c r="C38" i="7"/>
  <c r="F37" i="7"/>
  <c r="F36" i="7"/>
  <c r="F35" i="7"/>
  <c r="F34" i="7"/>
  <c r="F33" i="7"/>
  <c r="F32" i="7"/>
  <c r="F38" i="7" s="1"/>
  <c r="K29" i="7"/>
  <c r="J29" i="7"/>
  <c r="I29" i="7"/>
  <c r="L28" i="7"/>
  <c r="L27" i="7"/>
  <c r="L26" i="7"/>
  <c r="L25" i="7"/>
  <c r="L24" i="7"/>
  <c r="L23" i="7"/>
  <c r="K20" i="7"/>
  <c r="J20" i="7"/>
  <c r="I20" i="7"/>
  <c r="L19" i="7"/>
  <c r="L18" i="7"/>
  <c r="L17" i="7"/>
  <c r="L16" i="7"/>
  <c r="L15" i="7"/>
  <c r="L14" i="7"/>
  <c r="K11" i="7"/>
  <c r="J11" i="7"/>
  <c r="I11" i="7"/>
  <c r="L10" i="7"/>
  <c r="L9" i="7"/>
  <c r="L8" i="7"/>
  <c r="L7" i="7"/>
  <c r="L6" i="7"/>
  <c r="L5" i="7"/>
  <c r="E29" i="7"/>
  <c r="D29" i="7"/>
  <c r="C29" i="7"/>
  <c r="F28" i="7"/>
  <c r="F27" i="7"/>
  <c r="F26" i="7"/>
  <c r="F25" i="7"/>
  <c r="F24" i="7"/>
  <c r="F23" i="7"/>
  <c r="E20" i="7"/>
  <c r="D20" i="7"/>
  <c r="C20" i="7"/>
  <c r="F19" i="7"/>
  <c r="F18" i="7"/>
  <c r="F17" i="7"/>
  <c r="F16" i="7"/>
  <c r="F15" i="7"/>
  <c r="F14" i="7"/>
  <c r="F5" i="7"/>
  <c r="C11" i="7"/>
  <c r="B18" i="9"/>
  <c r="F10" i="7"/>
  <c r="F9" i="7"/>
  <c r="C23" i="6"/>
  <c r="I20" i="6"/>
  <c r="H20" i="6"/>
  <c r="J19" i="6"/>
  <c r="J18" i="6"/>
  <c r="J17" i="6"/>
  <c r="J16" i="6"/>
  <c r="J20" i="6" s="1"/>
  <c r="J15" i="6"/>
  <c r="J14" i="6"/>
  <c r="I11" i="6"/>
  <c r="H11" i="6"/>
  <c r="J10" i="6"/>
  <c r="J9" i="6"/>
  <c r="J8" i="6"/>
  <c r="J7" i="6"/>
  <c r="J6" i="6"/>
  <c r="J5" i="6"/>
  <c r="J11" i="6" s="1"/>
  <c r="D21" i="6"/>
  <c r="C21" i="6"/>
  <c r="E20" i="6"/>
  <c r="E19" i="6"/>
  <c r="E18" i="6"/>
  <c r="E17" i="6"/>
  <c r="E16" i="6"/>
  <c r="E15" i="6"/>
  <c r="E21" i="6" s="1"/>
  <c r="C11" i="6"/>
  <c r="E7" i="6"/>
  <c r="E8" i="6"/>
  <c r="E9" i="6"/>
  <c r="D8" i="8"/>
  <c r="C8" i="8"/>
  <c r="E7" i="8"/>
  <c r="E6" i="8"/>
  <c r="E8" i="8" s="1"/>
  <c r="E5" i="8"/>
  <c r="F7" i="7"/>
  <c r="E11" i="7"/>
  <c r="D11" i="7"/>
  <c r="F8" i="7"/>
  <c r="F6" i="7"/>
  <c r="D11" i="6"/>
  <c r="E10" i="6"/>
  <c r="E6" i="6"/>
  <c r="E5" i="6"/>
  <c r="L56" i="7" l="1"/>
  <c r="L47" i="7"/>
  <c r="L38" i="7"/>
  <c r="F56" i="7"/>
  <c r="L20" i="7"/>
  <c r="L11" i="7"/>
  <c r="L29" i="7"/>
  <c r="F29" i="7"/>
  <c r="F20" i="7"/>
  <c r="F11" i="7"/>
  <c r="E11" i="6"/>
</calcChain>
</file>

<file path=xl/sharedStrings.xml><?xml version="1.0" encoding="utf-8"?>
<sst xmlns="http://schemas.openxmlformats.org/spreadsheetml/2006/main" count="231" uniqueCount="48">
  <si>
    <t>Total</t>
  </si>
  <si>
    <t>ESTIMADO</t>
  </si>
  <si>
    <t>FECHA</t>
  </si>
  <si>
    <t>DIFERENCIA</t>
  </si>
  <si>
    <t>ACTUAL</t>
  </si>
  <si>
    <t>Salarios</t>
  </si>
  <si>
    <t>Prestaciones para empleados</t>
  </si>
  <si>
    <t>Comisión</t>
  </si>
  <si>
    <t>Gastos de personal totales</t>
  </si>
  <si>
    <t xml:space="preserve">   Tamales y lechonas JJ</t>
  </si>
  <si>
    <t>GASTOS DEL PERSONAL</t>
  </si>
  <si>
    <t>Hojas</t>
  </si>
  <si>
    <t>Esferos</t>
  </si>
  <si>
    <t>Lapiz</t>
  </si>
  <si>
    <t>CANTIDAD</t>
  </si>
  <si>
    <t>Total de recuros</t>
  </si>
  <si>
    <t xml:space="preserve"> PRESUPUESTO TOTAL EMPLEADOS</t>
  </si>
  <si>
    <t>Trasporte</t>
  </si>
  <si>
    <t>Alimentación</t>
  </si>
  <si>
    <t>Otros gastos</t>
  </si>
  <si>
    <t xml:space="preserve"> PRESUPUESTO  INDIVIDUAL PERSONAL </t>
  </si>
  <si>
    <t>Nombre del personal</t>
  </si>
  <si>
    <t>Wilson ladino</t>
  </si>
  <si>
    <t>Salario</t>
  </si>
  <si>
    <t>Gastos de la persona</t>
  </si>
  <si>
    <t>Carolina Obando</t>
  </si>
  <si>
    <t>Kimberly Cárdenas</t>
  </si>
  <si>
    <t>Camilo Amaya</t>
  </si>
  <si>
    <t>TOTAL SALARIO</t>
  </si>
  <si>
    <t>Mes</t>
  </si>
  <si>
    <t>Enero</t>
  </si>
  <si>
    <t>Febrero</t>
  </si>
  <si>
    <t>Marzo</t>
  </si>
  <si>
    <t>Abril</t>
  </si>
  <si>
    <t>Mayo</t>
  </si>
  <si>
    <t>Junio</t>
  </si>
  <si>
    <t>Julio</t>
  </si>
  <si>
    <t>Agosto</t>
  </si>
  <si>
    <t>Septiembre</t>
  </si>
  <si>
    <t>Octubre</t>
  </si>
  <si>
    <t>Noviembre</t>
  </si>
  <si>
    <t>Diciembre</t>
  </si>
  <si>
    <t>Impresión</t>
  </si>
  <si>
    <t xml:space="preserve"> PRESUPUESTO DE RECURSOS MENSUAL</t>
  </si>
  <si>
    <t xml:space="preserve">INFORME DE RECURSOS USADOS </t>
  </si>
  <si>
    <t>valor</t>
  </si>
  <si>
    <t>Al realizar el informe se dio a conocer que se invirtió género un gasto más elevado en los recursos en el mes de noviembre, siendo este el mes con  más recursos gastados  y mayo el mes con menos recursos usados.</t>
  </si>
  <si>
    <t>RECURSOS POR MES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</si>
</sst>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m\ yyyy"/>
    <numFmt numFmtId="165" formatCode="0.0%"/>
    <numFmt numFmtId="166" formatCode="dd\-mm\-yy;@"/>
    <numFmt numFmtId="168" formatCode="#,##0.00_ ;[Red]\-#,##0.00\ "/>
    <numFmt numFmtId="174" formatCode="#,##0_ ;[Red]\-#,##0\ "/>
    <numFmt numFmtId="175" formatCode="&quot;$&quot;\ #,##0"/>
  </numFmts>
  <fonts count="19">
    <font>
      <sz val="11"/>
      <color theme="1" tint="0.24994659260841701"/>
      <name val="Gill Sans MT"/>
      <family val="2"/>
      <scheme val="minor"/>
    </font>
    <font>
      <sz val="11"/>
      <color theme="1"/>
      <name val="Gill Sans MT"/>
      <family val="2"/>
      <scheme val="minor"/>
    </font>
    <font>
      <sz val="11"/>
      <color theme="9" tint="-0.499984740745262"/>
      <name val="Gill Sans MT"/>
      <family val="2"/>
      <scheme val="minor"/>
    </font>
    <font>
      <sz val="11"/>
      <color rgb="FF6C0000"/>
      <name val="Gill Sans MT"/>
      <family val="2"/>
      <scheme val="minor"/>
    </font>
    <font>
      <sz val="36"/>
      <color theme="3"/>
      <name val="Gill Sans MT"/>
      <family val="2"/>
      <scheme val="major"/>
    </font>
    <font>
      <sz val="11"/>
      <color theme="3"/>
      <name val="Gill Sans MT"/>
      <family val="2"/>
      <scheme val="major"/>
    </font>
    <font>
      <sz val="11"/>
      <color theme="1" tint="4.9989318521683403E-2"/>
      <name val="Gill Sans MT"/>
      <family val="2"/>
      <scheme val="major"/>
    </font>
    <font>
      <sz val="11"/>
      <color theme="0"/>
      <name val="Gill Sans MT"/>
      <family val="2"/>
      <scheme val="minor"/>
    </font>
    <font>
      <sz val="15"/>
      <color rgb="FF44382C"/>
      <name val="Gill Sans MT"/>
      <family val="2"/>
      <scheme val="major"/>
    </font>
    <font>
      <sz val="11"/>
      <color rgb="FF44382C"/>
      <name val="Gill Sans MT"/>
      <family val="2"/>
      <scheme val="major"/>
    </font>
    <font>
      <sz val="11"/>
      <color rgb="FF44382C"/>
      <name val="Gill Sans MT"/>
      <family val="2"/>
      <scheme val="minor"/>
    </font>
    <font>
      <sz val="11"/>
      <color theme="1" tint="0.24994659260841701"/>
      <name val="Gill Sans MT"/>
      <family val="2"/>
      <scheme val="minor"/>
    </font>
    <font>
      <b/>
      <sz val="11"/>
      <name val="Gill Sans MT"/>
      <family val="2"/>
      <scheme val="minor"/>
    </font>
    <font>
      <sz val="12"/>
      <color theme="0"/>
      <name val="Gill Sans MT"/>
      <family val="2"/>
      <scheme val="minor"/>
    </font>
    <font>
      <sz val="20"/>
      <color rgb="FF44382C"/>
      <name val="Gill Sans MT"/>
      <family val="2"/>
      <scheme val="major"/>
    </font>
    <font>
      <sz val="16"/>
      <color rgb="FF44382C"/>
      <name val="Gill Sans MT"/>
      <family val="2"/>
      <scheme val="major"/>
    </font>
    <font>
      <sz val="11"/>
      <color theme="1" tint="0.24994659260841701"/>
      <name val="Gill Sans MT"/>
      <scheme val="minor"/>
    </font>
    <font>
      <b/>
      <sz val="12"/>
      <color theme="1" tint="0.24994659260841701"/>
      <name val="Gill Sans MT"/>
      <scheme val="minor"/>
    </font>
    <font>
      <sz val="12"/>
      <color theme="1"/>
      <name val="Gill Sans MT"/>
      <family val="2"/>
      <scheme val="minor"/>
    </font>
  </fonts>
  <fills count="11">
    <fill>
      <patternFill patternType="none"/>
    </fill>
    <fill>
      <patternFill patternType="gray125"/>
    </fill>
    <fill>
      <patternFill patternType="solid">
        <fgColor theme="7" tint="0.39997558519241921"/>
        <bgColor indexed="65"/>
      </patternFill>
    </fill>
    <fill>
      <patternFill patternType="solid">
        <fgColor theme="0"/>
        <bgColor indexed="64"/>
      </patternFill>
    </fill>
    <fill>
      <patternFill patternType="solid">
        <fgColor theme="7" tint="0.39994506668294322"/>
        <bgColor indexed="64"/>
      </patternFill>
    </fill>
    <fill>
      <patternFill patternType="solid">
        <fgColor rgb="FFEEEADE"/>
        <bgColor indexed="64"/>
      </patternFill>
    </fill>
    <fill>
      <patternFill patternType="solid">
        <fgColor rgb="FFA7937B"/>
        <bgColor indexed="64"/>
      </patternFill>
    </fill>
    <fill>
      <patternFill patternType="solid">
        <fgColor rgb="FFFFFDF8"/>
        <bgColor indexed="64"/>
      </patternFill>
    </fill>
    <fill>
      <patternFill patternType="solid">
        <fgColor rgb="FFF2F2F2"/>
      </patternFill>
    </fill>
    <fill>
      <patternFill patternType="solid">
        <fgColor theme="6" tint="0.79998168889431442"/>
        <bgColor indexed="64"/>
      </patternFill>
    </fill>
    <fill>
      <patternFill patternType="solid">
        <fgColor theme="6" tint="-0.499984740745262"/>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medium">
        <color indexed="64"/>
      </bottom>
      <diagonal/>
    </border>
  </borders>
  <cellStyleXfs count="14">
    <xf numFmtId="0" fontId="0" fillId="0" borderId="0">
      <alignment horizontal="center" vertical="center" wrapText="1"/>
    </xf>
    <xf numFmtId="0" fontId="4" fillId="0" borderId="0" applyNumberFormat="0" applyFill="0" applyBorder="0" applyAlignment="0" applyProtection="0"/>
    <xf numFmtId="0" fontId="5" fillId="0" borderId="0" applyNumberFormat="0" applyFill="0" applyBorder="0" applyAlignment="0" applyProtection="0"/>
    <xf numFmtId="0" fontId="2" fillId="2" borderId="0" applyNumberFormat="0" applyBorder="0" applyAlignment="0" applyProtection="0"/>
    <xf numFmtId="0" fontId="13" fillId="0" borderId="0" applyNumberFormat="0" applyFill="0" applyAlignment="0" applyProtection="0"/>
    <xf numFmtId="0" fontId="6" fillId="4" borderId="0" applyBorder="0" applyProtection="0">
      <alignment horizontal="left" vertical="center" indent="1"/>
    </xf>
    <xf numFmtId="0" fontId="6" fillId="4" borderId="0" applyNumberFormat="0" applyBorder="0" applyProtection="0">
      <alignment horizontal="left" vertical="center"/>
    </xf>
    <xf numFmtId="0" fontId="1" fillId="0" borderId="0" applyNumberFormat="0" applyFill="0" applyAlignment="0" applyProtection="0"/>
    <xf numFmtId="0" fontId="3" fillId="0" borderId="0" applyNumberFormat="0" applyFill="0" applyBorder="0" applyAlignment="0" applyProtection="0"/>
    <xf numFmtId="40" fontId="1" fillId="0" borderId="0" applyFont="0" applyFill="0" applyBorder="0" applyProtection="0">
      <alignment horizontal="right"/>
    </xf>
    <xf numFmtId="165" fontId="1" fillId="0" borderId="0" applyFont="0" applyFill="0" applyBorder="0" applyProtection="0">
      <alignment horizontal="right"/>
    </xf>
    <xf numFmtId="164" fontId="5" fillId="3" borderId="0" applyFill="0" applyBorder="0">
      <alignment horizontal="right"/>
    </xf>
    <xf numFmtId="0" fontId="11" fillId="0" borderId="0" applyNumberFormat="0" applyProtection="0">
      <alignment horizontal="left" vertical="center" indent="1"/>
    </xf>
    <xf numFmtId="0" fontId="12" fillId="8" borderId="1" applyNumberFormat="0" applyFill="0" applyBorder="0" applyAlignment="0" applyProtection="0"/>
  </cellStyleXfs>
  <cellXfs count="47">
    <xf numFmtId="0" fontId="0" fillId="0" borderId="0" xfId="0">
      <alignment horizontal="center" vertical="center" wrapText="1"/>
    </xf>
    <xf numFmtId="0" fontId="0" fillId="5" borderId="0" xfId="0" applyFill="1">
      <alignment horizontal="center" vertical="center" wrapText="1"/>
    </xf>
    <xf numFmtId="0" fontId="9" fillId="5" borderId="0" xfId="0" applyFont="1" applyFill="1">
      <alignment horizontal="center" vertical="center" wrapText="1"/>
    </xf>
    <xf numFmtId="0" fontId="0" fillId="7" borderId="0" xfId="0" applyFill="1">
      <alignment horizontal="center" vertical="center" wrapText="1"/>
    </xf>
    <xf numFmtId="0" fontId="0" fillId="7" borderId="0" xfId="0" applyFill="1" applyAlignment="1">
      <alignment vertical="center"/>
    </xf>
    <xf numFmtId="0" fontId="13" fillId="0" borderId="0" xfId="4" applyAlignment="1">
      <alignment horizontal="left" vertical="center" indent="1"/>
    </xf>
    <xf numFmtId="0" fontId="13" fillId="0" borderId="0" xfId="4" applyAlignment="1">
      <alignment horizontal="center" vertical="center" wrapText="1"/>
    </xf>
    <xf numFmtId="0" fontId="11" fillId="0" borderId="0" xfId="12">
      <alignment horizontal="left" vertical="center" indent="1"/>
    </xf>
    <xf numFmtId="166" fontId="10" fillId="5" borderId="0" xfId="0" applyNumberFormat="1" applyFont="1" applyFill="1">
      <alignment horizontal="center" vertical="center" wrapText="1"/>
    </xf>
    <xf numFmtId="0" fontId="0" fillId="0" borderId="0" xfId="0" applyAlignment="1">
      <alignment horizontal="left" vertical="center" indent="1"/>
    </xf>
    <xf numFmtId="168" fontId="0" fillId="0" borderId="0" xfId="0" applyNumberFormat="1">
      <alignment horizontal="center" vertical="center" wrapText="1"/>
    </xf>
    <xf numFmtId="0" fontId="8" fillId="5" borderId="0" xfId="0" applyFont="1" applyFill="1" applyAlignment="1">
      <alignment horizontal="left" wrapText="1"/>
    </xf>
    <xf numFmtId="0" fontId="0" fillId="6" borderId="0" xfId="0" applyFill="1" applyAlignment="1">
      <alignment horizontal="center" vertical="center" wrapText="1"/>
    </xf>
    <xf numFmtId="168" fontId="0" fillId="0" borderId="0" xfId="0" applyNumberFormat="1" applyFill="1">
      <alignment horizontal="center" vertical="center" wrapText="1"/>
    </xf>
    <xf numFmtId="0" fontId="0" fillId="0" borderId="0" xfId="12" applyFont="1">
      <alignment horizontal="left" vertical="center" indent="1"/>
    </xf>
    <xf numFmtId="0" fontId="0" fillId="0" borderId="0" xfId="12" applyNumberFormat="1" applyFont="1">
      <alignment horizontal="left" vertical="center" indent="1"/>
    </xf>
    <xf numFmtId="0" fontId="0" fillId="0" borderId="2" xfId="0" applyBorder="1">
      <alignment horizontal="center" vertical="center" wrapText="1"/>
    </xf>
    <xf numFmtId="0" fontId="0" fillId="0" borderId="0" xfId="0" applyBorder="1">
      <alignment horizontal="center" vertical="center" wrapText="1"/>
    </xf>
    <xf numFmtId="0" fontId="0" fillId="0" borderId="3" xfId="0" applyBorder="1">
      <alignment horizontal="center" vertical="center" wrapText="1"/>
    </xf>
    <xf numFmtId="0" fontId="14" fillId="5" borderId="0" xfId="0" applyFont="1" applyFill="1" applyAlignment="1">
      <alignment horizontal="left" vertical="center" wrapText="1"/>
    </xf>
    <xf numFmtId="0" fontId="0" fillId="0" borderId="0" xfId="0" applyAlignment="1">
      <alignment horizontal="center" vertical="center" wrapText="1"/>
    </xf>
    <xf numFmtId="0" fontId="0" fillId="9" borderId="0" xfId="0" applyFill="1">
      <alignment horizontal="center" vertical="center" wrapText="1"/>
    </xf>
    <xf numFmtId="0" fontId="0" fillId="9" borderId="0" xfId="0" applyFill="1" applyAlignment="1">
      <alignment vertical="center" wrapText="1"/>
    </xf>
    <xf numFmtId="0" fontId="8" fillId="9" borderId="0" xfId="0" applyFont="1" applyFill="1" applyAlignment="1">
      <alignment horizontal="left" wrapText="1"/>
    </xf>
    <xf numFmtId="0" fontId="9" fillId="9" borderId="0" xfId="0" applyFont="1" applyFill="1">
      <alignment horizontal="center" vertical="center" wrapText="1"/>
    </xf>
    <xf numFmtId="166" fontId="10" fillId="9" borderId="0" xfId="0" applyNumberFormat="1" applyFont="1" applyFill="1">
      <alignment horizontal="center" vertical="center" wrapText="1"/>
    </xf>
    <xf numFmtId="0" fontId="15" fillId="9" borderId="0" xfId="0" applyFont="1" applyFill="1" applyAlignment="1">
      <alignment horizontal="left" vertical="center" wrapText="1"/>
    </xf>
    <xf numFmtId="0" fontId="7" fillId="10" borderId="0" xfId="0" applyFont="1" applyFill="1" applyAlignment="1">
      <alignment horizontal="left" vertical="center" wrapText="1"/>
    </xf>
    <xf numFmtId="0" fontId="16" fillId="0" borderId="0" xfId="12" applyFont="1" applyFill="1">
      <alignment horizontal="left" vertical="center" indent="1"/>
    </xf>
    <xf numFmtId="174" fontId="0" fillId="0" borderId="0" xfId="0" applyNumberFormat="1" applyFill="1">
      <alignment horizontal="center" vertical="center" wrapText="1"/>
    </xf>
    <xf numFmtId="174" fontId="0" fillId="0" borderId="0" xfId="0" applyNumberFormat="1">
      <alignment horizontal="center" vertical="center" wrapText="1"/>
    </xf>
    <xf numFmtId="175" fontId="0" fillId="0" borderId="4" xfId="0" applyNumberFormat="1" applyBorder="1">
      <alignment horizontal="center" vertical="center" wrapText="1"/>
    </xf>
    <xf numFmtId="175" fontId="0" fillId="0" borderId="2" xfId="0" applyNumberFormat="1" applyBorder="1">
      <alignment horizontal="center" vertical="center" wrapText="1"/>
    </xf>
    <xf numFmtId="0" fontId="0" fillId="0" borderId="7" xfId="0" applyBorder="1">
      <alignment horizontal="center" vertical="center" wrapText="1"/>
    </xf>
    <xf numFmtId="175" fontId="0" fillId="0" borderId="7" xfId="0" applyNumberFormat="1" applyBorder="1">
      <alignment horizontal="center" vertical="center" wrapText="1"/>
    </xf>
    <xf numFmtId="0" fontId="17" fillId="0" borderId="8" xfId="0" applyFont="1" applyBorder="1" applyAlignment="1">
      <alignment horizontal="center" vertical="top" wrapText="1"/>
    </xf>
    <xf numFmtId="0" fontId="17" fillId="0" borderId="9" xfId="0" applyFont="1" applyBorder="1" applyAlignment="1">
      <alignment horizontal="center" vertical="top" wrapText="1"/>
    </xf>
    <xf numFmtId="0" fontId="17" fillId="0" borderId="10" xfId="0" applyFont="1" applyBorder="1" applyAlignment="1">
      <alignment horizontal="center" vertical="top" wrapText="1"/>
    </xf>
    <xf numFmtId="0" fontId="18" fillId="0" borderId="0" xfId="4" applyNumberFormat="1" applyFont="1" applyAlignment="1">
      <alignment horizontal="left" vertical="center" indent="1"/>
    </xf>
    <xf numFmtId="0" fontId="0" fillId="0" borderId="4" xfId="0" applyBorder="1">
      <alignment horizontal="center" vertical="center"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1" xfId="0" applyBorder="1" applyAlignment="1">
      <alignment horizontal="center" vertical="top" wrapText="1"/>
    </xf>
    <xf numFmtId="0" fontId="0" fillId="0" borderId="6" xfId="0" applyBorder="1" applyAlignment="1">
      <alignment horizontal="center" vertical="top" wrapText="1"/>
    </xf>
    <xf numFmtId="0" fontId="0" fillId="0" borderId="12" xfId="0" applyBorder="1" applyAlignment="1">
      <alignment horizontal="center" vertical="center" wrapText="1"/>
    </xf>
  </cellXfs>
  <cellStyles count="14">
    <cellStyle name="60% - Énfasis4" xfId="3" builtinId="44" customBuiltin="1"/>
    <cellStyle name="Encabezado 4" xfId="2" builtinId="19" customBuiltin="1"/>
    <cellStyle name="Entrada" xfId="12" builtinId="20" customBuiltin="1"/>
    <cellStyle name="Fecha" xfId="11"/>
    <cellStyle name="Millares" xfId="9" builtinId="3" customBuiltin="1"/>
    <cellStyle name="Normal" xfId="0" builtinId="0" customBuiltin="1"/>
    <cellStyle name="Porcentaje" xfId="10" builtinId="5" customBuiltin="1"/>
    <cellStyle name="Salida" xfId="13" builtinId="21" customBuiltin="1"/>
    <cellStyle name="Texto de advertencia" xfId="8" builtinId="11" customBuiltin="1"/>
    <cellStyle name="Título" xfId="1" builtinId="15" customBuiltin="1"/>
    <cellStyle name="Título 1" xfId="4" builtinId="16" customBuiltin="1"/>
    <cellStyle name="Título 2" xfId="5" builtinId="17" customBuiltin="1"/>
    <cellStyle name="Título 3" xfId="6" builtinId="18" customBuiltin="1"/>
    <cellStyle name="Total" xfId="7" builtinId="25" customBuiltin="1"/>
  </cellStyles>
  <dxfs count="178">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alignment horizontal="left" vertical="center" textRotation="0" wrapText="0" indent="1" justifyLastLine="0" shrinkToFit="0" readingOrder="0"/>
    </dxf>
    <dxf>
      <alignment horizontal="left" vertical="center" textRotation="0" wrapText="0" indent="1" justifyLastLine="0" shrinkToFit="0" readingOrder="0"/>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0" formatCode="General"/>
    </dxf>
    <dxf>
      <numFmt numFmtId="0" formatCode="General"/>
    </dxf>
    <dxf>
      <numFmt numFmtId="174" formatCode="#,##0_ ;[Red]\-#,##0\ "/>
    </dxf>
    <dxf>
      <numFmt numFmtId="174" formatCode="#,##0_ ;[Red]\-#,##0\ "/>
    </dxf>
    <dxf>
      <numFmt numFmtId="174" formatCode="#,##0_ ;[Red]\-#,##0\ "/>
    </dxf>
    <dxf>
      <font>
        <b val="0"/>
        <i val="0"/>
        <strike val="0"/>
        <condense val="0"/>
        <extend val="0"/>
        <outline val="0"/>
        <shadow val="0"/>
        <u val="none"/>
        <vertAlign val="baseline"/>
        <sz val="11"/>
        <color theme="1" tint="0.24994659260841701"/>
        <name val="Gill Sans MT"/>
        <scheme val="minor"/>
      </font>
    </dxf>
    <dxf>
      <numFmt numFmtId="168" formatCode="#,##0.00_ ;[Red]\-#,##0.00\ "/>
    </dxf>
    <dxf>
      <numFmt numFmtId="168" formatCode="#,##0.00_ ;[Red]\-#,##0.00\ "/>
    </dxf>
    <dxf>
      <numFmt numFmtId="168" formatCode="#,##0.00_ ;[Red]\-#,##0.00\ "/>
    </dxf>
    <dxf>
      <alignment horizontal="left" vertical="center" textRotation="0" wrapText="0" indent="1" justifyLastLine="0" shrinkToFit="0" readingOrder="0"/>
    </dxf>
    <dxf>
      <numFmt numFmtId="168" formatCode="#,##0.00_ ;[Red]\-#,##0.00\ "/>
    </dxf>
    <dxf>
      <numFmt numFmtId="168" formatCode="#,##0.00_ ;[Red]\-#,##0.00\ "/>
    </dxf>
    <dxf>
      <numFmt numFmtId="168" formatCode="#,##0.00_ ;[Red]\-#,##0.00\ "/>
    </dxf>
    <dxf>
      <alignment horizontal="left" vertical="center" textRotation="0" wrapText="0" indent="1" justifyLastLine="0" shrinkToFit="0" readingOrder="0"/>
    </dxf>
    <dxf>
      <numFmt numFmtId="168" formatCode="#,##0.00_ ;[Red]\-#,##0.00\ "/>
    </dxf>
    <dxf>
      <numFmt numFmtId="168" formatCode="#,##0.00_ ;[Red]\-#,##0.00\ "/>
    </dxf>
    <dxf>
      <numFmt numFmtId="168" formatCode="#,##0.00_ ;[Red]\-#,##0.00\ "/>
    </dxf>
    <dxf>
      <alignment horizontal="left" vertical="center" textRotation="0" wrapText="0" indent="1" justifyLastLine="0" shrinkToFit="0" readingOrder="0"/>
    </dxf>
    <dxf>
      <numFmt numFmtId="168" formatCode="#,##0.00_ ;[Red]\-#,##0.00\ "/>
    </dxf>
    <dxf>
      <numFmt numFmtId="168" formatCode="#,##0.00_ ;[Red]\-#,##0.00\ "/>
    </dxf>
    <dxf>
      <numFmt numFmtId="168" formatCode="#,##0.00_ ;[Red]\-#,##0.00\ "/>
    </dxf>
    <dxf>
      <numFmt numFmtId="0" formatCode="General"/>
    </dxf>
    <dxf>
      <numFmt numFmtId="0" formatCode="General"/>
    </dxf>
    <dxf>
      <numFmt numFmtId="168" formatCode="#,##0.00_ ;[Red]\-#,##0.00\ "/>
    </dxf>
    <dxf>
      <numFmt numFmtId="168" formatCode="#,##0.00_ ;[Red]\-#,##0.00\ "/>
    </dxf>
    <dxf>
      <numFmt numFmtId="168" formatCode="#,##0.00_ ;[Red]\-#,##0.00\ "/>
    </dxf>
    <dxf>
      <numFmt numFmtId="168" formatCode="#,##0.00_ ;[Red]\-#,##0.00\ "/>
    </dxf>
    <dxf>
      <numFmt numFmtId="168" formatCode="#,##0.00_ ;[Red]\-#,##0.00\ "/>
    </dxf>
    <dxf>
      <numFmt numFmtId="168" formatCode="#,##0.00_ ;[Red]\-#,##0.00\ "/>
    </dxf>
    <dxf>
      <numFmt numFmtId="0" formatCode="General"/>
    </dxf>
    <dxf>
      <alignment horizontal="left" vertical="center" textRotation="0" wrapText="0" indent="1" justifyLastLine="0" shrinkToFit="0" readingOrder="0"/>
    </dxf>
    <dxf>
      <numFmt numFmtId="0" formatCode="General"/>
    </dxf>
    <dxf>
      <numFmt numFmtId="168" formatCode="#,##0.00_ ;[Red]\-#,##0.00\ "/>
    </dxf>
    <dxf>
      <numFmt numFmtId="168" formatCode="#,##0.00_ ;[Red]\-#,##0.00\ "/>
    </dxf>
    <dxf>
      <numFmt numFmtId="168" formatCode="#,##0.00_ ;[Red]\-#,##0.00\ "/>
    </dxf>
    <dxf>
      <numFmt numFmtId="0" formatCode="General"/>
    </dxf>
    <dxf>
      <numFmt numFmtId="0" formatCode="General"/>
    </dxf>
    <dxf>
      <numFmt numFmtId="168" formatCode="#,##0.00_ ;[Red]\-#,##0.00\ "/>
    </dxf>
    <dxf>
      <numFmt numFmtId="168" formatCode="#,##0.00_ ;[Red]\-#,##0.00\ "/>
    </dxf>
    <dxf>
      <numFmt numFmtId="168" formatCode="#,##0.00_ ;[Red]\-#,##0.00\ "/>
    </dxf>
    <dxf>
      <numFmt numFmtId="0" formatCode="General"/>
    </dxf>
    <dxf>
      <numFmt numFmtId="0" formatCode="General"/>
    </dxf>
    <dxf>
      <numFmt numFmtId="0" formatCode="General"/>
    </dxf>
    <dxf>
      <numFmt numFmtId="0" formatCode="General"/>
    </dxf>
    <dxf>
      <numFmt numFmtId="168" formatCode="#,##0.00_ ;[Red]\-#,##0.00\ "/>
    </dxf>
    <dxf>
      <numFmt numFmtId="168" formatCode="#,##0.00_ ;[Red]\-#,##0.00\ "/>
    </dxf>
    <dxf>
      <numFmt numFmtId="168" formatCode="#,##0.00_ ;[Red]\-#,##0.00\ "/>
    </dxf>
    <dxf>
      <numFmt numFmtId="0" formatCode="General"/>
    </dxf>
    <dxf>
      <numFmt numFmtId="0" formatCode="General"/>
    </dxf>
    <dxf>
      <fill>
        <patternFill>
          <bgColor theme="0" tint="-0.14996795556505021"/>
        </patternFill>
      </fill>
    </dxf>
    <dxf>
      <font>
        <b/>
        <i val="0"/>
      </font>
      <fill>
        <patternFill patternType="solid">
          <bgColor theme="0" tint="-4.9989318521683403E-2"/>
        </patternFill>
      </fill>
    </dxf>
    <dxf>
      <font>
        <b val="0"/>
        <i val="0"/>
        <color theme="1"/>
      </font>
      <fill>
        <patternFill patternType="solid">
          <fgColor theme="4"/>
          <bgColor theme="0" tint="-0.14996795556505021"/>
        </patternFill>
      </fill>
      <border>
        <top style="thin">
          <color theme="0"/>
        </top>
      </border>
    </dxf>
    <dxf>
      <font>
        <b val="0"/>
        <i val="0"/>
        <color theme="0"/>
      </font>
      <fill>
        <patternFill patternType="solid">
          <fgColor theme="4"/>
          <bgColor theme="6" tint="-0.499984740745262"/>
        </patternFill>
      </fill>
      <border diagonalUp="0" diagonalDown="0">
        <left/>
        <right/>
        <top/>
        <bottom/>
        <vertical/>
        <horizontal/>
      </border>
    </dxf>
    <dxf>
      <font>
        <b val="0"/>
        <i val="0"/>
        <color theme="1"/>
      </font>
      <fill>
        <patternFill patternType="solid">
          <fgColor auto="1"/>
          <bgColor theme="0" tint="-4.9989318521683403E-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1" defaultPivotStyle="PivotStyleLight16">
    <tableStyle name="Presupuesto mensual" pivot="0" count="5">
      <tableStyleElement type="wholeTable" dxfId="177"/>
      <tableStyleElement type="headerRow" dxfId="176"/>
      <tableStyleElement type="totalRow" dxfId="175"/>
      <tableStyleElement type="lastColumn" dxfId="174"/>
      <tableStyleElement type="secondRowStripe" dxfId="173"/>
    </tableStyle>
  </tableStyles>
  <colors>
    <mruColors>
      <color rgb="FFEEEADE"/>
      <color rgb="FFFFFDF8"/>
      <color rgb="FFF2F2F2"/>
      <color rgb="FF44382C"/>
      <color rgb="FFA7937B"/>
      <color rgb="FF5A5044"/>
      <color rgb="FF252525"/>
      <color rgb="FFCD9620"/>
      <color rgb="FFF4444F"/>
      <color rgb="FF2D3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33"/>
    </mc:Choice>
    <mc:Fallback>
      <c:style val="33"/>
    </mc:Fallback>
  </mc:AlternateContent>
  <c:chart>
    <c:title>
      <c:layout/>
      <c:overlay val="0"/>
    </c:title>
    <c:autoTitleDeleted val="0"/>
    <c:plotArea>
      <c:layout/>
      <c:barChart>
        <c:barDir val="col"/>
        <c:grouping val="clustered"/>
        <c:varyColors val="0"/>
        <c:ser>
          <c:idx val="0"/>
          <c:order val="0"/>
          <c:tx>
            <c:strRef>
              <c:f>'Informe de recursos'!$B$5</c:f>
              <c:strCache>
                <c:ptCount val="1"/>
                <c:pt idx="0">
                  <c:v>valor</c:v>
                </c:pt>
              </c:strCache>
            </c:strRef>
          </c:tx>
          <c:spPr>
            <a:solidFill>
              <a:schemeClr val="accent2"/>
            </a:solidFill>
            <a:ln>
              <a:solidFill>
                <a:schemeClr val="accent1"/>
              </a:solidFill>
            </a:ln>
          </c:spPr>
          <c:invertIfNegative val="0"/>
          <c:cat>
            <c:strRef>
              <c:f>'Informe de recursos'!$A$6:$A$18</c:f>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Total</c:v>
                </c:pt>
              </c:strCache>
            </c:strRef>
          </c:cat>
          <c:val>
            <c:numRef>
              <c:f>'Informe de recursos'!$B$6:$B$18</c:f>
              <c:numCache>
                <c:formatCode>"$"\ #,##0</c:formatCode>
                <c:ptCount val="13"/>
                <c:pt idx="0">
                  <c:v>0</c:v>
                </c:pt>
                <c:pt idx="1">
                  <c:v>0</c:v>
                </c:pt>
                <c:pt idx="2">
                  <c:v>0</c:v>
                </c:pt>
                <c:pt idx="3">
                  <c:v>40000</c:v>
                </c:pt>
                <c:pt idx="4">
                  <c:v>20000</c:v>
                </c:pt>
                <c:pt idx="5">
                  <c:v>0</c:v>
                </c:pt>
                <c:pt idx="6">
                  <c:v>0</c:v>
                </c:pt>
                <c:pt idx="7">
                  <c:v>0</c:v>
                </c:pt>
                <c:pt idx="8">
                  <c:v>0</c:v>
                </c:pt>
                <c:pt idx="9">
                  <c:v>0</c:v>
                </c:pt>
                <c:pt idx="10">
                  <c:v>120000</c:v>
                </c:pt>
                <c:pt idx="11">
                  <c:v>50000</c:v>
                </c:pt>
                <c:pt idx="12">
                  <c:v>230000</c:v>
                </c:pt>
              </c:numCache>
            </c:numRef>
          </c:val>
        </c:ser>
        <c:dLbls>
          <c:showLegendKey val="0"/>
          <c:showVal val="0"/>
          <c:showCatName val="0"/>
          <c:showSerName val="0"/>
          <c:showPercent val="0"/>
          <c:showBubbleSize val="0"/>
        </c:dLbls>
        <c:gapWidth val="150"/>
        <c:axId val="148116992"/>
        <c:axId val="148118528"/>
      </c:barChart>
      <c:catAx>
        <c:axId val="148116992"/>
        <c:scaling>
          <c:orientation val="minMax"/>
        </c:scaling>
        <c:delete val="0"/>
        <c:axPos val="b"/>
        <c:majorTickMark val="out"/>
        <c:minorTickMark val="none"/>
        <c:tickLblPos val="nextTo"/>
        <c:crossAx val="148118528"/>
        <c:crosses val="autoZero"/>
        <c:auto val="1"/>
        <c:lblAlgn val="ctr"/>
        <c:lblOffset val="100"/>
        <c:noMultiLvlLbl val="0"/>
      </c:catAx>
      <c:valAx>
        <c:axId val="148118528"/>
        <c:scaling>
          <c:orientation val="minMax"/>
        </c:scaling>
        <c:delete val="0"/>
        <c:axPos val="l"/>
        <c:majorGridlines/>
        <c:numFmt formatCode="&quot;$&quot;\ #,##0" sourceLinked="1"/>
        <c:majorTickMark val="out"/>
        <c:minorTickMark val="none"/>
        <c:tickLblPos val="nextTo"/>
        <c:crossAx val="148116992"/>
        <c:crosses val="autoZero"/>
        <c:crossBetween val="between"/>
      </c:valAx>
      <c:spPr>
        <a:solidFill>
          <a:schemeClr val="tx2">
            <a:lumMod val="40000"/>
            <a:lumOff val="60000"/>
          </a:schemeClr>
        </a:solidFill>
        <a:ln>
          <a:solidFill>
            <a:schemeClr val="accent2">
              <a:lumMod val="40000"/>
              <a:lumOff val="60000"/>
            </a:schemeClr>
          </a:solidFill>
        </a:ln>
      </c:spPr>
    </c:plotArea>
    <c:legend>
      <c:legendPos val="r"/>
      <c:layout/>
      <c:overlay val="0"/>
    </c:legend>
    <c:plotVisOnly val="1"/>
    <c:dispBlanksAs val="gap"/>
    <c:showDLblsOverMax val="0"/>
  </c:chart>
  <c:spPr>
    <a:solidFill>
      <a:schemeClr val="tx2">
        <a:lumMod val="40000"/>
        <a:lumOff val="60000"/>
      </a:schemeClr>
    </a:solidFill>
    <a:ln>
      <a:solidFill>
        <a:schemeClr val="accent2">
          <a:lumMod val="40000"/>
          <a:lumOff val="60000"/>
        </a:schemeClr>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76199</xdr:colOff>
      <xdr:row>4</xdr:row>
      <xdr:rowOff>42862</xdr:rowOff>
    </xdr:from>
    <xdr:to>
      <xdr:col>6</xdr:col>
      <xdr:colOff>790574</xdr:colOff>
      <xdr:row>17</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114301</xdr:colOff>
      <xdr:row>0</xdr:row>
      <xdr:rowOff>57150</xdr:rowOff>
    </xdr:from>
    <xdr:to>
      <xdr:col>0</xdr:col>
      <xdr:colOff>742950</xdr:colOff>
      <xdr:row>2</xdr:row>
      <xdr:rowOff>180975</xdr:rowOff>
    </xdr:to>
    <xdr:pic>
      <xdr:nvPicPr>
        <xdr:cNvPr id="4" name="3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301" y="57150"/>
          <a:ext cx="628649" cy="485775"/>
        </a:xfrm>
        <a:prstGeom prst="rect">
          <a:avLst/>
        </a:prstGeom>
      </xdr:spPr>
    </xdr:pic>
    <xdr:clientData/>
  </xdr:twoCellAnchor>
</xdr:wsDr>
</file>

<file path=xl/tables/table1.xml><?xml version="1.0" encoding="utf-8"?>
<table xmlns="http://schemas.openxmlformats.org/spreadsheetml/2006/main" id="3" name="GastosPersonal34" displayName="GastosPersonal34" ref="B4:F11" totalsRowCount="1" headerRowDxfId="167" dataCellStyle="Normal" totalsRowCellStyle="Normal">
  <autoFilter ref="B4:F10"/>
  <tableColumns count="5">
    <tableColumn id="1" name="RECURSOS POR MES" totalsRowLabel="Total de recuros" dataDxfId="166" totalsRowDxfId="54"/>
    <tableColumn id="6" name="CANTIDAD" totalsRowFunction="custom" dataDxfId="129" totalsRowDxfId="53" dataCellStyle="Entrada">
      <totalsRowFormula>SUM(C5:C10)</totalsRowFormula>
    </tableColumn>
    <tableColumn id="2" name="ESTIMADO" totalsRowFunction="sum" dataDxfId="128" totalsRowDxfId="52" dataCellStyle="Normal"/>
    <tableColumn id="3" name="ACTUAL" totalsRowFunction="sum" dataDxfId="127" totalsRowDxfId="51" dataCellStyle="Normal"/>
    <tableColumn id="5" name="DIFERENCIA" totalsRowFunction="sum" dataDxfId="126" totalsRowDxfId="50" dataCellStyle="Normal">
      <calculatedColumnFormula>GastosPersonal34[[#This Row],[ESTIMADO]]-GastosPersonal34[[#This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2.xml><?xml version="1.0" encoding="utf-8"?>
<table xmlns="http://schemas.openxmlformats.org/spreadsheetml/2006/main" id="9" name="GastosPersonal3410" displayName="GastosPersonal3410" ref="B13:F20" totalsRowCount="1" headerRowDxfId="125" dataCellStyle="Normal" totalsRowCellStyle="Normal">
  <autoFilter ref="B13:F19"/>
  <tableColumns count="5">
    <tableColumn id="1" name="RECURSOS POR MES" totalsRowLabel="Total de recuros" dataDxfId="124" totalsRowDxfId="49"/>
    <tableColumn id="6" name="CANTIDAD" totalsRowFunction="custom" dataDxfId="123" totalsRowDxfId="48" dataCellStyle="Entrada">
      <totalsRowFormula>SUM(C14:C19)</totalsRowFormula>
    </tableColumn>
    <tableColumn id="2" name="ESTIMADO" totalsRowFunction="sum" dataDxfId="122" totalsRowDxfId="47" dataCellStyle="Normal"/>
    <tableColumn id="3" name="ACTUAL" totalsRowFunction="sum" dataDxfId="121" totalsRowDxfId="46" dataCellStyle="Normal"/>
    <tableColumn id="5" name="DIFERENCIA" totalsRowFunction="sum" dataDxfId="120" totalsRowDxfId="45" dataCellStyle="Normal">
      <calculatedColumnFormula>GastosPersonal3410[[#This Row],[ESTIMADO]]-GastosPersonal3410[[#This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3.xml><?xml version="1.0" encoding="utf-8"?>
<table xmlns="http://schemas.openxmlformats.org/spreadsheetml/2006/main" id="10" name="GastosPersonal341011" displayName="GastosPersonal341011" ref="B22:F29" totalsRowCount="1" headerRowDxfId="119" dataCellStyle="Normal" totalsRowCellStyle="Normal">
  <autoFilter ref="B22:F28"/>
  <tableColumns count="5">
    <tableColumn id="1" name="RECURSOS POR MES" totalsRowLabel="Total de recuros" dataDxfId="118" totalsRowDxfId="44"/>
    <tableColumn id="6" name="CANTIDAD" totalsRowFunction="custom" dataDxfId="117" totalsRowDxfId="43" dataCellStyle="Entrada">
      <totalsRowFormula>SUM(C23:C28)</totalsRowFormula>
    </tableColumn>
    <tableColumn id="2" name="ESTIMADO" totalsRowFunction="sum" dataDxfId="116" totalsRowDxfId="42" dataCellStyle="Normal"/>
    <tableColumn id="3" name="ACTUAL" totalsRowFunction="sum" dataDxfId="115" totalsRowDxfId="41" dataCellStyle="Normal"/>
    <tableColumn id="5" name="DIFERENCIA" totalsRowFunction="sum" dataDxfId="114" totalsRowDxfId="40" dataCellStyle="Normal">
      <calculatedColumnFormula>GastosPersonal341011[[#This Row],[ESTIMADO]]-GastosPersonal341011[[#This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4.xml><?xml version="1.0" encoding="utf-8"?>
<table xmlns="http://schemas.openxmlformats.org/spreadsheetml/2006/main" id="11" name="GastosPersonal341012" displayName="GastosPersonal341012" ref="H4:L11" totalsRowCount="1" headerRowDxfId="113" dataCellStyle="Normal" totalsRowCellStyle="Normal">
  <autoFilter ref="H4:L10"/>
  <tableColumns count="5">
    <tableColumn id="1" name="RECURSOS POR MES" totalsRowLabel="Total de recuros" dataDxfId="112" totalsRowDxfId="34"/>
    <tableColumn id="6" name="CANTIDAD" totalsRowFunction="custom" dataDxfId="111" totalsRowDxfId="33" dataCellStyle="Entrada">
      <totalsRowFormula>SUM(I5:I10)</totalsRowFormula>
    </tableColumn>
    <tableColumn id="2" name="ESTIMADO" totalsRowFunction="sum" dataDxfId="110" totalsRowDxfId="32" dataCellStyle="Normal"/>
    <tableColumn id="3" name="ACTUAL" totalsRowFunction="sum" dataDxfId="109" totalsRowDxfId="31" dataCellStyle="Normal"/>
    <tableColumn id="5" name="DIFERENCIA" totalsRowFunction="sum" dataDxfId="108" totalsRowDxfId="30" dataCellStyle="Normal">
      <calculatedColumnFormula>GastosPersonal341012[[#This Row],[ESTIMADO]]-GastosPersonal341012[[#This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5.xml><?xml version="1.0" encoding="utf-8"?>
<table xmlns="http://schemas.openxmlformats.org/spreadsheetml/2006/main" id="12" name="GastosPersonal341013" displayName="GastosPersonal341013" ref="H13:L20" totalsRowCount="1" headerRowDxfId="107" dataCellStyle="Normal" totalsRowCellStyle="Normal">
  <autoFilter ref="H13:L19"/>
  <tableColumns count="5">
    <tableColumn id="1" name="RECURSOS POR MES" totalsRowLabel="Total de recuros" dataDxfId="106" totalsRowDxfId="29"/>
    <tableColumn id="6" name="CANTIDAD" totalsRowFunction="custom" dataDxfId="105" totalsRowDxfId="28" dataCellStyle="Entrada">
      <totalsRowFormula>SUM(I14:I19)</totalsRowFormula>
    </tableColumn>
    <tableColumn id="2" name="ESTIMADO" totalsRowFunction="sum" dataDxfId="104" totalsRowDxfId="27" dataCellStyle="Normal"/>
    <tableColumn id="3" name="ACTUAL" totalsRowFunction="sum" dataDxfId="103" totalsRowDxfId="26" dataCellStyle="Normal"/>
    <tableColumn id="5" name="DIFERENCIA" totalsRowFunction="sum" dataDxfId="102" totalsRowDxfId="25" dataCellStyle="Normal">
      <calculatedColumnFormula>GastosPersonal341013[[#This Row],[ESTIMADO]]-GastosPersonal341013[[#This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6.xml><?xml version="1.0" encoding="utf-8"?>
<table xmlns="http://schemas.openxmlformats.org/spreadsheetml/2006/main" id="13" name="GastosPersonal341014" displayName="GastosPersonal341014" ref="H22:L29" totalsRowCount="1" headerRowDxfId="101" dataCellStyle="Normal" totalsRowCellStyle="Normal">
  <autoFilter ref="H22:L28"/>
  <tableColumns count="5">
    <tableColumn id="1" name="RECURSOS POR MES" totalsRowLabel="Total de recuros" dataDxfId="100" totalsRowDxfId="39"/>
    <tableColumn id="6" name="CANTIDAD" totalsRowFunction="custom" dataDxfId="99" totalsRowDxfId="38" dataCellStyle="Entrada">
      <totalsRowFormula>SUM(I23:I28)</totalsRowFormula>
    </tableColumn>
    <tableColumn id="2" name="ESTIMADO" totalsRowFunction="sum" dataDxfId="98" totalsRowDxfId="37" dataCellStyle="Normal"/>
    <tableColumn id="3" name="ACTUAL" totalsRowFunction="sum" dataDxfId="97" totalsRowDxfId="36" dataCellStyle="Normal"/>
    <tableColumn id="5" name="DIFERENCIA" totalsRowFunction="sum" dataDxfId="96" totalsRowDxfId="35" dataCellStyle="Normal">
      <calculatedColumnFormula>GastosPersonal341014[[#This Row],[ESTIMADO]]-GastosPersonal341014[[#This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7.xml><?xml version="1.0" encoding="utf-8"?>
<table xmlns="http://schemas.openxmlformats.org/spreadsheetml/2006/main" id="14" name="GastosPersonal341015" displayName="GastosPersonal341015" ref="B31:F38" totalsRowCount="1" headerRowDxfId="95" dataCellStyle="Normal" totalsRowCellStyle="Normal">
  <autoFilter ref="B31:F37"/>
  <tableColumns count="5">
    <tableColumn id="1" name="RECURSOS POR MES" totalsRowLabel="Total de recuros" dataDxfId="94" totalsRowDxfId="83"/>
    <tableColumn id="6" name="CANTIDAD" totalsRowFunction="custom" dataDxfId="93" totalsRowDxfId="82" dataCellStyle="Entrada">
      <totalsRowFormula>SUM(C32:C37)</totalsRowFormula>
    </tableColumn>
    <tableColumn id="2" name="ESTIMADO" totalsRowFunction="sum" dataDxfId="92" totalsRowDxfId="81" dataCellStyle="Normal"/>
    <tableColumn id="3" name="ACTUAL" totalsRowFunction="sum" dataDxfId="91" totalsRowDxfId="80" dataCellStyle="Normal"/>
    <tableColumn id="5" name="DIFERENCIA" totalsRowFunction="sum" dataDxfId="90" totalsRowDxfId="79" dataCellStyle="Normal">
      <calculatedColumnFormula>GastosPersonal341015[[#This Row],[ESTIMADO]]-GastosPersonal341015[[#This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8.xml><?xml version="1.0" encoding="utf-8"?>
<table xmlns="http://schemas.openxmlformats.org/spreadsheetml/2006/main" id="15" name="GastosPersonal341016" displayName="GastosPersonal341016" ref="H31:L38" totalsRowCount="1" headerRowDxfId="89" dataCellStyle="Normal" totalsRowCellStyle="Normal">
  <autoFilter ref="H31:L37"/>
  <tableColumns count="5">
    <tableColumn id="1" name="RECURSOS POR MES" totalsRowLabel="Total de recuros" dataDxfId="88" totalsRowDxfId="19"/>
    <tableColumn id="6" name="CANTIDAD" totalsRowFunction="custom" dataDxfId="87" totalsRowDxfId="18" dataCellStyle="Entrada">
      <totalsRowFormula>SUM(I32:I37)</totalsRowFormula>
    </tableColumn>
    <tableColumn id="2" name="ESTIMADO" totalsRowFunction="sum" dataDxfId="86" totalsRowDxfId="17" dataCellStyle="Normal"/>
    <tableColumn id="3" name="ACTUAL" totalsRowFunction="sum" dataDxfId="85" totalsRowDxfId="16" dataCellStyle="Normal"/>
    <tableColumn id="5" name="DIFERENCIA" totalsRowFunction="sum" dataDxfId="84" totalsRowDxfId="15" dataCellStyle="Normal">
      <calculatedColumnFormula>GastosPersonal341016[[#This Row],[ESTIMADO]]-GastosPersonal341016[[#This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9.xml><?xml version="1.0" encoding="utf-8"?>
<table xmlns="http://schemas.openxmlformats.org/spreadsheetml/2006/main" id="16" name="GastosPersonal34101517" displayName="GastosPersonal34101517" ref="B40:F47" totalsRowCount="1" headerRowDxfId="78" dataCellStyle="Normal" totalsRowCellStyle="Normal">
  <autoFilter ref="B40:F46"/>
  <tableColumns count="5">
    <tableColumn id="1" name="RECURSOS POR MES" totalsRowLabel="Total de recuros" dataDxfId="77" totalsRowDxfId="4"/>
    <tableColumn id="6" name="CANTIDAD" totalsRowFunction="custom" dataDxfId="76" totalsRowDxfId="3" dataCellStyle="Entrada">
      <totalsRowFormula>SUM(C41:C46)</totalsRowFormula>
    </tableColumn>
    <tableColumn id="2" name="ESTIMADO" totalsRowFunction="sum" dataDxfId="75" totalsRowDxfId="2" dataCellStyle="Normal"/>
    <tableColumn id="3" name="ACTUAL" totalsRowFunction="sum" dataDxfId="74" totalsRowDxfId="1" dataCellStyle="Normal"/>
    <tableColumn id="5" name="DIFERENCIA" totalsRowFunction="sum" dataDxfId="73" totalsRowDxfId="0" dataCellStyle="Normal">
      <calculatedColumnFormula>GastosPersonal34101517[[#This Row],[ESTIMADO]]-GastosPersonal34101517[[#This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0.xml><?xml version="1.0" encoding="utf-8"?>
<table xmlns="http://schemas.openxmlformats.org/spreadsheetml/2006/main" id="17" name="GastosPersonal34101518" displayName="GastosPersonal34101518" ref="H40:L47" totalsRowCount="1" headerRowDxfId="72" dataCellStyle="Normal" totalsRowCellStyle="Normal">
  <autoFilter ref="H40:L46"/>
  <tableColumns count="5">
    <tableColumn id="1" name="RECURSOS POR MES" totalsRowLabel="Total de recuros" dataDxfId="71" totalsRowDxfId="14"/>
    <tableColumn id="6" name="CANTIDAD" totalsRowFunction="custom" dataDxfId="70" totalsRowDxfId="13" dataCellStyle="Entrada">
      <totalsRowFormula>SUM(I41:I46)</totalsRowFormula>
    </tableColumn>
    <tableColumn id="2" name="ESTIMADO" totalsRowFunction="sum" dataDxfId="69" totalsRowDxfId="12" dataCellStyle="Normal"/>
    <tableColumn id="3" name="ACTUAL" totalsRowFunction="sum" dataDxfId="68" totalsRowDxfId="11" dataCellStyle="Normal"/>
    <tableColumn id="5" name="DIFERENCIA" totalsRowFunction="sum" dataDxfId="67" totalsRowDxfId="10" dataCellStyle="Normal">
      <calculatedColumnFormula>GastosPersonal34101518[[#This Row],[ESTIMADO]]-GastosPersonal34101518[[#This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1.xml><?xml version="1.0" encoding="utf-8"?>
<table xmlns="http://schemas.openxmlformats.org/spreadsheetml/2006/main" id="18" name="GastosPersonal34101519" displayName="GastosPersonal34101519" ref="B49:F56" totalsRowCount="1" headerRowDxfId="66" dataCellStyle="Normal" totalsRowCellStyle="Normal">
  <autoFilter ref="B49:F55"/>
  <tableColumns count="5">
    <tableColumn id="1" name="RECURSOS POR MES" totalsRowLabel="Total de recuros" dataDxfId="65" totalsRowDxfId="24"/>
    <tableColumn id="6" name="CANTIDAD" totalsRowFunction="custom" dataDxfId="64" totalsRowDxfId="23" dataCellStyle="Entrada">
      <totalsRowFormula>SUM(C50:C55)</totalsRowFormula>
    </tableColumn>
    <tableColumn id="2" name="ESTIMADO" totalsRowFunction="sum" dataDxfId="63" totalsRowDxfId="22" dataCellStyle="Normal"/>
    <tableColumn id="3" name="ACTUAL" totalsRowFunction="sum" dataDxfId="62" totalsRowDxfId="21" dataCellStyle="Normal"/>
    <tableColumn id="5" name="DIFERENCIA" totalsRowFunction="sum" dataDxfId="61" totalsRowDxfId="20" dataCellStyle="Normal">
      <calculatedColumnFormula>GastosPersonal34101519[[#This Row],[ESTIMADO]]-GastosPersonal34101519[[#This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2.xml><?xml version="1.0" encoding="utf-8"?>
<table xmlns="http://schemas.openxmlformats.org/spreadsheetml/2006/main" id="19" name="GastosPersonal34101520" displayName="GastosPersonal34101520" ref="H49:L56" totalsRowCount="1" headerRowDxfId="60" dataCellStyle="Normal" totalsRowCellStyle="Normal">
  <autoFilter ref="H49:L55"/>
  <tableColumns count="5">
    <tableColumn id="1" name="RECURSOS POR MES" totalsRowLabel="Total de recuros" dataDxfId="59" totalsRowDxfId="9"/>
    <tableColumn id="6" name="CANTIDAD" totalsRowFunction="custom" dataDxfId="58" totalsRowDxfId="8" dataCellStyle="Entrada">
      <totalsRowFormula>SUM(I50:I55)</totalsRowFormula>
    </tableColumn>
    <tableColumn id="2" name="ESTIMADO" totalsRowFunction="sum" dataDxfId="57" totalsRowDxfId="7" dataCellStyle="Normal"/>
    <tableColumn id="3" name="ACTUAL" totalsRowFunction="sum" dataDxfId="56" totalsRowDxfId="6" dataCellStyle="Normal"/>
    <tableColumn id="5" name="DIFERENCIA" totalsRowFunction="sum" dataDxfId="55" totalsRowDxfId="5" dataCellStyle="Normal">
      <calculatedColumnFormula>GastosPersonal34101520[[#This Row],[ESTIMADO]]-GastosPersonal34101520[[#This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3.xml><?xml version="1.0" encoding="utf-8"?>
<table xmlns="http://schemas.openxmlformats.org/spreadsheetml/2006/main" id="4" name="GastosPersonal35" displayName="GastosPersonal35" ref="B4:E8" totalsRowCount="1" headerRowDxfId="165" dataCellStyle="Normal" totalsRowCellStyle="Normal">
  <autoFilter ref="B4:E7"/>
  <tableColumns count="4">
    <tableColumn id="1" name="GASTOS DEL PERSONAL" totalsRowLabel="Gastos de personal totales" dataDxfId="164"/>
    <tableColumn id="2" name="ESTIMADO" totalsRowFunction="sum" dataDxfId="163" dataCellStyle="Normal"/>
    <tableColumn id="3" name="ACTUAL" totalsRowFunction="sum" dataDxfId="162" dataCellStyle="Normal"/>
    <tableColumn id="5" name="DIFERENCIA" totalsRowFunction="sum" dataDxfId="161" dataCellStyle="Normal">
      <calculatedColumnFormula>GastosPersonal35[[#This Row],[ESTIMADO]]-GastosPersonal35[[#This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4.xml><?xml version="1.0" encoding="utf-8"?>
<table xmlns="http://schemas.openxmlformats.org/spreadsheetml/2006/main" id="2" name="GastosPersonal3" displayName="GastosPersonal3" ref="B4:E11" totalsRowCount="1" headerRowDxfId="172" dataCellStyle="Normal" totalsRowCellStyle="Normal">
  <autoFilter ref="B4:E10"/>
  <tableColumns count="4">
    <tableColumn id="1" name="GASTOS DEL PERSONAL" totalsRowLabel="Gastos de la persona" dataDxfId="171" totalsRowDxfId="137"/>
    <tableColumn id="2" name="ESTIMADO" totalsRowFunction="sum" dataDxfId="170" totalsRowDxfId="136" dataCellStyle="Normal"/>
    <tableColumn id="3" name="ACTUAL" totalsRowFunction="sum" dataDxfId="169" totalsRowDxfId="135" dataCellStyle="Normal"/>
    <tableColumn id="5" name="DIFERENCIA" totalsRowFunction="sum" dataDxfId="168" totalsRowDxfId="134" dataCellStyle="Normal">
      <calculatedColumnFormula>GastosPersonal3[[#This Row],[ESTIMADO]]-GastosPersonal3[[#This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5.xml><?xml version="1.0" encoding="utf-8"?>
<table xmlns="http://schemas.openxmlformats.org/spreadsheetml/2006/main" id="5" name="GastosPersonal36" displayName="GastosPersonal36" ref="B14:E21" totalsRowCount="1" headerRowDxfId="160" dataCellStyle="Normal" totalsRowCellStyle="Normal">
  <autoFilter ref="B14:E20"/>
  <tableColumns count="4">
    <tableColumn id="1" name="GASTOS DEL PERSONAL" totalsRowLabel="Gastos de la persona" dataDxfId="159" totalsRowDxfId="141"/>
    <tableColumn id="2" name="ESTIMADO" totalsRowFunction="sum" dataDxfId="158" totalsRowDxfId="140" dataCellStyle="Normal"/>
    <tableColumn id="3" name="ACTUAL" totalsRowFunction="sum" dataDxfId="157" totalsRowDxfId="139" dataCellStyle="Normal"/>
    <tableColumn id="5" name="DIFERENCIA" totalsRowFunction="sum" dataDxfId="156" totalsRowDxfId="138" dataCellStyle="Normal">
      <calculatedColumnFormula>GastosPersonal36[[#This Row],[ESTIMADO]]-GastosPersonal36[[#This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6.xml><?xml version="1.0" encoding="utf-8"?>
<table xmlns="http://schemas.openxmlformats.org/spreadsheetml/2006/main" id="7" name="GastosPersonal368" displayName="GastosPersonal368" ref="G4:J11" totalsRowCount="1" headerRowDxfId="155" dataCellStyle="Normal" totalsRowCellStyle="Normal">
  <autoFilter ref="G4:J10"/>
  <tableColumns count="4">
    <tableColumn id="1" name="GASTOS DEL PERSONAL" totalsRowLabel="Gastos de la persona" dataDxfId="153" totalsRowDxfId="154"/>
    <tableColumn id="2" name="ESTIMADO" totalsRowFunction="sum" dataDxfId="151" totalsRowDxfId="152" dataCellStyle="Normal"/>
    <tableColumn id="3" name="ACTUAL" totalsRowFunction="sum" dataDxfId="149" totalsRowDxfId="150" dataCellStyle="Normal"/>
    <tableColumn id="5" name="DIFERENCIA" totalsRowFunction="sum" dataDxfId="147" totalsRowDxfId="148" dataCellStyle="Normal">
      <calculatedColumnFormula>GastosPersonal368[[#This Row],[ESTIMADO]]-GastosPersonal368[[#This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ables/table17.xml><?xml version="1.0" encoding="utf-8"?>
<table xmlns="http://schemas.openxmlformats.org/spreadsheetml/2006/main" id="8" name="GastosPersonal3689" displayName="GastosPersonal3689" ref="G13:J20" totalsRowCount="1" headerRowDxfId="146" dataCellStyle="Normal" totalsRowCellStyle="Normal">
  <autoFilter ref="G13:J19"/>
  <tableColumns count="4">
    <tableColumn id="1" name="GASTOS DEL PERSONAL" totalsRowLabel="Gastos de la persona" dataDxfId="145" totalsRowDxfId="133"/>
    <tableColumn id="2" name="ESTIMADO" totalsRowFunction="sum" dataDxfId="144" totalsRowDxfId="132" dataCellStyle="Normal"/>
    <tableColumn id="3" name="ACTUAL" totalsRowFunction="sum" dataDxfId="143" totalsRowDxfId="131" dataCellStyle="Normal"/>
    <tableColumn id="5" name="DIFERENCIA" totalsRowFunction="sum" dataDxfId="142" totalsRowDxfId="130" dataCellStyle="Normal">
      <calculatedColumnFormula>GastosPersonal3689[[#This Row],[ESTIMADO]]-GastosPersonal3689[[#This Row],[ACTUAL]]</calculatedColumnFormula>
    </tableColumn>
  </tableColumns>
  <tableStyleInfo name="Presupuesto mensual" showFirstColumn="0" showLastColumn="0" showRowStripes="1" showColumnStripes="0"/>
  <extLst>
    <ext xmlns:x14="http://schemas.microsoft.com/office/spreadsheetml/2009/9/main" uri="{504A1905-F514-4f6f-8877-14C23A59335A}">
      <x14:table altTextSummary="Escriba los valores estimados y reales de los gastos de personal en esta tabla. La diferencia se calcula automáticamente"/>
    </ext>
  </extLst>
</table>
</file>

<file path=xl/theme/theme1.xml><?xml version="1.0" encoding="utf-8"?>
<a:theme xmlns:a="http://schemas.openxmlformats.org/drawingml/2006/main" name="Thatch">
  <a:themeElements>
    <a:clrScheme name="Small Business Budget">
      <a:dk1>
        <a:sysClr val="windowText" lastClr="000000"/>
      </a:dk1>
      <a:lt1>
        <a:sysClr val="window" lastClr="FFFFFF"/>
      </a:lt1>
      <a:dk2>
        <a:srgbClr val="355A61"/>
      </a:dk2>
      <a:lt2>
        <a:srgbClr val="DBE3E9"/>
      </a:lt2>
      <a:accent1>
        <a:srgbClr val="62799E"/>
      </a:accent1>
      <a:accent2>
        <a:srgbClr val="B3C035"/>
      </a:accent2>
      <a:accent3>
        <a:srgbClr val="908F74"/>
      </a:accent3>
      <a:accent4>
        <a:srgbClr val="7EA67F"/>
      </a:accent4>
      <a:accent5>
        <a:srgbClr val="5588A5"/>
      </a:accent5>
      <a:accent6>
        <a:srgbClr val="559592"/>
      </a:accent6>
      <a:hlink>
        <a:srgbClr val="66AACD"/>
      </a:hlink>
      <a:folHlink>
        <a:srgbClr val="809DB3"/>
      </a:folHlink>
    </a:clrScheme>
    <a:fontScheme name="Small Business Budget">
      <a:majorFont>
        <a:latin typeface="Gill Sans MT"/>
        <a:ea typeface=""/>
        <a:cs typeface=""/>
      </a:majorFont>
      <a:minorFont>
        <a:latin typeface="Gill Sans MT"/>
        <a:ea typeface=""/>
        <a:cs typeface=""/>
      </a:minorFont>
    </a:fontScheme>
    <a:fmtScheme name="Thatch">
      <a:fillStyleLst>
        <a:solidFill>
          <a:schemeClr val="phClr"/>
        </a:solidFill>
        <a:gradFill rotWithShape="1">
          <a:gsLst>
            <a:gs pos="0">
              <a:schemeClr val="phClr">
                <a:tint val="79000"/>
                <a:satMod val="180000"/>
              </a:schemeClr>
            </a:gs>
            <a:gs pos="65000">
              <a:schemeClr val="phClr">
                <a:tint val="52000"/>
                <a:satMod val="250000"/>
              </a:schemeClr>
            </a:gs>
            <a:gs pos="100000">
              <a:schemeClr val="phClr">
                <a:tint val="29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9525" cap="flat" cmpd="sng" algn="ctr">
          <a:solidFill>
            <a:schemeClr val="phClr"/>
          </a:solidFill>
          <a:prstDash val="solid"/>
        </a:ln>
        <a:ln w="15875" cap="flat" cmpd="sng" algn="ctr">
          <a:solidFill>
            <a:schemeClr val="phClr"/>
          </a:solidFill>
          <a:prstDash val="solid"/>
        </a:ln>
        <a:ln w="38100" cap="flat" cmpd="sng" algn="ctr">
          <a:solidFill>
            <a:schemeClr val="phClr"/>
          </a:solidFill>
          <a:prstDash val="solid"/>
        </a:ln>
      </a:lnStyleLst>
      <a:effectStyleLst>
        <a:effectStyle>
          <a:effectLst>
            <a:outerShdw blurRad="63500" dist="25400" dir="5400000" rotWithShape="0">
              <a:srgbClr val="000000">
                <a:alpha val="43000"/>
              </a:srgbClr>
            </a:outerShdw>
          </a:effectLst>
        </a:effectStyle>
        <a:effectStyle>
          <a:effectLst>
            <a:outerShdw blurRad="63500" dist="25400" dir="5400000" rotWithShape="0">
              <a:srgbClr val="000000">
                <a:alpha val="43000"/>
              </a:srgbClr>
            </a:outerShdw>
          </a:effectLst>
          <a:scene3d>
            <a:camera prst="orthographicFront">
              <a:rot lat="0" lon="0" rev="0"/>
            </a:camera>
            <a:lightRig rig="brightRoom" dir="t">
              <a:rot lat="0" lon="0" rev="8700000"/>
            </a:lightRig>
          </a:scene3d>
          <a:sp3d contourW="12700" prstMaterial="dkEdge">
            <a:bevelT w="0" h="0" prst="relaxedInset"/>
            <a:contourClr>
              <a:schemeClr val="phClr">
                <a:shade val="65000"/>
                <a:satMod val="150000"/>
              </a:schemeClr>
            </a:contourClr>
          </a:sp3d>
        </a:effectStyle>
        <a:effectStyle>
          <a:effectLst>
            <a:outerShdw blurRad="63500" dist="25400" dir="5400000" rotWithShape="0">
              <a:srgbClr val="000000">
                <a:alpha val="43000"/>
              </a:srgbClr>
            </a:outerShdw>
          </a:effectLst>
          <a:scene3d>
            <a:camera prst="orthographicFront">
              <a:rot lat="0" lon="0" rev="0"/>
            </a:camera>
            <a:lightRig rig="glow" dir="t">
              <a:rot lat="0" lon="0" rev="13200000"/>
            </a:lightRig>
          </a:scene3d>
          <a:sp3d prstMaterial="dkEdge">
            <a:bevelT w="63500" h="50800" prst="relaxedInset"/>
          </a:sp3d>
        </a:effectStyle>
      </a:effectStyleLst>
      <a:bgFillStyleLst>
        <a:solidFill>
          <a:schemeClr val="phClr"/>
        </a:solidFill>
        <a:gradFill rotWithShape="1">
          <a:gsLst>
            <a:gs pos="0">
              <a:schemeClr val="phClr">
                <a:tint val="85000"/>
                <a:shade val="95000"/>
                <a:satMod val="200000"/>
              </a:schemeClr>
            </a:gs>
            <a:gs pos="53000">
              <a:schemeClr val="phClr">
                <a:shade val="60000"/>
                <a:satMod val="220000"/>
              </a:schemeClr>
            </a:gs>
            <a:gs pos="100000">
              <a:schemeClr val="phClr">
                <a:shade val="45000"/>
                <a:satMod val="220000"/>
              </a:schemeClr>
            </a:gs>
          </a:gsLst>
          <a:lin ang="16200000" scaled="0"/>
        </a:gradFill>
        <a:gradFill rotWithShape="1">
          <a:gsLst>
            <a:gs pos="0">
              <a:schemeClr val="phClr">
                <a:tint val="83000"/>
                <a:shade val="97000"/>
                <a:satMod val="230000"/>
              </a:schemeClr>
            </a:gs>
            <a:gs pos="100000">
              <a:schemeClr val="phClr">
                <a:shade val="35000"/>
                <a:satMod val="250000"/>
              </a:schemeClr>
            </a:gs>
          </a:gsLst>
          <a:path path="circle">
            <a:fillToRect l="15000" t="50000" r="85000" b="6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 Id="rId4" Type="http://schemas.openxmlformats.org/officeDocument/2006/relationships/table" Target="../tables/table1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77" zoomScaleNormal="77" workbookViewId="0">
      <selection activeCell="N8" sqref="N8"/>
    </sheetView>
  </sheetViews>
  <sheetFormatPr baseColWidth="10" defaultRowHeight="14.25"/>
  <cols>
    <col min="1" max="1" width="3.125" customWidth="1"/>
    <col min="2" max="2" width="29.25" customWidth="1"/>
    <col min="3" max="3" width="14.875" bestFit="1" customWidth="1"/>
    <col min="4" max="4" width="16" bestFit="1" customWidth="1"/>
    <col min="5" max="5" width="13.75" bestFit="1" customWidth="1"/>
    <col min="6" max="6" width="18" bestFit="1" customWidth="1"/>
    <col min="8" max="8" width="25.875" bestFit="1" customWidth="1"/>
    <col min="9" max="9" width="14.875" bestFit="1" customWidth="1"/>
    <col min="10" max="10" width="16" bestFit="1" customWidth="1"/>
    <col min="11" max="11" width="13.75" bestFit="1" customWidth="1"/>
    <col min="12" max="12" width="18" bestFit="1" customWidth="1"/>
  </cols>
  <sheetData>
    <row r="1" spans="1:12" ht="18.75">
      <c r="A1" s="12"/>
      <c r="B1" s="11" t="s">
        <v>9</v>
      </c>
      <c r="C1" s="11"/>
      <c r="D1" s="11"/>
      <c r="E1" s="2"/>
      <c r="F1" s="8"/>
    </row>
    <row r="2" spans="1:12" ht="25.5">
      <c r="A2" s="12"/>
      <c r="B2" s="19" t="s">
        <v>43</v>
      </c>
      <c r="C2" s="19"/>
      <c r="D2" s="19"/>
      <c r="E2" s="19"/>
      <c r="F2" s="1"/>
    </row>
    <row r="3" spans="1:12">
      <c r="A3" s="3"/>
      <c r="B3" s="3"/>
      <c r="C3" s="3"/>
      <c r="D3" s="3"/>
      <c r="E3" s="3"/>
      <c r="F3" s="3"/>
    </row>
    <row r="4" spans="1:12" ht="30">
      <c r="A4" s="4"/>
      <c r="B4" s="5" t="s">
        <v>47</v>
      </c>
      <c r="C4" s="5" t="s">
        <v>14</v>
      </c>
      <c r="D4" s="6" t="s">
        <v>1</v>
      </c>
      <c r="E4" s="6" t="s">
        <v>4</v>
      </c>
      <c r="F4" s="6" t="s">
        <v>3</v>
      </c>
      <c r="H4" s="5" t="s">
        <v>47</v>
      </c>
      <c r="I4" s="5" t="s">
        <v>14</v>
      </c>
      <c r="J4" s="6" t="s">
        <v>1</v>
      </c>
      <c r="K4" s="6" t="s">
        <v>4</v>
      </c>
      <c r="L4" s="6" t="s">
        <v>3</v>
      </c>
    </row>
    <row r="5" spans="1:12" ht="15">
      <c r="A5" s="4"/>
      <c r="B5" s="38" t="s">
        <v>30</v>
      </c>
      <c r="C5" s="28"/>
      <c r="D5" s="29"/>
      <c r="E5" s="29"/>
      <c r="F5" s="29">
        <f>GastosPersonal34[[#This Row],[ESTIMADO]]-GastosPersonal34[[#This Row],[ACTUAL]]</f>
        <v>0</v>
      </c>
      <c r="H5" s="38" t="s">
        <v>36</v>
      </c>
      <c r="I5" s="28"/>
      <c r="J5" s="29"/>
      <c r="K5" s="29"/>
      <c r="L5" s="29">
        <f>GastosPersonal341012[[#This Row],[ESTIMADO]]-GastosPersonal341012[[#This Row],[ACTUAL]]</f>
        <v>0</v>
      </c>
    </row>
    <row r="6" spans="1:12">
      <c r="A6" s="3"/>
      <c r="B6" s="14" t="s">
        <v>11</v>
      </c>
      <c r="C6" s="14">
        <v>0</v>
      </c>
      <c r="D6" s="30">
        <v>0</v>
      </c>
      <c r="E6" s="30">
        <v>0</v>
      </c>
      <c r="F6" s="30">
        <f>GastosPersonal34[[#This Row],[ESTIMADO]]-GastosPersonal34[[#This Row],[ACTUAL]]</f>
        <v>0</v>
      </c>
      <c r="H6" s="14" t="s">
        <v>11</v>
      </c>
      <c r="I6" s="14">
        <v>0</v>
      </c>
      <c r="J6" s="30">
        <v>0</v>
      </c>
      <c r="K6" s="30">
        <v>0</v>
      </c>
      <c r="L6" s="30">
        <f>GastosPersonal341012[[#This Row],[ESTIMADO]]-GastosPersonal341012[[#This Row],[ACTUAL]]</f>
        <v>0</v>
      </c>
    </row>
    <row r="7" spans="1:12">
      <c r="A7" s="3"/>
      <c r="B7" s="15" t="s">
        <v>13</v>
      </c>
      <c r="C7" s="15">
        <v>0</v>
      </c>
      <c r="D7" s="29">
        <v>0</v>
      </c>
      <c r="E7" s="29">
        <v>0</v>
      </c>
      <c r="F7" s="29">
        <f>GastosPersonal34[[#This Row],[ESTIMADO]]-GastosPersonal34[[#This Row],[ACTUAL]]</f>
        <v>0</v>
      </c>
      <c r="H7" s="15" t="s">
        <v>13</v>
      </c>
      <c r="I7" s="15">
        <v>0</v>
      </c>
      <c r="J7" s="29">
        <v>0</v>
      </c>
      <c r="K7" s="29">
        <v>0</v>
      </c>
      <c r="L7" s="29">
        <f>GastosPersonal341012[[#This Row],[ESTIMADO]]-GastosPersonal341012[[#This Row],[ACTUAL]]</f>
        <v>0</v>
      </c>
    </row>
    <row r="8" spans="1:12">
      <c r="A8" s="3"/>
      <c r="B8" s="14" t="s">
        <v>12</v>
      </c>
      <c r="C8" s="14">
        <v>0</v>
      </c>
      <c r="D8" s="30">
        <v>0</v>
      </c>
      <c r="E8" s="30">
        <v>0</v>
      </c>
      <c r="F8" s="30">
        <f>GastosPersonal34[[#This Row],[ESTIMADO]]-GastosPersonal34[[#This Row],[ACTUAL]]</f>
        <v>0</v>
      </c>
      <c r="H8" s="14" t="s">
        <v>12</v>
      </c>
      <c r="I8" s="14">
        <v>0</v>
      </c>
      <c r="J8" s="30">
        <v>0</v>
      </c>
      <c r="K8" s="30">
        <v>0</v>
      </c>
      <c r="L8" s="30">
        <f>GastosPersonal341012[[#This Row],[ESTIMADO]]-GastosPersonal341012[[#This Row],[ACTUAL]]</f>
        <v>0</v>
      </c>
    </row>
    <row r="9" spans="1:12">
      <c r="A9" s="3"/>
      <c r="B9" s="15" t="s">
        <v>17</v>
      </c>
      <c r="C9" s="28">
        <v>0</v>
      </c>
      <c r="D9" s="29">
        <v>0</v>
      </c>
      <c r="E9" s="29">
        <v>0</v>
      </c>
      <c r="F9" s="29">
        <f>GastosPersonal34[[#This Row],[ESTIMADO]]-GastosPersonal34[[#This Row],[ACTUAL]]</f>
        <v>0</v>
      </c>
      <c r="H9" s="15" t="s">
        <v>17</v>
      </c>
      <c r="I9" s="28">
        <v>0</v>
      </c>
      <c r="J9" s="29">
        <v>0</v>
      </c>
      <c r="K9" s="29">
        <v>0</v>
      </c>
      <c r="L9" s="29">
        <f>GastosPersonal341012[[#This Row],[ESTIMADO]]-GastosPersonal341012[[#This Row],[ACTUAL]]</f>
        <v>0</v>
      </c>
    </row>
    <row r="10" spans="1:12">
      <c r="A10" s="3"/>
      <c r="B10" s="15" t="s">
        <v>42</v>
      </c>
      <c r="C10" s="28">
        <v>0</v>
      </c>
      <c r="D10" s="29">
        <v>0</v>
      </c>
      <c r="E10" s="29">
        <v>0</v>
      </c>
      <c r="F10" s="29">
        <f>GastosPersonal34[[#This Row],[ESTIMADO]]-GastosPersonal34[[#This Row],[ACTUAL]]</f>
        <v>0</v>
      </c>
      <c r="H10" s="15" t="s">
        <v>42</v>
      </c>
      <c r="I10" s="28">
        <v>0</v>
      </c>
      <c r="J10" s="29">
        <v>0</v>
      </c>
      <c r="K10" s="29">
        <v>0</v>
      </c>
      <c r="L10" s="29">
        <f>GastosPersonal341012[[#This Row],[ESTIMADO]]-GastosPersonal341012[[#This Row],[ACTUAL]]</f>
        <v>0</v>
      </c>
    </row>
    <row r="11" spans="1:12">
      <c r="B11" s="9" t="s">
        <v>15</v>
      </c>
      <c r="C11" s="9">
        <f>SUM(C5:C10)</f>
        <v>0</v>
      </c>
      <c r="D11" s="30">
        <f>SUBTOTAL(109,GastosPersonal34[ESTIMADO])</f>
        <v>0</v>
      </c>
      <c r="E11" s="30">
        <f>SUBTOTAL(109,GastosPersonal34[ACTUAL])</f>
        <v>0</v>
      </c>
      <c r="F11" s="30">
        <f>SUBTOTAL(109,GastosPersonal34[DIFERENCIA])</f>
        <v>0</v>
      </c>
      <c r="H11" s="9" t="s">
        <v>15</v>
      </c>
      <c r="I11" s="9">
        <f>SUM(I5:I10)</f>
        <v>0</v>
      </c>
      <c r="J11" s="30">
        <f>SUBTOTAL(109,GastosPersonal341012[ESTIMADO])</f>
        <v>0</v>
      </c>
      <c r="K11" s="30">
        <f>SUBTOTAL(109,GastosPersonal341012[ACTUAL])</f>
        <v>0</v>
      </c>
      <c r="L11" s="30">
        <f>SUBTOTAL(109,GastosPersonal341012[DIFERENCIA])</f>
        <v>0</v>
      </c>
    </row>
    <row r="13" spans="1:12" ht="30">
      <c r="B13" s="5" t="s">
        <v>47</v>
      </c>
      <c r="C13" s="5" t="s">
        <v>14</v>
      </c>
      <c r="D13" s="6" t="s">
        <v>1</v>
      </c>
      <c r="E13" s="6" t="s">
        <v>4</v>
      </c>
      <c r="F13" s="6" t="s">
        <v>3</v>
      </c>
      <c r="H13" s="5" t="s">
        <v>47</v>
      </c>
      <c r="I13" s="5" t="s">
        <v>14</v>
      </c>
      <c r="J13" s="6" t="s">
        <v>1</v>
      </c>
      <c r="K13" s="6" t="s">
        <v>4</v>
      </c>
      <c r="L13" s="6" t="s">
        <v>3</v>
      </c>
    </row>
    <row r="14" spans="1:12" ht="15">
      <c r="B14" s="38" t="s">
        <v>31</v>
      </c>
      <c r="C14" s="28"/>
      <c r="D14" s="29"/>
      <c r="E14" s="29"/>
      <c r="F14" s="29">
        <f>GastosPersonal3410[[#This Row],[ESTIMADO]]-GastosPersonal3410[[#This Row],[ACTUAL]]</f>
        <v>0</v>
      </c>
      <c r="H14" s="38" t="s">
        <v>37</v>
      </c>
      <c r="I14" s="28"/>
      <c r="J14" s="29"/>
      <c r="K14" s="29"/>
      <c r="L14" s="29">
        <f>GastosPersonal341013[[#This Row],[ESTIMADO]]-GastosPersonal341013[[#This Row],[ACTUAL]]</f>
        <v>0</v>
      </c>
    </row>
    <row r="15" spans="1:12">
      <c r="B15" s="14" t="s">
        <v>11</v>
      </c>
      <c r="C15" s="14">
        <v>0</v>
      </c>
      <c r="D15" s="30">
        <v>0</v>
      </c>
      <c r="E15" s="30">
        <v>0</v>
      </c>
      <c r="F15" s="30">
        <f>GastosPersonal3410[[#This Row],[ESTIMADO]]-GastosPersonal3410[[#This Row],[ACTUAL]]</f>
        <v>0</v>
      </c>
      <c r="H15" s="14" t="s">
        <v>11</v>
      </c>
      <c r="I15" s="14">
        <v>0</v>
      </c>
      <c r="J15" s="30">
        <v>0</v>
      </c>
      <c r="K15" s="30">
        <v>0</v>
      </c>
      <c r="L15" s="30">
        <f>GastosPersonal341013[[#This Row],[ESTIMADO]]-GastosPersonal341013[[#This Row],[ACTUAL]]</f>
        <v>0</v>
      </c>
    </row>
    <row r="16" spans="1:12">
      <c r="B16" s="15" t="s">
        <v>13</v>
      </c>
      <c r="C16" s="15">
        <v>0</v>
      </c>
      <c r="D16" s="29">
        <v>0</v>
      </c>
      <c r="E16" s="29">
        <v>0</v>
      </c>
      <c r="F16" s="29">
        <f>GastosPersonal3410[[#This Row],[ESTIMADO]]-GastosPersonal3410[[#This Row],[ACTUAL]]</f>
        <v>0</v>
      </c>
      <c r="H16" s="15" t="s">
        <v>13</v>
      </c>
      <c r="I16" s="15">
        <v>0</v>
      </c>
      <c r="J16" s="29">
        <v>0</v>
      </c>
      <c r="K16" s="29">
        <v>0</v>
      </c>
      <c r="L16" s="29">
        <f>GastosPersonal341013[[#This Row],[ESTIMADO]]-GastosPersonal341013[[#This Row],[ACTUAL]]</f>
        <v>0</v>
      </c>
    </row>
    <row r="17" spans="2:12">
      <c r="B17" s="14" t="s">
        <v>12</v>
      </c>
      <c r="C17" s="14">
        <v>0</v>
      </c>
      <c r="D17" s="30">
        <v>0</v>
      </c>
      <c r="E17" s="30">
        <v>0</v>
      </c>
      <c r="F17" s="30">
        <f>GastosPersonal3410[[#This Row],[ESTIMADO]]-GastosPersonal3410[[#This Row],[ACTUAL]]</f>
        <v>0</v>
      </c>
      <c r="H17" s="14" t="s">
        <v>12</v>
      </c>
      <c r="I17" s="14">
        <v>0</v>
      </c>
      <c r="J17" s="30">
        <v>0</v>
      </c>
      <c r="K17" s="30">
        <v>0</v>
      </c>
      <c r="L17" s="30">
        <f>GastosPersonal341013[[#This Row],[ESTIMADO]]-GastosPersonal341013[[#This Row],[ACTUAL]]</f>
        <v>0</v>
      </c>
    </row>
    <row r="18" spans="2:12">
      <c r="B18" s="15" t="s">
        <v>17</v>
      </c>
      <c r="C18" s="28">
        <v>0</v>
      </c>
      <c r="D18" s="29">
        <v>0</v>
      </c>
      <c r="E18" s="29">
        <v>0</v>
      </c>
      <c r="F18" s="29">
        <f>GastosPersonal3410[[#This Row],[ESTIMADO]]-GastosPersonal3410[[#This Row],[ACTUAL]]</f>
        <v>0</v>
      </c>
      <c r="H18" s="15" t="s">
        <v>17</v>
      </c>
      <c r="I18" s="28">
        <v>0</v>
      </c>
      <c r="J18" s="29">
        <v>0</v>
      </c>
      <c r="K18" s="29">
        <v>0</v>
      </c>
      <c r="L18" s="29">
        <f>GastosPersonal341013[[#This Row],[ESTIMADO]]-GastosPersonal341013[[#This Row],[ACTUAL]]</f>
        <v>0</v>
      </c>
    </row>
    <row r="19" spans="2:12">
      <c r="B19" s="15" t="s">
        <v>42</v>
      </c>
      <c r="C19" s="28">
        <v>0</v>
      </c>
      <c r="D19" s="29">
        <v>0</v>
      </c>
      <c r="E19" s="29">
        <v>0</v>
      </c>
      <c r="F19" s="29">
        <f>GastosPersonal3410[[#This Row],[ESTIMADO]]-GastosPersonal3410[[#This Row],[ACTUAL]]</f>
        <v>0</v>
      </c>
      <c r="H19" s="15" t="s">
        <v>42</v>
      </c>
      <c r="I19" s="28">
        <v>0</v>
      </c>
      <c r="J19" s="29">
        <v>0</v>
      </c>
      <c r="K19" s="29">
        <v>0</v>
      </c>
      <c r="L19" s="29">
        <f>GastosPersonal341013[[#This Row],[ESTIMADO]]-GastosPersonal341013[[#This Row],[ACTUAL]]</f>
        <v>0</v>
      </c>
    </row>
    <row r="20" spans="2:12">
      <c r="B20" s="9" t="s">
        <v>15</v>
      </c>
      <c r="C20" s="9">
        <f>SUM(C14:C19)</f>
        <v>0</v>
      </c>
      <c r="D20" s="30">
        <f>SUBTOTAL(109,GastosPersonal3410[ESTIMADO])</f>
        <v>0</v>
      </c>
      <c r="E20" s="30">
        <f>SUBTOTAL(109,GastosPersonal3410[ACTUAL])</f>
        <v>0</v>
      </c>
      <c r="F20" s="30">
        <f>SUBTOTAL(109,GastosPersonal3410[DIFERENCIA])</f>
        <v>0</v>
      </c>
      <c r="H20" s="9" t="s">
        <v>15</v>
      </c>
      <c r="I20" s="9">
        <f>SUM(I14:I19)</f>
        <v>0</v>
      </c>
      <c r="J20" s="30">
        <f>SUBTOTAL(109,GastosPersonal341013[ESTIMADO])</f>
        <v>0</v>
      </c>
      <c r="K20" s="30">
        <f>SUBTOTAL(109,GastosPersonal341013[ACTUAL])</f>
        <v>0</v>
      </c>
      <c r="L20" s="30">
        <f>SUBTOTAL(109,GastosPersonal341013[DIFERENCIA])</f>
        <v>0</v>
      </c>
    </row>
    <row r="22" spans="2:12" ht="30">
      <c r="B22" s="5" t="s">
        <v>47</v>
      </c>
      <c r="C22" s="5" t="s">
        <v>14</v>
      </c>
      <c r="D22" s="6" t="s">
        <v>1</v>
      </c>
      <c r="E22" s="6" t="s">
        <v>4</v>
      </c>
      <c r="F22" s="6" t="s">
        <v>3</v>
      </c>
      <c r="H22" s="5" t="s">
        <v>47</v>
      </c>
      <c r="I22" s="5" t="s">
        <v>14</v>
      </c>
      <c r="J22" s="6" t="s">
        <v>1</v>
      </c>
      <c r="K22" s="6" t="s">
        <v>4</v>
      </c>
      <c r="L22" s="6" t="s">
        <v>3</v>
      </c>
    </row>
    <row r="23" spans="2:12" ht="15">
      <c r="B23" s="38" t="s">
        <v>32</v>
      </c>
      <c r="C23" s="28"/>
      <c r="D23" s="29"/>
      <c r="E23" s="29"/>
      <c r="F23" s="29">
        <f>GastosPersonal341011[[#This Row],[ESTIMADO]]-GastosPersonal341011[[#This Row],[ACTUAL]]</f>
        <v>0</v>
      </c>
      <c r="H23" s="38" t="s">
        <v>38</v>
      </c>
      <c r="I23" s="28"/>
      <c r="J23" s="29"/>
      <c r="K23" s="29"/>
      <c r="L23" s="29">
        <f>GastosPersonal341014[[#This Row],[ESTIMADO]]-GastosPersonal341014[[#This Row],[ACTUAL]]</f>
        <v>0</v>
      </c>
    </row>
    <row r="24" spans="2:12">
      <c r="B24" s="14" t="s">
        <v>11</v>
      </c>
      <c r="C24" s="14">
        <v>0</v>
      </c>
      <c r="D24" s="30">
        <v>0</v>
      </c>
      <c r="E24" s="30">
        <v>0</v>
      </c>
      <c r="F24" s="30">
        <f>GastosPersonal341011[[#This Row],[ESTIMADO]]-GastosPersonal341011[[#This Row],[ACTUAL]]</f>
        <v>0</v>
      </c>
      <c r="H24" s="14" t="s">
        <v>11</v>
      </c>
      <c r="I24" s="14">
        <v>0</v>
      </c>
      <c r="J24" s="30">
        <v>0</v>
      </c>
      <c r="K24" s="30">
        <v>0</v>
      </c>
      <c r="L24" s="30">
        <f>GastosPersonal341014[[#This Row],[ESTIMADO]]-GastosPersonal341014[[#This Row],[ACTUAL]]</f>
        <v>0</v>
      </c>
    </row>
    <row r="25" spans="2:12">
      <c r="B25" s="15" t="s">
        <v>13</v>
      </c>
      <c r="C25" s="15">
        <v>0</v>
      </c>
      <c r="D25" s="29">
        <v>0</v>
      </c>
      <c r="E25" s="29">
        <v>0</v>
      </c>
      <c r="F25" s="29">
        <f>GastosPersonal341011[[#This Row],[ESTIMADO]]-GastosPersonal341011[[#This Row],[ACTUAL]]</f>
        <v>0</v>
      </c>
      <c r="H25" s="15" t="s">
        <v>13</v>
      </c>
      <c r="I25" s="15">
        <v>0</v>
      </c>
      <c r="J25" s="29">
        <v>0</v>
      </c>
      <c r="K25" s="29">
        <v>0</v>
      </c>
      <c r="L25" s="29">
        <f>GastosPersonal341014[[#This Row],[ESTIMADO]]-GastosPersonal341014[[#This Row],[ACTUAL]]</f>
        <v>0</v>
      </c>
    </row>
    <row r="26" spans="2:12">
      <c r="B26" s="14" t="s">
        <v>12</v>
      </c>
      <c r="C26" s="14">
        <v>0</v>
      </c>
      <c r="D26" s="30">
        <v>0</v>
      </c>
      <c r="E26" s="30">
        <v>0</v>
      </c>
      <c r="F26" s="30">
        <f>GastosPersonal341011[[#This Row],[ESTIMADO]]-GastosPersonal341011[[#This Row],[ACTUAL]]</f>
        <v>0</v>
      </c>
      <c r="H26" s="14" t="s">
        <v>12</v>
      </c>
      <c r="I26" s="14">
        <v>0</v>
      </c>
      <c r="J26" s="30">
        <v>0</v>
      </c>
      <c r="K26" s="30">
        <v>0</v>
      </c>
      <c r="L26" s="30">
        <f>GastosPersonal341014[[#This Row],[ESTIMADO]]-GastosPersonal341014[[#This Row],[ACTUAL]]</f>
        <v>0</v>
      </c>
    </row>
    <row r="27" spans="2:12">
      <c r="B27" s="15" t="s">
        <v>17</v>
      </c>
      <c r="C27" s="28">
        <v>0</v>
      </c>
      <c r="D27" s="29">
        <v>0</v>
      </c>
      <c r="E27" s="29">
        <v>0</v>
      </c>
      <c r="F27" s="29">
        <f>GastosPersonal341011[[#This Row],[ESTIMADO]]-GastosPersonal341011[[#This Row],[ACTUAL]]</f>
        <v>0</v>
      </c>
      <c r="H27" s="15" t="s">
        <v>17</v>
      </c>
      <c r="I27" s="28">
        <v>0</v>
      </c>
      <c r="J27" s="29">
        <v>0</v>
      </c>
      <c r="K27" s="29">
        <v>0</v>
      </c>
      <c r="L27" s="29">
        <f>GastosPersonal341014[[#This Row],[ESTIMADO]]-GastosPersonal341014[[#This Row],[ACTUAL]]</f>
        <v>0</v>
      </c>
    </row>
    <row r="28" spans="2:12">
      <c r="B28" s="15" t="s">
        <v>42</v>
      </c>
      <c r="C28" s="28">
        <v>0</v>
      </c>
      <c r="D28" s="29">
        <v>0</v>
      </c>
      <c r="E28" s="29">
        <v>0</v>
      </c>
      <c r="F28" s="29">
        <f>GastosPersonal341011[[#This Row],[ESTIMADO]]-GastosPersonal341011[[#This Row],[ACTUAL]]</f>
        <v>0</v>
      </c>
      <c r="H28" s="15" t="s">
        <v>42</v>
      </c>
      <c r="I28" s="28">
        <v>0</v>
      </c>
      <c r="J28" s="29">
        <v>0</v>
      </c>
      <c r="K28" s="29">
        <v>0</v>
      </c>
      <c r="L28" s="29">
        <f>GastosPersonal341014[[#This Row],[ESTIMADO]]-GastosPersonal341014[[#This Row],[ACTUAL]]</f>
        <v>0</v>
      </c>
    </row>
    <row r="29" spans="2:12">
      <c r="B29" s="9" t="s">
        <v>15</v>
      </c>
      <c r="C29" s="9">
        <f>SUM(C23:C28)</f>
        <v>0</v>
      </c>
      <c r="D29" s="30">
        <f>SUBTOTAL(109,GastosPersonal341011[ESTIMADO])</f>
        <v>0</v>
      </c>
      <c r="E29" s="30">
        <f>SUBTOTAL(109,GastosPersonal341011[ACTUAL])</f>
        <v>0</v>
      </c>
      <c r="F29" s="30">
        <f>SUBTOTAL(109,GastosPersonal341011[DIFERENCIA])</f>
        <v>0</v>
      </c>
      <c r="H29" s="9" t="s">
        <v>15</v>
      </c>
      <c r="I29" s="9">
        <f>SUM(I23:I28)</f>
        <v>0</v>
      </c>
      <c r="J29" s="30">
        <f>SUBTOTAL(109,GastosPersonal341014[ESTIMADO])</f>
        <v>0</v>
      </c>
      <c r="K29" s="30">
        <f>SUBTOTAL(109,GastosPersonal341014[ACTUAL])</f>
        <v>0</v>
      </c>
      <c r="L29" s="30">
        <f>SUBTOTAL(109,GastosPersonal341014[DIFERENCIA])</f>
        <v>0</v>
      </c>
    </row>
    <row r="31" spans="2:12" ht="30">
      <c r="B31" s="5" t="s">
        <v>47</v>
      </c>
      <c r="C31" s="5" t="s">
        <v>14</v>
      </c>
      <c r="D31" s="6" t="s">
        <v>1</v>
      </c>
      <c r="E31" s="6" t="s">
        <v>4</v>
      </c>
      <c r="F31" s="6" t="s">
        <v>3</v>
      </c>
      <c r="H31" s="5" t="s">
        <v>47</v>
      </c>
      <c r="I31" s="5" t="s">
        <v>14</v>
      </c>
      <c r="J31" s="6" t="s">
        <v>1</v>
      </c>
      <c r="K31" s="6" t="s">
        <v>4</v>
      </c>
      <c r="L31" s="6" t="s">
        <v>3</v>
      </c>
    </row>
    <row r="32" spans="2:12" ht="15">
      <c r="B32" s="38" t="s">
        <v>33</v>
      </c>
      <c r="C32" s="28"/>
      <c r="D32" s="29"/>
      <c r="E32" s="29"/>
      <c r="F32" s="29">
        <f>GastosPersonal341015[[#This Row],[ESTIMADO]]-GastosPersonal341015[[#This Row],[ACTUAL]]</f>
        <v>0</v>
      </c>
      <c r="H32" s="38" t="s">
        <v>39</v>
      </c>
      <c r="I32" s="28"/>
      <c r="J32" s="29"/>
      <c r="K32" s="29"/>
      <c r="L32" s="29">
        <f>GastosPersonal341016[[#This Row],[ESTIMADO]]-GastosPersonal341016[[#This Row],[ACTUAL]]</f>
        <v>0</v>
      </c>
    </row>
    <row r="33" spans="2:12">
      <c r="B33" s="14" t="s">
        <v>11</v>
      </c>
      <c r="C33" s="14">
        <v>20</v>
      </c>
      <c r="D33" s="30">
        <v>200</v>
      </c>
      <c r="E33" s="30">
        <v>250</v>
      </c>
      <c r="F33" s="30">
        <f>GastosPersonal341015[[#This Row],[ESTIMADO]]-GastosPersonal341015[[#This Row],[ACTUAL]]</f>
        <v>-50</v>
      </c>
      <c r="H33" s="14" t="s">
        <v>11</v>
      </c>
      <c r="I33" s="14">
        <v>0</v>
      </c>
      <c r="J33" s="30">
        <v>0</v>
      </c>
      <c r="K33" s="30">
        <v>0</v>
      </c>
      <c r="L33" s="30">
        <f>GastosPersonal341016[[#This Row],[ESTIMADO]]-GastosPersonal341016[[#This Row],[ACTUAL]]</f>
        <v>0</v>
      </c>
    </row>
    <row r="34" spans="2:12">
      <c r="B34" s="15" t="s">
        <v>13</v>
      </c>
      <c r="C34" s="15">
        <v>10</v>
      </c>
      <c r="D34" s="29">
        <v>1500</v>
      </c>
      <c r="E34" s="29">
        <v>1700</v>
      </c>
      <c r="F34" s="29">
        <f>GastosPersonal341015[[#This Row],[ESTIMADO]]-GastosPersonal341015[[#This Row],[ACTUAL]]</f>
        <v>-200</v>
      </c>
      <c r="H34" s="15" t="s">
        <v>13</v>
      </c>
      <c r="I34" s="15">
        <v>0</v>
      </c>
      <c r="J34" s="29">
        <v>0</v>
      </c>
      <c r="K34" s="29">
        <v>0</v>
      </c>
      <c r="L34" s="29">
        <f>GastosPersonal341016[[#This Row],[ESTIMADO]]-GastosPersonal341016[[#This Row],[ACTUAL]]</f>
        <v>0</v>
      </c>
    </row>
    <row r="35" spans="2:12">
      <c r="B35" s="14" t="s">
        <v>12</v>
      </c>
      <c r="C35" s="14">
        <v>80</v>
      </c>
      <c r="D35" s="30">
        <v>1900</v>
      </c>
      <c r="E35" s="30">
        <v>2000</v>
      </c>
      <c r="F35" s="30">
        <f>GastosPersonal341015[[#This Row],[ESTIMADO]]-GastosPersonal341015[[#This Row],[ACTUAL]]</f>
        <v>-100</v>
      </c>
      <c r="H35" s="14" t="s">
        <v>12</v>
      </c>
      <c r="I35" s="14">
        <v>0</v>
      </c>
      <c r="J35" s="30">
        <v>0</v>
      </c>
      <c r="K35" s="30">
        <v>0</v>
      </c>
      <c r="L35" s="30">
        <f>GastosPersonal341016[[#This Row],[ESTIMADO]]-GastosPersonal341016[[#This Row],[ACTUAL]]</f>
        <v>0</v>
      </c>
    </row>
    <row r="36" spans="2:12">
      <c r="B36" s="15" t="s">
        <v>17</v>
      </c>
      <c r="C36" s="28">
        <v>100</v>
      </c>
      <c r="D36" s="29">
        <v>150000</v>
      </c>
      <c r="E36" s="29">
        <v>130000</v>
      </c>
      <c r="F36" s="29">
        <f>GastosPersonal341015[[#This Row],[ESTIMADO]]-GastosPersonal341015[[#This Row],[ACTUAL]]</f>
        <v>20000</v>
      </c>
      <c r="H36" s="15" t="s">
        <v>17</v>
      </c>
      <c r="I36" s="28">
        <v>0</v>
      </c>
      <c r="J36" s="29">
        <v>0</v>
      </c>
      <c r="K36" s="29">
        <v>0</v>
      </c>
      <c r="L36" s="29">
        <f>GastosPersonal341016[[#This Row],[ESTIMADO]]-GastosPersonal341016[[#This Row],[ACTUAL]]</f>
        <v>0</v>
      </c>
    </row>
    <row r="37" spans="2:12">
      <c r="B37" s="15" t="s">
        <v>42</v>
      </c>
      <c r="C37" s="28">
        <v>140</v>
      </c>
      <c r="D37" s="29">
        <v>10000</v>
      </c>
      <c r="E37" s="29">
        <v>8000</v>
      </c>
      <c r="F37" s="29">
        <f>GastosPersonal341015[[#This Row],[ESTIMADO]]-GastosPersonal341015[[#This Row],[ACTUAL]]</f>
        <v>2000</v>
      </c>
      <c r="H37" s="15" t="s">
        <v>42</v>
      </c>
      <c r="I37" s="28">
        <v>0</v>
      </c>
      <c r="J37" s="29">
        <v>0</v>
      </c>
      <c r="K37" s="29">
        <v>0</v>
      </c>
      <c r="L37" s="29">
        <f>GastosPersonal341016[[#This Row],[ESTIMADO]]-GastosPersonal341016[[#This Row],[ACTUAL]]</f>
        <v>0</v>
      </c>
    </row>
    <row r="38" spans="2:12">
      <c r="B38" s="9" t="s">
        <v>15</v>
      </c>
      <c r="C38" s="9">
        <f>SUM(C32:C37)</f>
        <v>350</v>
      </c>
      <c r="D38" s="30">
        <f>SUBTOTAL(109,GastosPersonal341015[ESTIMADO])</f>
        <v>163600</v>
      </c>
      <c r="E38" s="30">
        <f>SUBTOTAL(109,GastosPersonal341015[ACTUAL])</f>
        <v>141950</v>
      </c>
      <c r="F38" s="30">
        <f>SUBTOTAL(109,GastosPersonal341015[DIFERENCIA])</f>
        <v>21650</v>
      </c>
      <c r="H38" s="9" t="s">
        <v>15</v>
      </c>
      <c r="I38" s="9">
        <f>SUM(I32:I37)</f>
        <v>0</v>
      </c>
      <c r="J38" s="30">
        <f>SUBTOTAL(109,GastosPersonal341016[ESTIMADO])</f>
        <v>0</v>
      </c>
      <c r="K38" s="30">
        <f>SUBTOTAL(109,GastosPersonal341016[ACTUAL])</f>
        <v>0</v>
      </c>
      <c r="L38" s="30">
        <f>SUBTOTAL(109,GastosPersonal341016[DIFERENCIA])</f>
        <v>0</v>
      </c>
    </row>
    <row r="40" spans="2:12" ht="15">
      <c r="B40" s="5" t="s">
        <v>47</v>
      </c>
      <c r="C40" s="5" t="s">
        <v>14</v>
      </c>
      <c r="D40" s="6" t="s">
        <v>1</v>
      </c>
      <c r="E40" s="6" t="s">
        <v>4</v>
      </c>
      <c r="F40" s="6" t="s">
        <v>3</v>
      </c>
      <c r="H40" s="5" t="s">
        <v>47</v>
      </c>
      <c r="I40" s="5" t="s">
        <v>14</v>
      </c>
      <c r="J40" s="6" t="s">
        <v>1</v>
      </c>
      <c r="K40" s="6" t="s">
        <v>4</v>
      </c>
      <c r="L40" s="6" t="s">
        <v>3</v>
      </c>
    </row>
    <row r="41" spans="2:12" ht="15">
      <c r="B41" s="38" t="s">
        <v>34</v>
      </c>
      <c r="C41" s="28"/>
      <c r="D41" s="29"/>
      <c r="E41" s="29"/>
      <c r="F41" s="29">
        <f>GastosPersonal34101517[[#This Row],[ESTIMADO]]-GastosPersonal34101517[[#This Row],[ACTUAL]]</f>
        <v>0</v>
      </c>
      <c r="H41" s="38" t="s">
        <v>40</v>
      </c>
      <c r="I41" s="28"/>
      <c r="J41" s="29"/>
      <c r="K41" s="29"/>
      <c r="L41" s="29">
        <f>GastosPersonal34101518[[#This Row],[ESTIMADO]]-GastosPersonal34101518[[#This Row],[ACTUAL]]</f>
        <v>0</v>
      </c>
    </row>
    <row r="42" spans="2:12">
      <c r="B42" s="14" t="s">
        <v>11</v>
      </c>
      <c r="C42" s="14">
        <v>20</v>
      </c>
      <c r="D42" s="30">
        <v>200</v>
      </c>
      <c r="E42" s="30">
        <v>250</v>
      </c>
      <c r="F42" s="30">
        <f>GastosPersonal34101517[[#This Row],[ESTIMADO]]-GastosPersonal34101517[[#This Row],[ACTUAL]]</f>
        <v>-50</v>
      </c>
      <c r="H42" s="14" t="s">
        <v>11</v>
      </c>
      <c r="I42" s="14">
        <v>20</v>
      </c>
      <c r="J42" s="30">
        <v>250</v>
      </c>
      <c r="K42" s="30">
        <v>200</v>
      </c>
      <c r="L42" s="30">
        <f>GastosPersonal34101518[[#This Row],[ESTIMADO]]-GastosPersonal34101518[[#This Row],[ACTUAL]]</f>
        <v>50</v>
      </c>
    </row>
    <row r="43" spans="2:12">
      <c r="B43" s="15" t="s">
        <v>13</v>
      </c>
      <c r="C43" s="15">
        <v>10</v>
      </c>
      <c r="D43" s="29">
        <v>1500</v>
      </c>
      <c r="E43" s="29">
        <v>1700</v>
      </c>
      <c r="F43" s="29">
        <f>GastosPersonal34101517[[#This Row],[ESTIMADO]]-GastosPersonal34101517[[#This Row],[ACTUAL]]</f>
        <v>-200</v>
      </c>
      <c r="H43" s="15" t="s">
        <v>13</v>
      </c>
      <c r="I43" s="15">
        <v>10</v>
      </c>
      <c r="J43" s="29">
        <v>1800</v>
      </c>
      <c r="K43" s="29">
        <v>1700</v>
      </c>
      <c r="L43" s="29">
        <f>GastosPersonal34101518[[#This Row],[ESTIMADO]]-GastosPersonal34101518[[#This Row],[ACTUAL]]</f>
        <v>100</v>
      </c>
    </row>
    <row r="44" spans="2:12">
      <c r="B44" s="14" t="s">
        <v>12</v>
      </c>
      <c r="C44" s="14">
        <v>80</v>
      </c>
      <c r="D44" s="30">
        <v>1900</v>
      </c>
      <c r="E44" s="30">
        <v>2000</v>
      </c>
      <c r="F44" s="30">
        <f>GastosPersonal34101517[[#This Row],[ESTIMADO]]-GastosPersonal34101517[[#This Row],[ACTUAL]]</f>
        <v>-100</v>
      </c>
      <c r="H44" s="14" t="s">
        <v>12</v>
      </c>
      <c r="I44" s="14">
        <v>8</v>
      </c>
      <c r="J44" s="30">
        <v>2500</v>
      </c>
      <c r="K44" s="30">
        <v>2000</v>
      </c>
      <c r="L44" s="30">
        <f>GastosPersonal34101518[[#This Row],[ESTIMADO]]-GastosPersonal34101518[[#This Row],[ACTUAL]]</f>
        <v>500</v>
      </c>
    </row>
    <row r="45" spans="2:12">
      <c r="B45" s="15" t="s">
        <v>17</v>
      </c>
      <c r="C45" s="28">
        <v>100</v>
      </c>
      <c r="D45" s="29">
        <v>150000</v>
      </c>
      <c r="E45" s="29">
        <v>130000</v>
      </c>
      <c r="F45" s="29">
        <f>GastosPersonal34101517[[#This Row],[ESTIMADO]]-GastosPersonal34101517[[#This Row],[ACTUAL]]</f>
        <v>20000</v>
      </c>
      <c r="H45" s="15" t="s">
        <v>17</v>
      </c>
      <c r="I45" s="28">
        <v>20</v>
      </c>
      <c r="J45" s="29">
        <v>150000</v>
      </c>
      <c r="K45" s="29">
        <v>38000</v>
      </c>
      <c r="L45" s="29">
        <f>GastosPersonal34101518[[#This Row],[ESTIMADO]]-GastosPersonal34101518[[#This Row],[ACTUAL]]</f>
        <v>112000</v>
      </c>
    </row>
    <row r="46" spans="2:12">
      <c r="B46" s="15" t="s">
        <v>42</v>
      </c>
      <c r="C46" s="28">
        <v>140</v>
      </c>
      <c r="D46" s="29">
        <v>10000</v>
      </c>
      <c r="E46" s="29">
        <v>8000</v>
      </c>
      <c r="F46" s="29">
        <f>GastosPersonal34101517[[#This Row],[ESTIMADO]]-GastosPersonal34101517[[#This Row],[ACTUAL]]</f>
        <v>2000</v>
      </c>
      <c r="H46" s="15" t="s">
        <v>42</v>
      </c>
      <c r="I46" s="28">
        <v>140</v>
      </c>
      <c r="J46" s="29">
        <v>10000</v>
      </c>
      <c r="K46" s="29">
        <v>8000</v>
      </c>
      <c r="L46" s="29">
        <f>GastosPersonal34101518[[#This Row],[ESTIMADO]]-GastosPersonal34101518[[#This Row],[ACTUAL]]</f>
        <v>2000</v>
      </c>
    </row>
    <row r="47" spans="2:12">
      <c r="B47" s="9" t="s">
        <v>15</v>
      </c>
      <c r="C47" s="9">
        <f>SUM(C41:C46)</f>
        <v>350</v>
      </c>
      <c r="D47" s="30">
        <f>SUBTOTAL(109,GastosPersonal34101517[ESTIMADO])</f>
        <v>163600</v>
      </c>
      <c r="E47" s="30">
        <f>SUBTOTAL(109,GastosPersonal34101517[ACTUAL])</f>
        <v>141950</v>
      </c>
      <c r="F47" s="30">
        <f>SUBTOTAL(109,GastosPersonal34101517[DIFERENCIA])</f>
        <v>21650</v>
      </c>
      <c r="H47" s="9" t="s">
        <v>15</v>
      </c>
      <c r="I47" s="9">
        <f>SUM(I41:I46)</f>
        <v>198</v>
      </c>
      <c r="J47" s="30">
        <f>SUBTOTAL(109,GastosPersonal34101518[ESTIMADO])</f>
        <v>164550</v>
      </c>
      <c r="K47" s="30">
        <f>SUBTOTAL(109,GastosPersonal34101518[ACTUAL])</f>
        <v>49900</v>
      </c>
      <c r="L47" s="30">
        <f>SUBTOTAL(109,GastosPersonal34101518[DIFERENCIA])</f>
        <v>114650</v>
      </c>
    </row>
    <row r="49" spans="2:12" ht="15">
      <c r="B49" s="5" t="s">
        <v>47</v>
      </c>
      <c r="C49" s="5" t="s">
        <v>14</v>
      </c>
      <c r="D49" s="6" t="s">
        <v>1</v>
      </c>
      <c r="E49" s="6" t="s">
        <v>4</v>
      </c>
      <c r="F49" s="6" t="s">
        <v>3</v>
      </c>
      <c r="H49" s="5" t="s">
        <v>47</v>
      </c>
      <c r="I49" s="5" t="s">
        <v>14</v>
      </c>
      <c r="J49" s="6" t="s">
        <v>1</v>
      </c>
      <c r="K49" s="6" t="s">
        <v>4</v>
      </c>
      <c r="L49" s="6" t="s">
        <v>3</v>
      </c>
    </row>
    <row r="50" spans="2:12" ht="15">
      <c r="B50" s="38" t="s">
        <v>35</v>
      </c>
      <c r="C50" s="28"/>
      <c r="D50" s="29"/>
      <c r="E50" s="29"/>
      <c r="F50" s="29">
        <f>GastosPersonal34101519[[#This Row],[ESTIMADO]]-GastosPersonal34101519[[#This Row],[ACTUAL]]</f>
        <v>0</v>
      </c>
      <c r="H50" s="38" t="s">
        <v>41</v>
      </c>
      <c r="I50" s="28"/>
      <c r="J50" s="29"/>
      <c r="K50" s="29"/>
      <c r="L50" s="29">
        <f>GastosPersonal34101520[[#This Row],[ESTIMADO]]-GastosPersonal34101520[[#This Row],[ACTUAL]]</f>
        <v>0</v>
      </c>
    </row>
    <row r="51" spans="2:12">
      <c r="B51" s="14" t="s">
        <v>11</v>
      </c>
      <c r="C51" s="14">
        <v>0</v>
      </c>
      <c r="D51" s="30">
        <v>0</v>
      </c>
      <c r="E51" s="30">
        <v>0</v>
      </c>
      <c r="F51" s="30">
        <f>GastosPersonal34101519[[#This Row],[ESTIMADO]]-GastosPersonal34101519[[#This Row],[ACTUAL]]</f>
        <v>0</v>
      </c>
      <c r="H51" s="14" t="s">
        <v>11</v>
      </c>
      <c r="I51" s="14">
        <v>20</v>
      </c>
      <c r="J51" s="30">
        <v>200</v>
      </c>
      <c r="K51" s="30">
        <v>250</v>
      </c>
      <c r="L51" s="30">
        <f>GastosPersonal34101520[[#This Row],[ESTIMADO]]-GastosPersonal34101520[[#This Row],[ACTUAL]]</f>
        <v>-50</v>
      </c>
    </row>
    <row r="52" spans="2:12">
      <c r="B52" s="15" t="s">
        <v>13</v>
      </c>
      <c r="C52" s="15">
        <v>0</v>
      </c>
      <c r="D52" s="29">
        <v>0</v>
      </c>
      <c r="E52" s="29">
        <v>0</v>
      </c>
      <c r="F52" s="29">
        <f>GastosPersonal34101519[[#This Row],[ESTIMADO]]-GastosPersonal34101519[[#This Row],[ACTUAL]]</f>
        <v>0</v>
      </c>
      <c r="H52" s="15" t="s">
        <v>13</v>
      </c>
      <c r="I52" s="15">
        <v>2</v>
      </c>
      <c r="J52" s="29">
        <v>1500</v>
      </c>
      <c r="K52" s="29">
        <v>3400</v>
      </c>
      <c r="L52" s="29">
        <f>GastosPersonal34101520[[#This Row],[ESTIMADO]]-GastosPersonal34101520[[#This Row],[ACTUAL]]</f>
        <v>-1900</v>
      </c>
    </row>
    <row r="53" spans="2:12">
      <c r="B53" s="14" t="s">
        <v>12</v>
      </c>
      <c r="C53" s="14">
        <v>0</v>
      </c>
      <c r="D53" s="30">
        <v>0</v>
      </c>
      <c r="E53" s="30">
        <v>0</v>
      </c>
      <c r="F53" s="30">
        <f>GastosPersonal34101519[[#This Row],[ESTIMADO]]-GastosPersonal34101519[[#This Row],[ACTUAL]]</f>
        <v>0</v>
      </c>
      <c r="H53" s="14" t="s">
        <v>12</v>
      </c>
      <c r="I53" s="14">
        <v>2</v>
      </c>
      <c r="J53" s="30">
        <v>1900</v>
      </c>
      <c r="K53" s="30">
        <v>2000</v>
      </c>
      <c r="L53" s="30">
        <f>GastosPersonal34101520[[#This Row],[ESTIMADO]]-GastosPersonal34101520[[#This Row],[ACTUAL]]</f>
        <v>-100</v>
      </c>
    </row>
    <row r="54" spans="2:12">
      <c r="B54" s="15" t="s">
        <v>17</v>
      </c>
      <c r="C54" s="28">
        <v>0</v>
      </c>
      <c r="D54" s="29">
        <v>0</v>
      </c>
      <c r="E54" s="29">
        <v>0</v>
      </c>
      <c r="F54" s="29">
        <f>GastosPersonal34101519[[#This Row],[ESTIMADO]]-GastosPersonal34101519[[#This Row],[ACTUAL]]</f>
        <v>0</v>
      </c>
      <c r="H54" s="15" t="s">
        <v>17</v>
      </c>
      <c r="I54" s="28">
        <v>100</v>
      </c>
      <c r="J54" s="29">
        <v>150000</v>
      </c>
      <c r="K54" s="29">
        <v>130000</v>
      </c>
      <c r="L54" s="29">
        <f>GastosPersonal34101520[[#This Row],[ESTIMADO]]-GastosPersonal34101520[[#This Row],[ACTUAL]]</f>
        <v>20000</v>
      </c>
    </row>
    <row r="55" spans="2:12">
      <c r="B55" s="15" t="s">
        <v>42</v>
      </c>
      <c r="C55" s="28">
        <v>0</v>
      </c>
      <c r="D55" s="29">
        <v>0</v>
      </c>
      <c r="E55" s="29">
        <v>0</v>
      </c>
      <c r="F55" s="29">
        <f>GastosPersonal34101519[[#This Row],[ESTIMADO]]-GastosPersonal34101519[[#This Row],[ACTUAL]]</f>
        <v>0</v>
      </c>
      <c r="H55" s="15" t="s">
        <v>42</v>
      </c>
      <c r="I55" s="28">
        <v>140</v>
      </c>
      <c r="J55" s="29">
        <v>10000</v>
      </c>
      <c r="K55" s="29">
        <v>8000</v>
      </c>
      <c r="L55" s="29">
        <f>GastosPersonal34101520[[#This Row],[ESTIMADO]]-GastosPersonal34101520[[#This Row],[ACTUAL]]</f>
        <v>2000</v>
      </c>
    </row>
    <row r="56" spans="2:12">
      <c r="B56" s="9" t="s">
        <v>15</v>
      </c>
      <c r="C56" s="9">
        <f>SUM(C50:C55)</f>
        <v>0</v>
      </c>
      <c r="D56" s="30">
        <f>SUBTOTAL(109,GastosPersonal34101519[ESTIMADO])</f>
        <v>0</v>
      </c>
      <c r="E56" s="30">
        <f>SUBTOTAL(109,GastosPersonal34101519[ACTUAL])</f>
        <v>0</v>
      </c>
      <c r="F56" s="30">
        <f>SUBTOTAL(109,GastosPersonal34101519[DIFERENCIA])</f>
        <v>0</v>
      </c>
      <c r="H56" s="9" t="s">
        <v>15</v>
      </c>
      <c r="I56" s="9">
        <f>SUM(I50:I55)</f>
        <v>264</v>
      </c>
      <c r="J56" s="30">
        <f>SUBTOTAL(109,GastosPersonal34101520[ESTIMADO])</f>
        <v>163600</v>
      </c>
      <c r="K56" s="30">
        <f>SUBTOTAL(109,GastosPersonal34101520[ACTUAL])</f>
        <v>143650</v>
      </c>
      <c r="L56" s="30">
        <f>SUBTOTAL(109,GastosPersonal34101520[DIFERENCIA])</f>
        <v>19950</v>
      </c>
    </row>
  </sheetData>
  <mergeCells count="3">
    <mergeCell ref="A1:A2"/>
    <mergeCell ref="B1:D1"/>
    <mergeCell ref="B2:E2"/>
  </mergeCells>
  <dataValidations count="9">
    <dataValidation allowBlank="1" showInputMessage="1" showErrorMessage="1" prompt="Escriba los gastos de personal en esta columna, debajo de este encabezado. Use los filtros del encabezado para buscar entradas específicas" sqref="B4:C5 B13:C14 B22:C23 H4:I5 H13:I14 H22:I23 B31:C32 H31:I32 B40:C41 H40:I41 B49:C50 H49:I50"/>
    <dataValidation allowBlank="1" showInputMessage="1" showErrorMessage="1" prompt="Escriba el importe estimado en esta columna, debajo de este encabezado" sqref="D4:D5 D13:D14 D22:D23 J4:J5 J13:J14 J22:J23 D31:D32 J31:J32 D40:D41 J40:J41 D49:D50 J49:J50"/>
    <dataValidation allowBlank="1" showInputMessage="1" showErrorMessage="1" prompt="Escriba el importe real en esta columna, debajo de este encabezado" sqref="E4:E5 E13:E14 E22:E23 K4:K5 K13:K14 K22:K23 E31:E32 K31:K32 E40:E41 K40:K41 E49:E50 K49:K50"/>
    <dataValidation allowBlank="1" showInputMessage="1" showErrorMessage="1" prompt="La diferencia entre los gastos de personal estimados y reales se calcula automáticamente en esta columna, debajo de este encabezado" sqref="F4:F5 F13:F14 F22:F23 L4:L5 L13:L14 L22:L23 F31:F32 L31:L32 F40:F41 L40:L41 F49:F50 L49:L50"/>
    <dataValidation allowBlank="1" showInputMessage="1" showErrorMessage="1" prompt="Cree un presupuesto mensual para la empresa en este libro. La información general está en esta hoja de cálculo. Escriba los detalles de ingresos en Ingresos mensuales y Gastos de personal y Gastos operativos en las hojas de cálculo correspondientes" sqref="A1"/>
    <dataValidation allowBlank="1" showInputMessage="1" showErrorMessage="1" prompt="Escriba el nombre de la empresa en esta celda" sqref="B1:C1"/>
    <dataValidation allowBlank="1" showInputMessage="1" showErrorMessage="1" prompt="El título de esta hoja de cálculo se encuentra en esta celda. Escriba la fecha en la celda F1. Los totales del presupuesto se calculan automáticamente en la tabla Totales que comienza en la celda B4" sqref="B2:E2"/>
    <dataValidation allowBlank="1" showInputMessage="1" showErrorMessage="1" prompt="Escriba la fecha en esta celda" sqref="F1"/>
    <dataValidation allowBlank="1" showInputMessage="1" showErrorMessage="1" errorTitle="ALERTA" error="Esta celda se rellena automáticamente y no se debería sobrescribir. Si sobrescribe esta celda, los cálculos se romperían en esta hoja de cálculo." sqref="F6:F10 F15:F19 F24:F28 L6:L10 L15:L19 L24:L28 F33:F37 L33:L37 F42:F46 L42:L46 F51:F55 L51:L55"/>
  </dataValidations>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4" sqref="E14"/>
    </sheetView>
  </sheetViews>
  <sheetFormatPr baseColWidth="10" defaultRowHeight="14.25"/>
  <cols>
    <col min="1" max="1" width="4.625" customWidth="1"/>
    <col min="2" max="2" width="29.125" bestFit="1" customWidth="1"/>
    <col min="3" max="3" width="13.875" bestFit="1" customWidth="1"/>
    <col min="4" max="4" width="20.375" customWidth="1"/>
    <col min="5" max="5" width="13.75" bestFit="1" customWidth="1"/>
  </cols>
  <sheetData>
    <row r="1" spans="1:5" ht="18.75">
      <c r="A1" s="12"/>
      <c r="B1" s="11" t="s">
        <v>9</v>
      </c>
      <c r="C1" s="11"/>
      <c r="D1" s="2"/>
      <c r="E1" s="8" t="s">
        <v>2</v>
      </c>
    </row>
    <row r="2" spans="1:5" ht="25.5">
      <c r="A2" s="12"/>
      <c r="B2" s="19" t="s">
        <v>16</v>
      </c>
      <c r="C2" s="19"/>
      <c r="D2" s="19"/>
      <c r="E2" s="1"/>
    </row>
    <row r="3" spans="1:5">
      <c r="A3" s="3"/>
      <c r="B3" s="3"/>
      <c r="C3" s="3"/>
      <c r="D3" s="3"/>
      <c r="E3" s="3"/>
    </row>
    <row r="4" spans="1:5" ht="30">
      <c r="A4" s="4"/>
      <c r="B4" s="5" t="s">
        <v>10</v>
      </c>
      <c r="C4" s="6" t="s">
        <v>1</v>
      </c>
      <c r="D4" s="6" t="s">
        <v>4</v>
      </c>
      <c r="E4" s="6" t="s">
        <v>3</v>
      </c>
    </row>
    <row r="5" spans="1:5">
      <c r="A5" s="3"/>
      <c r="B5" s="7" t="s">
        <v>5</v>
      </c>
      <c r="C5" s="10">
        <v>8373000</v>
      </c>
      <c r="D5" s="10">
        <v>7235000</v>
      </c>
      <c r="E5" s="10">
        <f>GastosPersonal35[[#This Row],[ESTIMADO]]-GastosPersonal35[[#This Row],[ACTUAL]]</f>
        <v>1138000</v>
      </c>
    </row>
    <row r="6" spans="1:5">
      <c r="A6" s="3"/>
      <c r="B6" s="7" t="s">
        <v>6</v>
      </c>
      <c r="C6" s="10">
        <v>84581.67</v>
      </c>
      <c r="D6" s="10">
        <v>55000</v>
      </c>
      <c r="E6" s="10">
        <f>GastosPersonal35[[#This Row],[ESTIMADO]]-GastosPersonal35[[#This Row],[ACTUAL]]</f>
        <v>29581.67</v>
      </c>
    </row>
    <row r="7" spans="1:5">
      <c r="A7" s="3"/>
      <c r="B7" s="7" t="s">
        <v>7</v>
      </c>
      <c r="C7" s="10">
        <v>0</v>
      </c>
      <c r="D7" s="10">
        <v>0</v>
      </c>
      <c r="E7" s="10">
        <f>GastosPersonal35[[#This Row],[ESTIMADO]]-GastosPersonal35[[#This Row],[ACTUAL]]</f>
        <v>0</v>
      </c>
    </row>
    <row r="8" spans="1:5">
      <c r="B8" s="9" t="s">
        <v>8</v>
      </c>
      <c r="C8" s="10">
        <f>SUBTOTAL(109,GastosPersonal35[ESTIMADO])</f>
        <v>8457581.6699999999</v>
      </c>
      <c r="D8" s="10">
        <f>SUBTOTAL(109,GastosPersonal35[ACTUAL])</f>
        <v>7290000</v>
      </c>
      <c r="E8" s="10">
        <f>SUBTOTAL(109,GastosPersonal35[DIFERENCIA])</f>
        <v>1167581.67</v>
      </c>
    </row>
  </sheetData>
  <mergeCells count="3">
    <mergeCell ref="A1:A2"/>
    <mergeCell ref="B1:C1"/>
    <mergeCell ref="B2:D2"/>
  </mergeCells>
  <dataValidations count="9">
    <dataValidation allowBlank="1" showInputMessage="1" showErrorMessage="1" errorTitle="ALERTA" error="Esta celda se rellena automáticamente y no se debería sobrescribir. Si sobrescribe esta celda, los cálculos se romperían en esta hoja de cálculo." sqref="E5:E7"/>
    <dataValidation allowBlank="1" showInputMessage="1" showErrorMessage="1" prompt="Escriba los gastos de personal en esta columna, debajo de este encabezado. Use los filtros del encabezado para buscar entradas específicas" sqref="B4"/>
    <dataValidation allowBlank="1" showInputMessage="1" showErrorMessage="1" prompt="Escriba el importe estimado en esta columna, debajo de este encabezado" sqref="C4"/>
    <dataValidation allowBlank="1" showInputMessage="1" showErrorMessage="1" prompt="Escriba el importe real en esta columna, debajo de este encabezado" sqref="D4"/>
    <dataValidation allowBlank="1" showInputMessage="1" showErrorMessage="1" prompt="La diferencia entre los gastos de personal estimados y reales se calcula automáticamente en esta columna, debajo de este encabezado" sqref="E4"/>
    <dataValidation allowBlank="1" showInputMessage="1" showErrorMessage="1" prompt="Cree un presupuesto mensual para la empresa en este libro. La información general está en esta hoja de cálculo. Escriba los detalles de ingresos en Ingresos mensuales y Gastos de personal y Gastos operativos en las hojas de cálculo correspondientes" sqref="A1"/>
    <dataValidation allowBlank="1" showInputMessage="1" showErrorMessage="1" prompt="Escriba el nombre de la empresa en esta celda" sqref="B1"/>
    <dataValidation allowBlank="1" showInputMessage="1" showErrorMessage="1" prompt="El título de esta hoja de cálculo se encuentra en esta celda. Escriba la fecha en la celda F1. Los totales del presupuesto se calculan automáticamente en la tabla Totales que comienza en la celda B4" sqref="B2:D2"/>
    <dataValidation allowBlank="1" showInputMessage="1" showErrorMessage="1" prompt="Escriba la fecha en esta celda" sqref="E1"/>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 workbookViewId="0">
      <selection activeCell="H20" sqref="H20"/>
    </sheetView>
  </sheetViews>
  <sheetFormatPr baseColWidth="10" defaultRowHeight="14.25"/>
  <cols>
    <col min="1" max="1" width="3.375" customWidth="1"/>
    <col min="2" max="2" width="29.125" bestFit="1" customWidth="1"/>
    <col min="3" max="3" width="15.375" bestFit="1" customWidth="1"/>
    <col min="4" max="4" width="13" bestFit="1" customWidth="1"/>
    <col min="5" max="5" width="13.75" bestFit="1" customWidth="1"/>
    <col min="7" max="7" width="29.125" bestFit="1" customWidth="1"/>
    <col min="8" max="8" width="15.375" bestFit="1" customWidth="1"/>
    <col min="9" max="9" width="13" bestFit="1" customWidth="1"/>
    <col min="10" max="10" width="13.75" bestFit="1" customWidth="1"/>
  </cols>
  <sheetData>
    <row r="1" spans="1:10" ht="18.75" customHeight="1">
      <c r="A1" s="12"/>
      <c r="B1" s="23" t="s">
        <v>9</v>
      </c>
      <c r="C1" s="23"/>
      <c r="D1" s="24"/>
      <c r="E1" s="25" t="s">
        <v>2</v>
      </c>
      <c r="F1" s="22"/>
      <c r="G1" s="22"/>
      <c r="H1" s="22"/>
      <c r="I1" s="22"/>
      <c r="J1" s="22" t="s">
        <v>2</v>
      </c>
    </row>
    <row r="2" spans="1:10" ht="20.25" customHeight="1">
      <c r="A2" s="12"/>
      <c r="B2" s="26" t="s">
        <v>20</v>
      </c>
      <c r="C2" s="26"/>
      <c r="D2" s="26"/>
      <c r="E2" s="21"/>
      <c r="F2" s="22"/>
      <c r="G2" s="22"/>
      <c r="H2" s="22"/>
      <c r="I2" s="22"/>
      <c r="J2" s="22"/>
    </row>
    <row r="3" spans="1:10" ht="28.5">
      <c r="A3" s="3"/>
      <c r="B3" s="3" t="s">
        <v>21</v>
      </c>
      <c r="C3" s="3" t="s">
        <v>22</v>
      </c>
      <c r="D3" s="3"/>
      <c r="E3" s="3"/>
      <c r="G3" s="3" t="s">
        <v>21</v>
      </c>
      <c r="H3" s="3" t="s">
        <v>26</v>
      </c>
      <c r="I3" s="3"/>
      <c r="J3" s="3"/>
    </row>
    <row r="4" spans="1:10" ht="30">
      <c r="A4" s="4"/>
      <c r="B4" s="5" t="s">
        <v>10</v>
      </c>
      <c r="C4" s="6" t="s">
        <v>1</v>
      </c>
      <c r="D4" s="6" t="s">
        <v>4</v>
      </c>
      <c r="E4" s="6" t="s">
        <v>3</v>
      </c>
      <c r="G4" s="5" t="s">
        <v>10</v>
      </c>
      <c r="H4" s="6" t="s">
        <v>1</v>
      </c>
      <c r="I4" s="6" t="s">
        <v>4</v>
      </c>
      <c r="J4" s="6" t="s">
        <v>3</v>
      </c>
    </row>
    <row r="5" spans="1:10" ht="30" customHeight="1">
      <c r="A5" s="3"/>
      <c r="B5" s="14" t="s">
        <v>23</v>
      </c>
      <c r="C5" s="10">
        <v>1500000</v>
      </c>
      <c r="D5" s="10">
        <v>1550000</v>
      </c>
      <c r="E5" s="10">
        <f>GastosPersonal3[[#This Row],[ESTIMADO]]-GastosPersonal3[[#This Row],[ACTUAL]]</f>
        <v>-50000</v>
      </c>
      <c r="G5" s="14" t="s">
        <v>23</v>
      </c>
      <c r="H5" s="10">
        <v>1500000</v>
      </c>
      <c r="I5" s="10">
        <v>1550000</v>
      </c>
      <c r="J5" s="10">
        <f>GastosPersonal368[[#This Row],[ESTIMADO]]-GastosPersonal368[[#This Row],[ACTUAL]]</f>
        <v>-50000</v>
      </c>
    </row>
    <row r="6" spans="1:10">
      <c r="A6" s="3"/>
      <c r="B6" s="7" t="s">
        <v>6</v>
      </c>
      <c r="C6" s="10">
        <v>84500</v>
      </c>
      <c r="D6" s="10">
        <v>70000</v>
      </c>
      <c r="E6" s="10">
        <f>GastosPersonal3[[#This Row],[ESTIMADO]]-GastosPersonal3[[#This Row],[ACTUAL]]</f>
        <v>14500</v>
      </c>
      <c r="G6" s="7" t="s">
        <v>6</v>
      </c>
      <c r="H6" s="10">
        <v>84500</v>
      </c>
      <c r="I6" s="10">
        <v>70000</v>
      </c>
      <c r="J6" s="10">
        <f>GastosPersonal368[[#This Row],[ESTIMADO]]-GastosPersonal368[[#This Row],[ACTUAL]]</f>
        <v>14500</v>
      </c>
    </row>
    <row r="7" spans="1:10">
      <c r="A7" s="3"/>
      <c r="B7" s="15" t="s">
        <v>17</v>
      </c>
      <c r="C7" s="13">
        <v>160000</v>
      </c>
      <c r="D7" s="13">
        <v>80000</v>
      </c>
      <c r="E7" s="13">
        <f>GastosPersonal3[[#This Row],[ESTIMADO]]-GastosPersonal3[[#This Row],[ACTUAL]]</f>
        <v>80000</v>
      </c>
      <c r="G7" s="15" t="s">
        <v>17</v>
      </c>
      <c r="H7" s="13">
        <v>160000</v>
      </c>
      <c r="I7" s="13">
        <v>80000</v>
      </c>
      <c r="J7" s="13">
        <f>GastosPersonal368[[#This Row],[ESTIMADO]]-GastosPersonal368[[#This Row],[ACTUAL]]</f>
        <v>80000</v>
      </c>
    </row>
    <row r="8" spans="1:10">
      <c r="A8" s="3"/>
      <c r="B8" s="15" t="s">
        <v>18</v>
      </c>
      <c r="C8" s="13">
        <v>150000</v>
      </c>
      <c r="D8" s="13">
        <v>200000</v>
      </c>
      <c r="E8" s="13">
        <f>GastosPersonal3[[#This Row],[ESTIMADO]]-GastosPersonal3[[#This Row],[ACTUAL]]</f>
        <v>-50000</v>
      </c>
      <c r="G8" s="15" t="s">
        <v>18</v>
      </c>
      <c r="H8" s="13">
        <v>150000</v>
      </c>
      <c r="I8" s="13">
        <v>200000</v>
      </c>
      <c r="J8" s="13">
        <f>GastosPersonal368[[#This Row],[ESTIMADO]]-GastosPersonal368[[#This Row],[ACTUAL]]</f>
        <v>-50000</v>
      </c>
    </row>
    <row r="9" spans="1:10">
      <c r="A9" s="3"/>
      <c r="B9" s="15" t="s">
        <v>19</v>
      </c>
      <c r="C9" s="13">
        <v>200000</v>
      </c>
      <c r="D9" s="13">
        <v>350000</v>
      </c>
      <c r="E9" s="13">
        <f>GastosPersonal3[[#This Row],[ESTIMADO]]-GastosPersonal3[[#This Row],[ACTUAL]]</f>
        <v>-150000</v>
      </c>
      <c r="G9" s="15" t="s">
        <v>19</v>
      </c>
      <c r="H9" s="13">
        <v>200000</v>
      </c>
      <c r="I9" s="13">
        <v>350000</v>
      </c>
      <c r="J9" s="13">
        <f>GastosPersonal368[[#This Row],[ESTIMADO]]-GastosPersonal368[[#This Row],[ACTUAL]]</f>
        <v>-150000</v>
      </c>
    </row>
    <row r="10" spans="1:10">
      <c r="A10" s="3"/>
      <c r="B10" s="7" t="s">
        <v>7</v>
      </c>
      <c r="C10" s="10">
        <v>0</v>
      </c>
      <c r="D10" s="10">
        <v>0</v>
      </c>
      <c r="E10" s="10">
        <f>GastosPersonal3[[#This Row],[ESTIMADO]]-GastosPersonal3[[#This Row],[ACTUAL]]</f>
        <v>0</v>
      </c>
      <c r="G10" s="7" t="s">
        <v>7</v>
      </c>
      <c r="H10" s="10">
        <v>0</v>
      </c>
      <c r="I10" s="10">
        <v>0</v>
      </c>
      <c r="J10" s="10">
        <f>GastosPersonal368[[#This Row],[ESTIMADO]]-GastosPersonal368[[#This Row],[ACTUAL]]</f>
        <v>0</v>
      </c>
    </row>
    <row r="11" spans="1:10">
      <c r="B11" s="9" t="s">
        <v>24</v>
      </c>
      <c r="C11" s="10">
        <f>SUBTOTAL(109,GastosPersonal3[ESTIMADO])</f>
        <v>2094500</v>
      </c>
      <c r="D11" s="10">
        <f>SUBTOTAL(109,GastosPersonal3[ACTUAL])</f>
        <v>2250000</v>
      </c>
      <c r="E11" s="10">
        <f>SUBTOTAL(109,GastosPersonal3[DIFERENCIA])</f>
        <v>-155500</v>
      </c>
      <c r="G11" s="9" t="s">
        <v>24</v>
      </c>
      <c r="H11" s="10">
        <f>SUBTOTAL(109,GastosPersonal368[ESTIMADO])</f>
        <v>2094500</v>
      </c>
      <c r="I11" s="10">
        <f>SUBTOTAL(109,GastosPersonal368[ACTUAL])</f>
        <v>2250000</v>
      </c>
      <c r="J11" s="10">
        <f>SUBTOTAL(109,GastosPersonal368[DIFERENCIA])</f>
        <v>-155500</v>
      </c>
    </row>
    <row r="12" spans="1:10">
      <c r="G12" s="3" t="s">
        <v>21</v>
      </c>
      <c r="H12" s="3" t="s">
        <v>27</v>
      </c>
      <c r="I12" s="3"/>
      <c r="J12" s="3"/>
    </row>
    <row r="13" spans="1:10" ht="15">
      <c r="B13" s="3" t="s">
        <v>21</v>
      </c>
      <c r="C13" s="3" t="s">
        <v>25</v>
      </c>
      <c r="D13" s="3"/>
      <c r="E13" s="3"/>
      <c r="G13" s="5" t="s">
        <v>10</v>
      </c>
      <c r="H13" s="6" t="s">
        <v>1</v>
      </c>
      <c r="I13" s="6" t="s">
        <v>4</v>
      </c>
      <c r="J13" s="6" t="s">
        <v>3</v>
      </c>
    </row>
    <row r="14" spans="1:10" ht="15">
      <c r="B14" s="5" t="s">
        <v>10</v>
      </c>
      <c r="C14" s="6" t="s">
        <v>1</v>
      </c>
      <c r="D14" s="6" t="s">
        <v>4</v>
      </c>
      <c r="E14" s="6" t="s">
        <v>3</v>
      </c>
      <c r="G14" s="14" t="s">
        <v>23</v>
      </c>
      <c r="H14" s="10">
        <v>1500000</v>
      </c>
      <c r="I14" s="10">
        <v>1550000</v>
      </c>
      <c r="J14" s="10">
        <f>GastosPersonal3689[[#This Row],[ESTIMADO]]-GastosPersonal3689[[#This Row],[ACTUAL]]</f>
        <v>-50000</v>
      </c>
    </row>
    <row r="15" spans="1:10">
      <c r="B15" s="14" t="s">
        <v>23</v>
      </c>
      <c r="C15" s="10">
        <v>1520000</v>
      </c>
      <c r="D15" s="10">
        <v>1550000</v>
      </c>
      <c r="E15" s="10">
        <f>GastosPersonal36[[#This Row],[ESTIMADO]]-GastosPersonal36[[#This Row],[ACTUAL]]</f>
        <v>-30000</v>
      </c>
      <c r="G15" s="7" t="s">
        <v>6</v>
      </c>
      <c r="H15" s="10">
        <v>84500</v>
      </c>
      <c r="I15" s="10">
        <v>70000</v>
      </c>
      <c r="J15" s="10">
        <f>GastosPersonal3689[[#This Row],[ESTIMADO]]-GastosPersonal3689[[#This Row],[ACTUAL]]</f>
        <v>14500</v>
      </c>
    </row>
    <row r="16" spans="1:10">
      <c r="B16" s="7" t="s">
        <v>6</v>
      </c>
      <c r="C16" s="10">
        <v>84500</v>
      </c>
      <c r="D16" s="10">
        <v>70000</v>
      </c>
      <c r="E16" s="10">
        <f>GastosPersonal36[[#This Row],[ESTIMADO]]-GastosPersonal36[[#This Row],[ACTUAL]]</f>
        <v>14500</v>
      </c>
      <c r="G16" s="15" t="s">
        <v>17</v>
      </c>
      <c r="H16" s="13">
        <v>2000</v>
      </c>
      <c r="I16" s="13">
        <v>80000</v>
      </c>
      <c r="J16" s="13">
        <f>GastosPersonal3689[[#This Row],[ESTIMADO]]-GastosPersonal3689[[#This Row],[ACTUAL]]</f>
        <v>-78000</v>
      </c>
    </row>
    <row r="17" spans="2:10">
      <c r="B17" s="15" t="s">
        <v>17</v>
      </c>
      <c r="C17" s="13">
        <v>160000</v>
      </c>
      <c r="D17" s="13">
        <v>80000</v>
      </c>
      <c r="E17" s="13">
        <f>GastosPersonal36[[#This Row],[ESTIMADO]]-GastosPersonal36[[#This Row],[ACTUAL]]</f>
        <v>80000</v>
      </c>
      <c r="G17" s="15" t="s">
        <v>18</v>
      </c>
      <c r="H17" s="13">
        <v>150000</v>
      </c>
      <c r="I17" s="13">
        <v>200000</v>
      </c>
      <c r="J17" s="13">
        <f>GastosPersonal3689[[#This Row],[ESTIMADO]]-GastosPersonal3689[[#This Row],[ACTUAL]]</f>
        <v>-50000</v>
      </c>
    </row>
    <row r="18" spans="2:10">
      <c r="B18" s="15" t="s">
        <v>18</v>
      </c>
      <c r="C18" s="13">
        <v>150000</v>
      </c>
      <c r="D18" s="13">
        <v>200000</v>
      </c>
      <c r="E18" s="13">
        <f>GastosPersonal36[[#This Row],[ESTIMADO]]-GastosPersonal36[[#This Row],[ACTUAL]]</f>
        <v>-50000</v>
      </c>
      <c r="G18" s="15" t="s">
        <v>19</v>
      </c>
      <c r="H18" s="13">
        <v>200000</v>
      </c>
      <c r="I18" s="13">
        <v>350000</v>
      </c>
      <c r="J18" s="13">
        <f>GastosPersonal3689[[#This Row],[ESTIMADO]]-GastosPersonal3689[[#This Row],[ACTUAL]]</f>
        <v>-150000</v>
      </c>
    </row>
    <row r="19" spans="2:10">
      <c r="B19" s="15" t="s">
        <v>19</v>
      </c>
      <c r="C19" s="13">
        <v>200000</v>
      </c>
      <c r="D19" s="13">
        <v>350000</v>
      </c>
      <c r="E19" s="13">
        <f>GastosPersonal36[[#This Row],[ESTIMADO]]-GastosPersonal36[[#This Row],[ACTUAL]]</f>
        <v>-150000</v>
      </c>
      <c r="G19" s="7" t="s">
        <v>7</v>
      </c>
      <c r="H19" s="10">
        <v>0</v>
      </c>
      <c r="I19" s="10">
        <v>0</v>
      </c>
      <c r="J19" s="10">
        <f>GastosPersonal3689[[#This Row],[ESTIMADO]]-GastosPersonal3689[[#This Row],[ACTUAL]]</f>
        <v>0</v>
      </c>
    </row>
    <row r="20" spans="2:10">
      <c r="B20" s="7" t="s">
        <v>7</v>
      </c>
      <c r="C20" s="10">
        <v>0</v>
      </c>
      <c r="D20" s="10">
        <v>0</v>
      </c>
      <c r="E20" s="10">
        <f>GastosPersonal36[[#This Row],[ESTIMADO]]-GastosPersonal36[[#This Row],[ACTUAL]]</f>
        <v>0</v>
      </c>
      <c r="G20" s="9" t="s">
        <v>24</v>
      </c>
      <c r="H20" s="10">
        <f>SUBTOTAL(109,GastosPersonal3689[ESTIMADO])</f>
        <v>1936500</v>
      </c>
      <c r="I20" s="10">
        <f>SUBTOTAL(109,GastosPersonal3689[ACTUAL])</f>
        <v>2250000</v>
      </c>
      <c r="J20" s="10">
        <f>SUBTOTAL(109,GastosPersonal3689[DIFERENCIA])</f>
        <v>-313500</v>
      </c>
    </row>
    <row r="21" spans="2:10">
      <c r="B21" s="9" t="s">
        <v>24</v>
      </c>
      <c r="C21" s="10">
        <f>SUBTOTAL(109,GastosPersonal36[ESTIMADO])</f>
        <v>2114500</v>
      </c>
      <c r="D21" s="10">
        <f>SUBTOTAL(109,GastosPersonal36[ACTUAL])</f>
        <v>2250000</v>
      </c>
      <c r="E21" s="10">
        <f>SUBTOTAL(109,GastosPersonal36[DIFERENCIA])</f>
        <v>-135500</v>
      </c>
    </row>
    <row r="23" spans="2:10">
      <c r="B23" s="27" t="s">
        <v>28</v>
      </c>
      <c r="C23" s="10">
        <f>SUM(C5,C15,H14,H5)</f>
        <v>6020000</v>
      </c>
    </row>
  </sheetData>
  <mergeCells count="3">
    <mergeCell ref="B1:C1"/>
    <mergeCell ref="B2:D2"/>
    <mergeCell ref="A1:A2"/>
  </mergeCells>
  <dataValidations count="9">
    <dataValidation allowBlank="1" showInputMessage="1" showErrorMessage="1" prompt="Escriba la fecha en esta celda" sqref="E1"/>
    <dataValidation allowBlank="1" showInputMessage="1" showErrorMessage="1" prompt="El título de esta hoja de cálculo se encuentra en esta celda. Escriba la fecha en la celda F1. Los totales del presupuesto se calculan automáticamente en la tabla Totales que comienza en la celda B4" sqref="B2:D2"/>
    <dataValidation allowBlank="1" showInputMessage="1" showErrorMessage="1" prompt="Escriba el nombre de la empresa en esta celda" sqref="B1"/>
    <dataValidation allowBlank="1" showInputMessage="1" showErrorMessage="1" prompt="Cree un presupuesto mensual para la empresa en este libro. La información general está en esta hoja de cálculo. Escriba los detalles de ingresos en Ingresos mensuales y Gastos de personal y Gastos operativos en las hojas de cálculo correspondientes" sqref="A1"/>
    <dataValidation allowBlank="1" showInputMessage="1" showErrorMessage="1" prompt="La diferencia entre los gastos de personal estimados y reales se calcula automáticamente en esta columna, debajo de este encabezado" sqref="E4 E14 J4 J13"/>
    <dataValidation allowBlank="1" showInputMessage="1" showErrorMessage="1" prompt="Escriba el importe real en esta columna, debajo de este encabezado" sqref="D4 D14 I4 I13"/>
    <dataValidation allowBlank="1" showInputMessage="1" showErrorMessage="1" prompt="Escriba el importe estimado en esta columna, debajo de este encabezado" sqref="C4 C14 H4 H13"/>
    <dataValidation allowBlank="1" showInputMessage="1" showErrorMessage="1" prompt="Escriba los gastos de personal en esta columna, debajo de este encabezado. Use los filtros del encabezado para buscar entradas específicas" sqref="B4 B14 G4 G13"/>
    <dataValidation allowBlank="1" showInputMessage="1" showErrorMessage="1" errorTitle="ALERTA" error="Esta celda se rellena automáticamente y no se debería sobrescribir. Si sobrescribe esta celda, los cálculos se romperían en esta hoja de cálculo." sqref="E5:E10 E15:E20 J5:J10 J14:J19"/>
  </dataValidation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showWhiteSpace="0" view="pageLayout" zoomScaleNormal="100" workbookViewId="0">
      <selection activeCell="H1" sqref="H1:H1048576"/>
    </sheetView>
  </sheetViews>
  <sheetFormatPr baseColWidth="10" defaultRowHeight="14.25"/>
  <cols>
    <col min="2" max="2" width="11" customWidth="1"/>
  </cols>
  <sheetData>
    <row r="1" spans="1:7">
      <c r="A1" s="20"/>
      <c r="B1" s="20"/>
      <c r="C1" s="20"/>
      <c r="D1" s="20"/>
      <c r="E1" s="20"/>
      <c r="F1" s="20"/>
      <c r="G1" s="20"/>
    </row>
    <row r="2" spans="1:7">
      <c r="A2" s="20"/>
      <c r="B2" s="20"/>
      <c r="C2" s="20"/>
      <c r="D2" s="20"/>
      <c r="E2" s="20"/>
      <c r="F2" s="20"/>
      <c r="G2" s="20"/>
    </row>
    <row r="3" spans="1:7" ht="16.5" customHeight="1" thickBot="1">
      <c r="A3" s="46"/>
      <c r="B3" s="46"/>
      <c r="C3" s="46"/>
      <c r="D3" s="46"/>
      <c r="E3" s="46"/>
      <c r="F3" s="46"/>
      <c r="G3" s="46"/>
    </row>
    <row r="4" spans="1:7" ht="16.5" thickBot="1">
      <c r="A4" s="35" t="s">
        <v>44</v>
      </c>
      <c r="B4" s="36"/>
      <c r="C4" s="36"/>
      <c r="D4" s="36"/>
      <c r="E4" s="36"/>
      <c r="F4" s="36"/>
      <c r="G4" s="37"/>
    </row>
    <row r="5" spans="1:7">
      <c r="A5" s="33" t="s">
        <v>29</v>
      </c>
      <c r="B5" s="34" t="s">
        <v>45</v>
      </c>
      <c r="C5" s="17"/>
      <c r="D5" s="17"/>
      <c r="E5" s="17"/>
      <c r="F5" s="17"/>
      <c r="G5" s="39"/>
    </row>
    <row r="6" spans="1:7">
      <c r="A6" s="18" t="s">
        <v>30</v>
      </c>
      <c r="B6" s="31">
        <v>0</v>
      </c>
      <c r="C6" s="17"/>
      <c r="D6" s="17"/>
      <c r="E6" s="17"/>
      <c r="F6" s="17"/>
      <c r="G6" s="39"/>
    </row>
    <row r="7" spans="1:7">
      <c r="A7" s="18" t="s">
        <v>31</v>
      </c>
      <c r="B7" s="31">
        <v>0</v>
      </c>
      <c r="C7" s="17"/>
      <c r="D7" s="17"/>
      <c r="E7" s="17"/>
      <c r="F7" s="17"/>
      <c r="G7" s="39"/>
    </row>
    <row r="8" spans="1:7">
      <c r="A8" s="18" t="s">
        <v>32</v>
      </c>
      <c r="B8" s="31">
        <v>0</v>
      </c>
      <c r="C8" s="17"/>
      <c r="D8" s="17"/>
      <c r="E8" s="17"/>
      <c r="F8" s="17"/>
      <c r="G8" s="39"/>
    </row>
    <row r="9" spans="1:7">
      <c r="A9" s="18" t="s">
        <v>33</v>
      </c>
      <c r="B9" s="31">
        <v>40000</v>
      </c>
      <c r="C9" s="17"/>
      <c r="D9" s="17"/>
      <c r="E9" s="17"/>
      <c r="F9" s="17"/>
      <c r="G9" s="39"/>
    </row>
    <row r="10" spans="1:7">
      <c r="A10" s="18" t="s">
        <v>34</v>
      </c>
      <c r="B10" s="31">
        <v>20000</v>
      </c>
      <c r="C10" s="17"/>
      <c r="D10" s="17"/>
      <c r="E10" s="17"/>
      <c r="F10" s="17"/>
      <c r="G10" s="39"/>
    </row>
    <row r="11" spans="1:7">
      <c r="A11" s="18" t="s">
        <v>35</v>
      </c>
      <c r="B11" s="31">
        <v>0</v>
      </c>
      <c r="C11" s="17"/>
      <c r="D11" s="17"/>
      <c r="E11" s="17"/>
      <c r="F11" s="17"/>
      <c r="G11" s="39"/>
    </row>
    <row r="12" spans="1:7">
      <c r="A12" s="18" t="s">
        <v>36</v>
      </c>
      <c r="B12" s="31">
        <v>0</v>
      </c>
      <c r="C12" s="17"/>
      <c r="D12" s="17"/>
      <c r="E12" s="17"/>
      <c r="F12" s="17"/>
      <c r="G12" s="39"/>
    </row>
    <row r="13" spans="1:7">
      <c r="A13" s="18" t="s">
        <v>37</v>
      </c>
      <c r="B13" s="31">
        <v>0</v>
      </c>
      <c r="C13" s="17"/>
      <c r="D13" s="17"/>
      <c r="E13" s="17"/>
      <c r="F13" s="17"/>
      <c r="G13" s="39"/>
    </row>
    <row r="14" spans="1:7">
      <c r="A14" s="18" t="s">
        <v>38</v>
      </c>
      <c r="B14" s="31">
        <v>0</v>
      </c>
      <c r="C14" s="17"/>
      <c r="D14" s="17"/>
      <c r="E14" s="17"/>
      <c r="F14" s="17"/>
      <c r="G14" s="39"/>
    </row>
    <row r="15" spans="1:7">
      <c r="A15" s="18" t="s">
        <v>39</v>
      </c>
      <c r="B15" s="31">
        <v>0</v>
      </c>
      <c r="C15" s="17"/>
      <c r="D15" s="17"/>
      <c r="E15" s="17"/>
      <c r="F15" s="17"/>
      <c r="G15" s="39"/>
    </row>
    <row r="16" spans="1:7">
      <c r="A16" s="18" t="s">
        <v>40</v>
      </c>
      <c r="B16" s="31">
        <v>120000</v>
      </c>
      <c r="C16" s="17"/>
      <c r="D16" s="17"/>
      <c r="E16" s="17"/>
      <c r="F16" s="17"/>
      <c r="G16" s="39"/>
    </row>
    <row r="17" spans="1:7">
      <c r="A17" s="18" t="s">
        <v>41</v>
      </c>
      <c r="B17" s="31">
        <v>50000</v>
      </c>
      <c r="C17" s="17"/>
      <c r="D17" s="17"/>
      <c r="E17" s="17"/>
      <c r="F17" s="17"/>
      <c r="G17" s="39"/>
    </row>
    <row r="18" spans="1:7" ht="14.25" customHeight="1">
      <c r="A18" s="16" t="s">
        <v>0</v>
      </c>
      <c r="B18" s="32">
        <f>SUM(B6:B17)</f>
        <v>230000</v>
      </c>
      <c r="C18" s="17"/>
      <c r="D18" s="17"/>
      <c r="E18" s="17"/>
      <c r="F18" s="17"/>
      <c r="G18" s="39"/>
    </row>
    <row r="19" spans="1:7">
      <c r="A19" s="40" t="s">
        <v>46</v>
      </c>
      <c r="B19" s="41"/>
      <c r="C19" s="41"/>
      <c r="D19" s="41"/>
      <c r="E19" s="41"/>
      <c r="F19" s="41"/>
      <c r="G19" s="42"/>
    </row>
    <row r="20" spans="1:7">
      <c r="A20" s="40"/>
      <c r="B20" s="41"/>
      <c r="C20" s="41"/>
      <c r="D20" s="41"/>
      <c r="E20" s="41"/>
      <c r="F20" s="41"/>
      <c r="G20" s="42"/>
    </row>
    <row r="21" spans="1:7">
      <c r="A21" s="43"/>
      <c r="B21" s="44"/>
      <c r="C21" s="44"/>
      <c r="D21" s="44"/>
      <c r="E21" s="44"/>
      <c r="F21" s="44"/>
      <c r="G21" s="45"/>
    </row>
  </sheetData>
  <mergeCells count="3">
    <mergeCell ref="A4:G4"/>
    <mergeCell ref="A19:G21"/>
    <mergeCell ref="A1:G3"/>
  </mergeCells>
  <conditionalFormatting sqref="A6:B17">
    <cfRule type="iconSet" priority="2">
      <iconSet iconSet="3Symbols2">
        <cfvo type="percent" val="0"/>
        <cfvo type="percent" val="33"/>
        <cfvo type="percent" val="67"/>
      </iconSet>
    </cfRule>
  </conditionalFormatting>
  <conditionalFormatting sqref="B6:B17">
    <cfRule type="iconSet" priority="1">
      <iconSet iconSet="3Arrows">
        <cfvo type="percent" val="0"/>
        <cfvo type="percent" val="33"/>
        <cfvo type="percent" val="67"/>
      </iconSet>
    </cfRule>
  </conditionalFormatting>
  <pageMargins left="0.7" right="0.7" top="0.75" bottom="0.75" header="0.3" footer="0.3"/>
  <pageSetup orientation="portrait" r:id="rId1"/>
  <headerFooter>
    <oddHeader>&amp;C&amp;16TAMALES  Y LECHONAS JJ</oddHeader>
    <oddFooter>&amp;CINFORME #1</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71F76179-7E23-425C-8EFF-2371FB35A7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DD76F6-8071-4EB0-BBD9-FD144858DD05}">
  <ds:schemaRefs>
    <ds:schemaRef ds:uri="http://schemas.microsoft.com/sharepoint/v3/contenttype/forms"/>
  </ds:schemaRefs>
</ds:datastoreItem>
</file>

<file path=customXml/itemProps3.xml><?xml version="1.0" encoding="utf-8"?>
<ds:datastoreItem xmlns:ds="http://schemas.openxmlformats.org/officeDocument/2006/customXml" ds:itemID="{03065B27-2B03-445A-B649-BDDB851548A8}">
  <ds:schemaRefs>
    <ds:schemaRef ds:uri="http://schemas.openxmlformats.org/package/2006/metadata/core-properties"/>
    <ds:schemaRef ds:uri="16c05727-aa75-4e4a-9b5f-8a80a1165891"/>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71af3243-3dd4-4a8d-8c0d-dd76da1f02a5"/>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emplate>TM23032109</Template>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Presupuestos recursos</vt:lpstr>
      <vt:lpstr>Presupuesto total personal</vt:lpstr>
      <vt:lpstr>Presupuesto individual personal</vt:lpstr>
      <vt:lpstr>Informe de recursos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Presupuesto proyecto</dc:title>
  <dc:creator/>
  <cp:lastModifiedBy/>
  <dcterms:created xsi:type="dcterms:W3CDTF">2019-03-28T11:38:04Z</dcterms:created>
  <dcterms:modified xsi:type="dcterms:W3CDTF">2021-06-25T22:03:24Z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