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1.xml" ContentType="application/vnd.openxmlformats-officedocument.drawing+xml"/>
  <Override PartName="/xl/tables/table18.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0" yWindow="-120" windowWidth="20700" windowHeight="11160" tabRatio="593" activeTab="2"/>
  </bookViews>
  <sheets>
    <sheet name="Presupuestos recursos" sheetId="7" r:id="rId1"/>
    <sheet name="Presupuesto total personal" sheetId="8" r:id="rId2"/>
    <sheet name="Presupuesto individual personal" sheetId="6" r:id="rId3"/>
    <sheet name="Informe de recursos" sheetId="9" r:id="rId4"/>
  </sheets>
  <definedNames>
    <definedName name="NOMBRE_EMPRESA">#REF!</definedName>
    <definedName name="Título_PRESUPUESTO">#REF!</definedName>
    <definedName name="Título1">#REF!</definedName>
    <definedName name="Titulo2">#REF!</definedName>
    <definedName name="Titulo3">#REF!</definedName>
    <definedName name="Titulo4">#REF!</definedName>
    <definedName name="TítuloColumna1">#REF!</definedName>
  </definedNames>
  <calcPr calcId="145621"/>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14" i="6" l="1"/>
  <c r="C29" i="6"/>
  <c r="G27" i="6"/>
  <c r="C27" i="6"/>
  <c r="G14" i="6"/>
  <c r="C9" i="8"/>
  <c r="C8" i="8"/>
  <c r="C7" i="8"/>
  <c r="C5" i="8"/>
  <c r="C59" i="7" l="1"/>
  <c r="C58" i="7"/>
  <c r="C6" i="8" l="1"/>
  <c r="G56" i="7"/>
  <c r="H55" i="7"/>
  <c r="H54" i="7"/>
  <c r="H53" i="7"/>
  <c r="H52" i="7"/>
  <c r="H51" i="7"/>
  <c r="H56" i="7" s="1"/>
  <c r="G47" i="7"/>
  <c r="H46" i="7"/>
  <c r="H45" i="7"/>
  <c r="H44" i="7"/>
  <c r="H43" i="7"/>
  <c r="H42" i="7"/>
  <c r="H47" i="7" s="1"/>
  <c r="G38" i="7"/>
  <c r="H37" i="7"/>
  <c r="H36" i="7"/>
  <c r="H35" i="7"/>
  <c r="H34" i="7"/>
  <c r="H33" i="7"/>
  <c r="H38" i="7" s="1"/>
  <c r="G29" i="7"/>
  <c r="H28" i="7"/>
  <c r="H27" i="7"/>
  <c r="H26" i="7"/>
  <c r="H25" i="7"/>
  <c r="H24" i="7"/>
  <c r="H29" i="7" s="1"/>
  <c r="G20" i="7"/>
  <c r="H19" i="7"/>
  <c r="H18" i="7"/>
  <c r="H17" i="7"/>
  <c r="H16" i="7"/>
  <c r="H15" i="7"/>
  <c r="H20" i="7" s="1"/>
  <c r="G11" i="7"/>
  <c r="H10" i="7"/>
  <c r="H9" i="7"/>
  <c r="H8" i="7"/>
  <c r="H7" i="7"/>
  <c r="H6" i="7"/>
  <c r="H11" i="7" s="1"/>
  <c r="C56" i="7"/>
  <c r="D55" i="7"/>
  <c r="D54" i="7"/>
  <c r="D53" i="7"/>
  <c r="D52" i="7"/>
  <c r="D51" i="7"/>
  <c r="D56" i="7" s="1"/>
  <c r="C47" i="7"/>
  <c r="D46" i="7"/>
  <c r="D45" i="7"/>
  <c r="D44" i="7"/>
  <c r="D43" i="7"/>
  <c r="D42" i="7"/>
  <c r="D47" i="7" s="1"/>
  <c r="C38" i="7"/>
  <c r="D37" i="7"/>
  <c r="D36" i="7"/>
  <c r="D35" i="7"/>
  <c r="D34" i="7"/>
  <c r="D33" i="7"/>
  <c r="D38" i="7" s="1"/>
  <c r="C29" i="7"/>
  <c r="D28" i="7"/>
  <c r="D27" i="7"/>
  <c r="D26" i="7"/>
  <c r="D25" i="7"/>
  <c r="D24" i="7"/>
  <c r="D29" i="7" s="1"/>
  <c r="C20" i="7"/>
  <c r="D19" i="7"/>
  <c r="D18" i="7"/>
  <c r="D17" i="7"/>
  <c r="D16" i="7"/>
  <c r="D15" i="7"/>
  <c r="D7" i="7"/>
  <c r="C11" i="7"/>
  <c r="D6" i="7"/>
  <c r="D8" i="7"/>
  <c r="D9" i="7"/>
  <c r="D10" i="7"/>
  <c r="D20" i="7"/>
  <c r="B18" i="9"/>
  <c r="D11" i="7"/>
</calcChain>
</file>

<file path=xl/sharedStrings.xml><?xml version="1.0" encoding="utf-8"?>
<sst xmlns="http://schemas.openxmlformats.org/spreadsheetml/2006/main" count="215" uniqueCount="60">
  <si>
    <t>Total</t>
  </si>
  <si>
    <t>ESTIMADO</t>
  </si>
  <si>
    <t>FECHA</t>
  </si>
  <si>
    <t>Salarios</t>
  </si>
  <si>
    <t>Prestaciones para empleados</t>
  </si>
  <si>
    <t>Comisión</t>
  </si>
  <si>
    <t>Gastos de personal totales</t>
  </si>
  <si>
    <t xml:space="preserve">   Tamales y lechonas JJ</t>
  </si>
  <si>
    <t>GASTOS DEL PERSONAL</t>
  </si>
  <si>
    <t>Hojas</t>
  </si>
  <si>
    <t>Esferos</t>
  </si>
  <si>
    <t>Lapiz</t>
  </si>
  <si>
    <t>CANTIDAD</t>
  </si>
  <si>
    <t xml:space="preserve"> PRESUPUESTO TOTAL EMPLEADOS</t>
  </si>
  <si>
    <t>Trasporte</t>
  </si>
  <si>
    <t>Alimentación</t>
  </si>
  <si>
    <t>Otros gastos</t>
  </si>
  <si>
    <t xml:space="preserve"> PRESUPUESTO  INDIVIDUAL PERSONAL </t>
  </si>
  <si>
    <t>Nombre del personal</t>
  </si>
  <si>
    <t>Wilson ladino</t>
  </si>
  <si>
    <t>Salario</t>
  </si>
  <si>
    <t>Carolina Obando</t>
  </si>
  <si>
    <t>Kimberly Cárdenas</t>
  </si>
  <si>
    <t>Camilo Amaya</t>
  </si>
  <si>
    <t>Mes</t>
  </si>
  <si>
    <t>Enero</t>
  </si>
  <si>
    <t>Febrero</t>
  </si>
  <si>
    <t>Marzo</t>
  </si>
  <si>
    <t>Abril</t>
  </si>
  <si>
    <t>Mayo</t>
  </si>
  <si>
    <t>Junio</t>
  </si>
  <si>
    <t>Julio</t>
  </si>
  <si>
    <t>Agosto</t>
  </si>
  <si>
    <t>Septiembre</t>
  </si>
  <si>
    <t>Octubre</t>
  </si>
  <si>
    <t>Noviembre</t>
  </si>
  <si>
    <t>Diciembre</t>
  </si>
  <si>
    <t>Impresión</t>
  </si>
  <si>
    <t xml:space="preserve"> PRESUPUESTO DE RECURSOS MENSUAL</t>
  </si>
  <si>
    <t xml:space="preserve">INFORME DE RECURSOS USADOS </t>
  </si>
  <si>
    <t>valor</t>
  </si>
  <si>
    <t>RECURSOS POR MES</t>
  </si>
  <si>
    <t>PRECIO</t>
  </si>
  <si>
    <t>Total de recuros y precio</t>
  </si>
  <si>
    <t>COSTOS</t>
  </si>
  <si>
    <t>Sobrante</t>
  </si>
  <si>
    <t>TOTAL SALARIOS</t>
  </si>
  <si>
    <r>
      <t xml:space="preserve">   </t>
    </r>
    <r>
      <rPr>
        <sz val="11"/>
        <color theme="1" tint="0.24994659260841701"/>
        <rFont val="Gill Sans MT"/>
        <scheme val="minor"/>
      </rPr>
      <t>Salarios por persona</t>
    </r>
  </si>
  <si>
    <t xml:space="preserve">    Presupuesto base por mes</t>
  </si>
  <si>
    <t>Presupuesto total</t>
  </si>
  <si>
    <t>Al realizar el informe se dio a conocer que en el año 2020 se generaron gastos elevados entre Noviembre y Diciembre no obstante en el inicio del 2021 hasta abril se encontraron gastos.</t>
  </si>
  <si>
    <t>Cargo</t>
  </si>
  <si>
    <t>Analista</t>
  </si>
  <si>
    <t>Lider</t>
  </si>
  <si>
    <t>Desarrollador</t>
  </si>
  <si>
    <t>Desarrolador</t>
  </si>
  <si>
    <t>Función</t>
  </si>
  <si>
    <t>Orientación del proyecto y revisión</t>
  </si>
  <si>
    <t>Analisis  de los parametros y requerimientos del proyecto</t>
  </si>
  <si>
    <t>Creación y desarrollo del programa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</si>
</sst>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XDR&quot;* #,##0.00_-;\-&quot;XDR&quot;* #,##0.00_-;_-&quot;XDR&quot;* &quot;-&quot;??_-;_-@_-"/>
    <numFmt numFmtId="165" formatCode="mmmm\ yyyy"/>
    <numFmt numFmtId="166" formatCode="0.0%"/>
    <numFmt numFmtId="167" formatCode="dd\-mm\-yy;@"/>
    <numFmt numFmtId="168" formatCode="#,##0.00_ ;[Red]\-#,##0.00\ "/>
    <numFmt numFmtId="169" formatCode="#,##0_ ;[Red]\-#,##0\ "/>
    <numFmt numFmtId="170" formatCode="&quot;$&quot;\ #,##0"/>
    <numFmt numFmtId="171" formatCode="_-[$$-240A]\ * #,##0_-;\-[$$-240A]\ * #,##0_-;_-[$$-240A]\ * &quot;-&quot;??_-;_-@_-"/>
  </numFmts>
  <fonts count="21">
    <font>
      <sz val="11"/>
      <color theme="1" tint="0.24994659260841701"/>
      <name val="Gill Sans MT"/>
      <family val="2"/>
      <scheme val="minor"/>
    </font>
    <font>
      <sz val="11"/>
      <color theme="1"/>
      <name val="Gill Sans MT"/>
      <family val="2"/>
      <scheme val="minor"/>
    </font>
    <font>
      <sz val="11"/>
      <color theme="1"/>
      <name val="Gill Sans MT"/>
      <family val="2"/>
      <scheme val="minor"/>
    </font>
    <font>
      <sz val="11"/>
      <color theme="9" tint="-0.499984740745262"/>
      <name val="Gill Sans MT"/>
      <family val="2"/>
      <scheme val="minor"/>
    </font>
    <font>
      <sz val="11"/>
      <color rgb="FF6C0000"/>
      <name val="Gill Sans MT"/>
      <family val="2"/>
      <scheme val="minor"/>
    </font>
    <font>
      <sz val="36"/>
      <color theme="3"/>
      <name val="Gill Sans MT"/>
      <family val="2"/>
      <scheme val="major"/>
    </font>
    <font>
      <sz val="11"/>
      <color theme="3"/>
      <name val="Gill Sans MT"/>
      <family val="2"/>
      <scheme val="major"/>
    </font>
    <font>
      <sz val="11"/>
      <color theme="1" tint="4.9989318521683403E-2"/>
      <name val="Gill Sans MT"/>
      <family val="2"/>
      <scheme val="major"/>
    </font>
    <font>
      <sz val="11"/>
      <color theme="0"/>
      <name val="Gill Sans MT"/>
      <family val="2"/>
      <scheme val="minor"/>
    </font>
    <font>
      <sz val="15"/>
      <color rgb="FF44382C"/>
      <name val="Gill Sans MT"/>
      <family val="2"/>
      <scheme val="major"/>
    </font>
    <font>
      <sz val="11"/>
      <color rgb="FF44382C"/>
      <name val="Gill Sans MT"/>
      <family val="2"/>
      <scheme val="major"/>
    </font>
    <font>
      <sz val="11"/>
      <color rgb="FF44382C"/>
      <name val="Gill Sans MT"/>
      <family val="2"/>
      <scheme val="minor"/>
    </font>
    <font>
      <sz val="11"/>
      <color theme="1" tint="0.24994659260841701"/>
      <name val="Gill Sans MT"/>
      <family val="2"/>
      <scheme val="minor"/>
    </font>
    <font>
      <b/>
      <sz val="11"/>
      <name val="Gill Sans MT"/>
      <family val="2"/>
      <scheme val="minor"/>
    </font>
    <font>
      <sz val="12"/>
      <color theme="0"/>
      <name val="Gill Sans MT"/>
      <family val="2"/>
      <scheme val="minor"/>
    </font>
    <font>
      <sz val="20"/>
      <color rgb="FF44382C"/>
      <name val="Gill Sans MT"/>
      <family val="2"/>
      <scheme val="major"/>
    </font>
    <font>
      <sz val="16"/>
      <color rgb="FF44382C"/>
      <name val="Gill Sans MT"/>
      <family val="2"/>
      <scheme val="major"/>
    </font>
    <font>
      <sz val="11"/>
      <color theme="1" tint="0.24994659260841701"/>
      <name val="Gill Sans MT"/>
      <scheme val="minor"/>
    </font>
    <font>
      <b/>
      <sz val="12"/>
      <color theme="1" tint="0.24994659260841701"/>
      <name val="Gill Sans MT"/>
      <scheme val="minor"/>
    </font>
    <font>
      <sz val="12"/>
      <color theme="1"/>
      <name val="Gill Sans MT"/>
      <family val="2"/>
      <scheme val="minor"/>
    </font>
    <font>
      <sz val="12"/>
      <color theme="1" tint="0.24994659260841701"/>
      <name val="Gill Sans MT"/>
      <scheme val="minor"/>
    </font>
  </fonts>
  <fills count="16">
    <fill>
      <patternFill patternType="none"/>
    </fill>
    <fill>
      <patternFill patternType="gray125"/>
    </fill>
    <fill>
      <patternFill patternType="solid">
        <fgColor theme="7" tint="0.39997558519241921"/>
        <bgColor indexed="65"/>
      </patternFill>
    </fill>
    <fill>
      <patternFill patternType="solid">
        <fgColor theme="0"/>
        <bgColor indexed="64"/>
      </patternFill>
    </fill>
    <fill>
      <patternFill patternType="solid">
        <fgColor theme="7" tint="0.39994506668294322"/>
        <bgColor indexed="64"/>
      </patternFill>
    </fill>
    <fill>
      <patternFill patternType="solid">
        <fgColor rgb="FFEEEADE"/>
        <bgColor indexed="64"/>
      </patternFill>
    </fill>
    <fill>
      <patternFill patternType="solid">
        <fgColor rgb="FFA7937B"/>
        <bgColor indexed="64"/>
      </patternFill>
    </fill>
    <fill>
      <patternFill patternType="solid">
        <fgColor rgb="FFFFFDF8"/>
        <bgColor indexed="64"/>
      </patternFill>
    </fill>
    <fill>
      <patternFill patternType="solid">
        <fgColor rgb="FFF2F2F2"/>
      </patternFill>
    </fill>
    <fill>
      <patternFill patternType="solid">
        <fgColor theme="6" tint="0.79998168889431442"/>
        <bgColor indexed="64"/>
      </patternFill>
    </fill>
    <fill>
      <patternFill patternType="solid">
        <fgColor theme="6" tint="-0.49998474074526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2F2F2"/>
        <bgColor indexed="64"/>
      </patternFill>
    </fill>
    <fill>
      <patternFill patternType="solid">
        <fgColor theme="0" tint="-0.14999847407452621"/>
        <bgColor indexed="64"/>
      </patternFill>
    </fill>
  </fills>
  <borders count="1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5">
    <xf numFmtId="0" fontId="0" fillId="0" borderId="0">
      <alignment horizontal="center" vertical="center" wrapText="1"/>
    </xf>
    <xf numFmtId="0" fontId="5" fillId="0" borderId="0" applyNumberFormat="0" applyFill="0" applyBorder="0" applyAlignment="0" applyProtection="0"/>
    <xf numFmtId="0" fontId="6" fillId="0" borderId="0" applyNumberFormat="0" applyFill="0" applyBorder="0" applyAlignment="0" applyProtection="0"/>
    <xf numFmtId="0" fontId="3" fillId="2" borderId="0" applyNumberFormat="0" applyBorder="0" applyAlignment="0" applyProtection="0"/>
    <xf numFmtId="0" fontId="14" fillId="0" borderId="0" applyNumberFormat="0" applyFill="0" applyAlignment="0" applyProtection="0"/>
    <xf numFmtId="0" fontId="7" fillId="4" borderId="0" applyBorder="0" applyProtection="0">
      <alignment horizontal="left" vertical="center" indent="1"/>
    </xf>
    <xf numFmtId="0" fontId="7" fillId="4" borderId="0" applyNumberFormat="0" applyBorder="0" applyProtection="0">
      <alignment horizontal="left" vertical="center"/>
    </xf>
    <xf numFmtId="0" fontId="2" fillId="0" borderId="0" applyNumberFormat="0" applyFill="0" applyAlignment="0" applyProtection="0"/>
    <xf numFmtId="0" fontId="4" fillId="0" borderId="0" applyNumberFormat="0" applyFill="0" applyBorder="0" applyAlignment="0" applyProtection="0"/>
    <xf numFmtId="40" fontId="2" fillId="0" borderId="0" applyFont="0" applyFill="0" applyBorder="0" applyProtection="0">
      <alignment horizontal="right"/>
    </xf>
    <xf numFmtId="166" fontId="2" fillId="0" borderId="0" applyFont="0" applyFill="0" applyBorder="0" applyProtection="0">
      <alignment horizontal="right"/>
    </xf>
    <xf numFmtId="165" fontId="6" fillId="3" borderId="0" applyFill="0" applyBorder="0">
      <alignment horizontal="right"/>
    </xf>
    <xf numFmtId="0" fontId="12" fillId="0" borderId="0" applyNumberFormat="0" applyProtection="0">
      <alignment horizontal="left" vertical="center" indent="1"/>
    </xf>
    <xf numFmtId="0" fontId="13" fillId="8" borderId="1" applyNumberFormat="0" applyFill="0" applyBorder="0" applyAlignment="0" applyProtection="0"/>
    <xf numFmtId="164" fontId="12" fillId="0" borderId="0" applyFont="0" applyFill="0" applyBorder="0" applyAlignment="0" applyProtection="0"/>
  </cellStyleXfs>
  <cellXfs count="74">
    <xf numFmtId="0" fontId="0" fillId="0" borderId="0" xfId="0">
      <alignment horizontal="center" vertical="center" wrapText="1"/>
    </xf>
    <xf numFmtId="0" fontId="0" fillId="5" borderId="0" xfId="0" applyFill="1">
      <alignment horizontal="center" vertical="center" wrapText="1"/>
    </xf>
    <xf numFmtId="0" fontId="10" fillId="5" borderId="0" xfId="0" applyFont="1" applyFill="1">
      <alignment horizontal="center" vertical="center" wrapText="1"/>
    </xf>
    <xf numFmtId="0" fontId="0" fillId="7" borderId="0" xfId="0" applyFill="1">
      <alignment horizontal="center" vertical="center" wrapText="1"/>
    </xf>
    <xf numFmtId="0" fontId="0" fillId="7" borderId="0" xfId="0" applyFill="1" applyAlignment="1">
      <alignment vertical="center"/>
    </xf>
    <xf numFmtId="0" fontId="14" fillId="0" borderId="0" xfId="4" applyAlignment="1">
      <alignment horizontal="left" vertical="center" indent="1"/>
    </xf>
    <xf numFmtId="0" fontId="14" fillId="0" borderId="0" xfId="4" applyAlignment="1">
      <alignment horizontal="center" vertical="center" wrapText="1"/>
    </xf>
    <xf numFmtId="0" fontId="12" fillId="0" borderId="0" xfId="12">
      <alignment horizontal="left" vertical="center" indent="1"/>
    </xf>
    <xf numFmtId="167" fontId="11" fillId="5" borderId="0" xfId="0" applyNumberFormat="1" applyFont="1" applyFill="1">
      <alignment horizontal="center" vertical="center" wrapText="1"/>
    </xf>
    <xf numFmtId="0" fontId="0" fillId="0" borderId="0" xfId="0" applyAlignment="1">
      <alignment horizontal="left" vertical="center" indent="1"/>
    </xf>
    <xf numFmtId="168" fontId="0" fillId="0" borderId="0" xfId="0" applyNumberFormat="1">
      <alignment horizontal="center" vertical="center" wrapText="1"/>
    </xf>
    <xf numFmtId="0" fontId="0" fillId="0" borderId="0" xfId="12" applyFont="1">
      <alignment horizontal="left" vertical="center" indent="1"/>
    </xf>
    <xf numFmtId="0" fontId="0" fillId="0" borderId="0" xfId="12" applyNumberFormat="1" applyFont="1">
      <alignment horizontal="left" vertical="center" indent="1"/>
    </xf>
    <xf numFmtId="0" fontId="0" fillId="0" borderId="0" xfId="0" applyBorder="1">
      <alignment horizontal="center" vertical="center" wrapText="1"/>
    </xf>
    <xf numFmtId="0" fontId="0" fillId="9" borderId="0" xfId="0" applyFill="1" applyAlignment="1">
      <alignment vertical="center" wrapText="1"/>
    </xf>
    <xf numFmtId="0" fontId="9" fillId="9" borderId="0" xfId="0" applyFont="1" applyFill="1" applyAlignment="1">
      <alignment horizontal="left" wrapText="1"/>
    </xf>
    <xf numFmtId="0" fontId="10" fillId="9" borderId="0" xfId="0" applyFont="1" applyFill="1">
      <alignment horizontal="center" vertical="center" wrapText="1"/>
    </xf>
    <xf numFmtId="0" fontId="8" fillId="10" borderId="0" xfId="0" applyFont="1" applyFill="1" applyAlignment="1">
      <alignment horizontal="left" vertical="center" wrapText="1"/>
    </xf>
    <xf numFmtId="0" fontId="17" fillId="0" borderId="0" xfId="12" applyFont="1" applyFill="1">
      <alignment horizontal="left" vertical="center" indent="1"/>
    </xf>
    <xf numFmtId="169" fontId="0" fillId="0" borderId="0" xfId="0" applyNumberFormat="1" applyFill="1">
      <alignment horizontal="center" vertical="center" wrapText="1"/>
    </xf>
    <xf numFmtId="0" fontId="19" fillId="0" borderId="0" xfId="4" applyNumberFormat="1" applyFont="1" applyAlignment="1">
      <alignment horizontal="left" vertical="center" indent="1"/>
    </xf>
    <xf numFmtId="0" fontId="0" fillId="0" borderId="4" xfId="0" applyBorder="1">
      <alignment horizontal="center" vertical="center" wrapText="1"/>
    </xf>
    <xf numFmtId="171" fontId="0" fillId="0" borderId="0" xfId="0" applyNumberFormat="1">
      <alignment horizontal="center" vertical="center" wrapText="1"/>
    </xf>
    <xf numFmtId="171" fontId="0" fillId="0" borderId="0" xfId="0" applyNumberFormat="1" applyFill="1">
      <alignment horizontal="center" vertical="center" wrapText="1"/>
    </xf>
    <xf numFmtId="171" fontId="0" fillId="0" borderId="0" xfId="14" applyNumberFormat="1" applyFont="1" applyAlignment="1">
      <alignment horizontal="center" vertical="center" wrapText="1"/>
    </xf>
    <xf numFmtId="171" fontId="0" fillId="0" borderId="0" xfId="14" applyNumberFormat="1" applyFont="1" applyFill="1" applyAlignment="1">
      <alignment horizontal="center" vertical="center" wrapText="1"/>
    </xf>
    <xf numFmtId="0" fontId="0" fillId="7" borderId="0" xfId="0" applyFill="1" applyAlignment="1">
      <alignment vertical="center" wrapText="1"/>
    </xf>
    <xf numFmtId="0" fontId="0" fillId="7" borderId="2" xfId="0" applyFill="1" applyBorder="1">
      <alignment horizontal="center" vertical="center" wrapText="1"/>
    </xf>
    <xf numFmtId="0" fontId="14" fillId="0" borderId="0" xfId="4" applyBorder="1" applyAlignment="1">
      <alignment horizontal="center" vertical="center" wrapText="1"/>
    </xf>
    <xf numFmtId="168" fontId="0" fillId="0" borderId="0" xfId="0" applyNumberFormat="1" applyBorder="1">
      <alignment horizontal="center" vertical="center" wrapText="1"/>
    </xf>
    <xf numFmtId="168" fontId="0" fillId="0" borderId="0" xfId="0" applyNumberFormat="1" applyFill="1" applyBorder="1">
      <alignment horizontal="center" vertical="center" wrapText="1"/>
    </xf>
    <xf numFmtId="0" fontId="0" fillId="11" borderId="0" xfId="0" applyFill="1" applyAlignment="1">
      <alignment vertical="center" wrapText="1"/>
    </xf>
    <xf numFmtId="0" fontId="0" fillId="11" borderId="9" xfId="0" applyFill="1" applyBorder="1" applyAlignment="1">
      <alignment vertical="center" wrapText="1"/>
    </xf>
    <xf numFmtId="0" fontId="0" fillId="12" borderId="0" xfId="0" applyFill="1" applyAlignment="1">
      <alignment horizontal="left" vertical="center" indent="1"/>
    </xf>
    <xf numFmtId="171" fontId="0" fillId="12" borderId="0" xfId="0" applyNumberFormat="1" applyFill="1">
      <alignment horizontal="center" vertical="center" wrapText="1"/>
    </xf>
    <xf numFmtId="0" fontId="0" fillId="13" borderId="0" xfId="0" applyFill="1">
      <alignment horizontal="center" vertical="center" wrapText="1"/>
    </xf>
    <xf numFmtId="171" fontId="0" fillId="13" borderId="0" xfId="0" applyNumberFormat="1" applyFill="1">
      <alignment horizontal="center" vertical="center" wrapText="1"/>
    </xf>
    <xf numFmtId="0" fontId="0" fillId="3" borderId="0" xfId="0" applyFill="1">
      <alignment horizontal="center" vertical="center" wrapText="1"/>
    </xf>
    <xf numFmtId="171" fontId="0" fillId="3" borderId="0" xfId="0" applyNumberFormat="1" applyFill="1">
      <alignment horizontal="center" vertical="center" wrapText="1"/>
    </xf>
    <xf numFmtId="0" fontId="0" fillId="3" borderId="0" xfId="0" applyFill="1" applyBorder="1">
      <alignment horizontal="center" vertical="center" wrapText="1"/>
    </xf>
    <xf numFmtId="0" fontId="0" fillId="14" borderId="0" xfId="0" applyFill="1">
      <alignment horizontal="center" vertical="center" wrapText="1"/>
    </xf>
    <xf numFmtId="171" fontId="0" fillId="14" borderId="0" xfId="0" applyNumberFormat="1" applyFill="1">
      <alignment horizontal="center" vertical="center" wrapText="1"/>
    </xf>
    <xf numFmtId="0" fontId="0" fillId="14" borderId="0" xfId="0" applyFill="1" applyAlignment="1">
      <alignment horizontal="left" vertical="center" indent="1"/>
    </xf>
    <xf numFmtId="0" fontId="0" fillId="0" borderId="6" xfId="0" applyBorder="1">
      <alignment horizontal="center" vertical="center" wrapText="1"/>
    </xf>
    <xf numFmtId="170" fontId="0" fillId="0" borderId="5" xfId="0" applyNumberFormat="1" applyBorder="1">
      <alignment horizontal="center" vertical="center" wrapText="1"/>
    </xf>
    <xf numFmtId="170" fontId="0" fillId="0" borderId="0" xfId="0" applyNumberFormat="1" applyBorder="1">
      <alignment horizontal="center" vertical="center" wrapText="1"/>
    </xf>
    <xf numFmtId="0" fontId="0" fillId="0" borderId="13" xfId="0" applyBorder="1">
      <alignment horizontal="center" vertical="center" wrapText="1"/>
    </xf>
    <xf numFmtId="170" fontId="0" fillId="0" borderId="14" xfId="0" applyNumberFormat="1" applyBorder="1">
      <alignment horizontal="center" vertical="center" wrapText="1"/>
    </xf>
    <xf numFmtId="0" fontId="0" fillId="12" borderId="0" xfId="0" applyFill="1">
      <alignment horizontal="center" vertical="center" wrapText="1"/>
    </xf>
    <xf numFmtId="0" fontId="0" fillId="15" borderId="0" xfId="0" applyFill="1">
      <alignment horizontal="center" vertical="center" wrapText="1"/>
    </xf>
    <xf numFmtId="0" fontId="0" fillId="12" borderId="0" xfId="0" applyFill="1" applyAlignment="1">
      <alignment horizontal="left" vertical="center" wrapText="1"/>
    </xf>
    <xf numFmtId="0" fontId="0" fillId="15" borderId="0" xfId="0" applyFill="1" applyAlignment="1">
      <alignment horizontal="left" vertical="center" wrapText="1"/>
    </xf>
    <xf numFmtId="171" fontId="0" fillId="15" borderId="0" xfId="0" applyNumberFormat="1" applyFill="1">
      <alignment horizontal="center" vertical="center" wrapText="1"/>
    </xf>
    <xf numFmtId="0" fontId="0" fillId="6" borderId="0" xfId="0" applyFill="1" applyAlignment="1">
      <alignment horizontal="center" vertical="center" wrapText="1"/>
    </xf>
    <xf numFmtId="0" fontId="9" fillId="5" borderId="0" xfId="0" applyFont="1" applyFill="1" applyAlignment="1">
      <alignment horizontal="left" wrapText="1"/>
    </xf>
    <xf numFmtId="0" fontId="15" fillId="5" borderId="0" xfId="0" applyFont="1" applyFill="1" applyAlignment="1">
      <alignment horizontal="left" vertical="center" wrapText="1"/>
    </xf>
    <xf numFmtId="0" fontId="9" fillId="9" borderId="0" xfId="0" applyFont="1" applyFill="1" applyAlignment="1">
      <alignment horizontal="left" wrapText="1"/>
    </xf>
    <xf numFmtId="0" fontId="16" fillId="9" borderId="0" xfId="0" applyFont="1" applyFill="1" applyAlignment="1">
      <alignment horizontal="left" vertical="center" wrapText="1"/>
    </xf>
    <xf numFmtId="0" fontId="18" fillId="0" borderId="11" xfId="0" applyFont="1" applyBorder="1" applyAlignment="1">
      <alignment horizontal="center" vertical="top" wrapText="1"/>
    </xf>
    <xf numFmtId="0" fontId="18" fillId="0" borderId="12" xfId="0" applyFont="1" applyBorder="1" applyAlignment="1">
      <alignment horizontal="center" vertical="top" wrapText="1"/>
    </xf>
    <xf numFmtId="0" fontId="18" fillId="0" borderId="7" xfId="0" applyFont="1" applyBorder="1" applyAlignment="1">
      <alignment horizontal="center" vertical="top" wrapText="1"/>
    </xf>
    <xf numFmtId="0" fontId="18" fillId="0" borderId="8" xfId="0" applyFont="1" applyBorder="1" applyAlignment="1">
      <alignment horizontal="center" vertical="top" wrapText="1"/>
    </xf>
    <xf numFmtId="0" fontId="20" fillId="0" borderId="3" xfId="0" applyFont="1"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center" vertical="center" wrapText="1"/>
    </xf>
    <xf numFmtId="0" fontId="0" fillId="0" borderId="10" xfId="0" applyBorder="1" applyAlignment="1">
      <alignment horizontal="center" vertical="center" wrapText="1"/>
    </xf>
    <xf numFmtId="171" fontId="1" fillId="0" borderId="0" xfId="0" applyNumberFormat="1" applyFont="1" applyFill="1">
      <alignment horizontal="center" vertical="center" wrapText="1"/>
    </xf>
    <xf numFmtId="171" fontId="17" fillId="14" borderId="0" xfId="0" applyNumberFormat="1" applyFont="1" applyFill="1" applyAlignment="1">
      <alignment horizontal="center" vertical="center" wrapText="1"/>
    </xf>
    <xf numFmtId="171" fontId="19" fillId="0" borderId="0" xfId="14" applyNumberFormat="1" applyFont="1" applyAlignment="1">
      <alignment horizontal="center" vertical="center" wrapText="1"/>
    </xf>
  </cellXfs>
  <cellStyles count="15">
    <cellStyle name="60% - Énfasis4" xfId="3" builtinId="44" customBuiltin="1"/>
    <cellStyle name="Encabezado 4" xfId="2" builtinId="19" customBuiltin="1"/>
    <cellStyle name="Entrada" xfId="12" builtinId="20" customBuiltin="1"/>
    <cellStyle name="Fecha" xfId="11"/>
    <cellStyle name="Millares" xfId="9" builtinId="3" customBuiltin="1"/>
    <cellStyle name="Moneda" xfId="14" builtinId="4"/>
    <cellStyle name="Normal" xfId="0" builtinId="0" customBuiltin="1"/>
    <cellStyle name="Porcentaje" xfId="10" builtinId="5" customBuiltin="1"/>
    <cellStyle name="Salida" xfId="13" builtinId="21" customBuiltin="1"/>
    <cellStyle name="Texto de advertencia" xfId="8" builtinId="11" customBuiltin="1"/>
    <cellStyle name="Título" xfId="1" builtinId="15" customBuiltin="1"/>
    <cellStyle name="Título 1" xfId="4" builtinId="16" customBuiltin="1"/>
    <cellStyle name="Título 2" xfId="5" builtinId="17" customBuiltin="1"/>
    <cellStyle name="Título 3" xfId="6" builtinId="18" customBuiltin="1"/>
    <cellStyle name="Total" xfId="7" builtinId="25" customBuiltin="1"/>
  </cellStyles>
  <dxfs count="121">
    <dxf>
      <numFmt numFmtId="171" formatCode="_-[$$-240A]\ * #,##0_-;\-[$$-240A]\ * #,##0_-;_-[$$-240A]\ * &quot;-&quot;??_-;_-@_-"/>
      <fill>
        <patternFill patternType="solid">
          <fgColor indexed="64"/>
          <bgColor theme="0" tint="-4.9989318521683403E-2"/>
        </patternFill>
      </fill>
    </dxf>
    <dxf>
      <fill>
        <patternFill patternType="solid">
          <fgColor indexed="64"/>
          <bgColor theme="0" tint="-4.9989318521683403E-2"/>
        </patternFill>
      </fill>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numFmt numFmtId="171" formatCode="_-[$$-240A]\ * #,##0_-;\-[$$-240A]\ * #,##0_-;_-[$$-240A]\ * &quot;-&quot;??_-;_-@_-"/>
      <fill>
        <patternFill patternType="solid">
          <fgColor indexed="64"/>
          <bgColor rgb="FFF2F2F2"/>
        </patternFill>
      </fill>
      <alignment horizontal="center" vertical="center" textRotation="0" wrapText="1" indent="0" justifyLastLine="0" shrinkToFit="0" readingOrder="0"/>
    </dxf>
    <dxf>
      <fill>
        <patternFill patternType="solid">
          <fgColor indexed="64"/>
          <bgColor rgb="FFF2F2F2"/>
        </patternFill>
      </fill>
      <alignment horizontal="left" vertical="center" textRotation="0" wrapText="0" indent="1" justifyLastLine="0" shrinkToFit="0" readingOrder="0"/>
    </dxf>
    <dxf>
      <numFmt numFmtId="171" formatCode="_-[$$-240A]\ * #,##0_-;\-[$$-240A]\ * #,##0_-;_-[$$-240A]\ * &quot;-&quot;??_-;_-@_-"/>
      <fill>
        <patternFill patternType="solid">
          <fgColor indexed="64"/>
          <bgColor theme="0" tint="-4.9989318521683403E-2"/>
        </patternFill>
      </fill>
    </dxf>
    <dxf>
      <fill>
        <patternFill patternType="solid">
          <fgColor indexed="64"/>
          <bgColor theme="0" tint="-4.9989318521683403E-2"/>
        </patternFill>
      </fill>
      <alignment horizontal="left" vertical="center" textRotation="0" wrapText="0" indent="1" justifyLastLine="0" shrinkToFit="0" readingOrder="0"/>
    </dxf>
    <dxf>
      <numFmt numFmtId="171" formatCode="_-[$$-240A]\ * #,##0_-;\-[$$-240A]\ * #,##0_-;_-[$$-240A]\ * &quot;-&quot;??_-;_-@_-"/>
      <fill>
        <patternFill patternType="solid">
          <fgColor indexed="64"/>
          <bgColor rgb="FFF2F2F2"/>
        </patternFill>
      </fill>
    </dxf>
    <dxf>
      <fill>
        <patternFill patternType="solid">
          <fgColor indexed="64"/>
          <bgColor rgb="FFF2F2F2"/>
        </patternFill>
      </fill>
      <alignment horizontal="left" vertical="center" textRotation="0" wrapText="0" indent="1" justifyLastLine="0" shrinkToFit="0" readingOrder="0"/>
    </dxf>
    <dxf>
      <numFmt numFmtId="171" formatCode="_-[$$-240A]\ * #,##0_-;\-[$$-240A]\ * #,##0_-;_-[$$-240A]\ * &quot;-&quot;??_-;_-@_-"/>
    </dxf>
    <dxf>
      <alignment horizontal="left" vertical="center" textRotation="0" wrapText="0" indent="1" justifyLastLine="0" shrinkToFit="0" readingOrder="0"/>
    </dxf>
    <dxf>
      <alignment horizontal="left" vertical="center" textRotation="0" wrapText="0" indent="1" justifyLastLine="0" shrinkToFit="0" readingOrder="0"/>
    </dxf>
    <dxf>
      <numFmt numFmtId="170" formatCode="&quot;$&quot;\ #,##0"/>
    </dxf>
    <dxf>
      <border outline="0">
        <left style="thin">
          <color indexed="64"/>
        </left>
        <right style="thin">
          <color indexed="64"/>
        </right>
        <top style="medium">
          <color indexed="64"/>
        </top>
        <bottom style="thin">
          <color indexed="64"/>
        </bottom>
      </border>
    </dxf>
    <dxf>
      <border outline="0">
        <bottom style="thin">
          <color indexed="64"/>
        </bottom>
      </border>
    </dxf>
    <dxf>
      <numFmt numFmtId="171" formatCode="_-[$$-240A]\ * #,##0_-;\-[$$-240A]\ * #,##0_-;_-[$$-240A]\ * &quot;-&quot;??_-;_-@_-"/>
    </dxf>
    <dxf>
      <numFmt numFmtId="0" formatCode="General"/>
    </dxf>
    <dxf>
      <fill>
        <patternFill patternType="solid">
          <fgColor indexed="64"/>
          <bgColor theme="0" tint="-4.9989318521683403E-2"/>
        </patternFill>
      </fill>
    </dxf>
    <dxf>
      <numFmt numFmtId="0" formatCode="General"/>
    </dxf>
    <dxf>
      <numFmt numFmtId="171" formatCode="_-[$$-240A]\ * #,##0_-;\-[$$-240A]\ * #,##0_-;_-[$$-240A]\ * &quot;-&quot;??_-;_-@_-"/>
    </dxf>
    <dxf>
      <numFmt numFmtId="0" formatCode="General"/>
    </dxf>
    <dxf>
      <fill>
        <patternFill patternType="solid">
          <fgColor indexed="64"/>
          <bgColor theme="0" tint="-4.9989318521683403E-2"/>
        </patternFill>
      </fill>
    </dxf>
    <dxf>
      <numFmt numFmtId="0" formatCode="General"/>
    </dxf>
    <dxf>
      <numFmt numFmtId="171" formatCode="_-[$$-240A]\ * #,##0_-;\-[$$-240A]\ * #,##0_-;_-[$$-240A]\ * &quot;-&quot;??_-;_-@_-"/>
    </dxf>
    <dxf>
      <numFmt numFmtId="0" formatCode="General"/>
    </dxf>
    <dxf>
      <fill>
        <patternFill patternType="solid">
          <fgColor indexed="64"/>
          <bgColor rgb="FFF2F2F2"/>
        </patternFill>
      </fill>
    </dxf>
    <dxf>
      <numFmt numFmtId="0" formatCode="General"/>
    </dxf>
    <dxf>
      <numFmt numFmtId="171" formatCode="_-[$$-240A]\ * #,##0_-;\-[$$-240A]\ * #,##0_-;_-[$$-240A]\ * &quot;-&quot;??_-;_-@_-"/>
    </dxf>
    <dxf>
      <numFmt numFmtId="0" formatCode="General"/>
    </dxf>
    <dxf>
      <fill>
        <patternFill patternType="solid">
          <fgColor indexed="64"/>
          <bgColor rgb="FFF2F2F2"/>
        </patternFill>
      </fill>
    </dxf>
    <dxf>
      <numFmt numFmtId="0" formatCode="General"/>
    </dxf>
    <dxf>
      <numFmt numFmtId="168" formatCode="#,##0.00_ ;[Red]\-#,##0.00\ "/>
    </dxf>
    <dxf>
      <numFmt numFmtId="168" formatCode="#,##0.00_ ;[Red]\-#,##0.00\ "/>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69" formatCode="#,##0_ ;[Red]\-#,##0\ "/>
    </dxf>
    <dxf>
      <font>
        <b val="0"/>
        <i val="0"/>
        <strike val="0"/>
        <condense val="0"/>
        <extend val="0"/>
        <outline val="0"/>
        <shadow val="0"/>
        <u val="none"/>
        <vertAlign val="baseline"/>
        <sz val="11"/>
        <color theme="1" tint="0.24994659260841701"/>
        <name val="Gill Sans MT"/>
        <scheme val="minor"/>
      </font>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numFmt numFmtId="171" formatCode="_-[$$-240A]\ * #,##0_-;\-[$$-240A]\ * #,##0_-;_-[$$-240A]\ * &quot;-&quot;??_-;_-@_-"/>
    </dxf>
    <dxf>
      <numFmt numFmtId="169" formatCode="#,##0_ ;[Red]\-#,##0\ "/>
    </dxf>
    <dxf>
      <alignment horizontal="left" vertical="center" textRotation="0" wrapText="0" indent="1" justifyLastLine="0" shrinkToFit="0" readingOrder="0"/>
    </dxf>
    <dxf>
      <font>
        <b val="0"/>
        <i val="0"/>
        <strike val="0"/>
        <condense val="0"/>
        <extend val="0"/>
        <outline val="0"/>
        <shadow val="0"/>
        <u val="none"/>
        <vertAlign val="baseline"/>
        <sz val="11"/>
        <color theme="1" tint="0.24994659260841701"/>
        <name val="Gill Sans MT"/>
        <scheme val="minor"/>
      </font>
    </dxf>
    <dxf>
      <alignment horizontal="left" vertical="center" textRotation="0" wrapText="0" indent="1" justifyLastLine="0" shrinkToFit="0" readingOrder="0"/>
    </dxf>
    <dxf>
      <numFmt numFmtId="0" formatCode="General"/>
    </dxf>
    <dxf>
      <numFmt numFmtId="0" formatCode="General"/>
    </dxf>
    <dxf>
      <fill>
        <patternFill>
          <bgColor theme="0" tint="-0.14996795556505021"/>
        </patternFill>
      </fill>
    </dxf>
    <dxf>
      <font>
        <b/>
        <i val="0"/>
      </font>
      <fill>
        <patternFill patternType="solid">
          <bgColor theme="0" tint="-4.9989318521683403E-2"/>
        </patternFill>
      </fill>
    </dxf>
    <dxf>
      <font>
        <b val="0"/>
        <i val="0"/>
        <color theme="1"/>
      </font>
      <fill>
        <patternFill patternType="solid">
          <fgColor theme="4"/>
          <bgColor theme="0" tint="-0.14996795556505021"/>
        </patternFill>
      </fill>
      <border>
        <top style="thin">
          <color theme="0"/>
        </top>
      </border>
    </dxf>
    <dxf>
      <font>
        <b val="0"/>
        <i val="0"/>
        <color theme="0"/>
      </font>
      <fill>
        <patternFill patternType="solid">
          <fgColor theme="4"/>
          <bgColor theme="6" tint="-0.499984740745262"/>
        </patternFill>
      </fill>
      <border diagonalUp="0" diagonalDown="0">
        <left/>
        <right/>
        <top/>
        <bottom/>
        <vertical/>
        <horizontal/>
      </border>
    </dxf>
    <dxf>
      <font>
        <b val="0"/>
        <i val="0"/>
        <color theme="1"/>
      </font>
      <fill>
        <patternFill patternType="solid">
          <fgColor auto="1"/>
          <bgColor theme="0" tint="-4.9989318521683403E-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PivotStyle="PivotStyleLight16">
    <tableStyle name="Presupuesto mensual" pivot="0" count="5">
      <tableStyleElement type="wholeTable" dxfId="120"/>
      <tableStyleElement type="headerRow" dxfId="119"/>
      <tableStyleElement type="totalRow" dxfId="118"/>
      <tableStyleElement type="lastColumn" dxfId="117"/>
      <tableStyleElement type="secondRowStripe" dxfId="116"/>
    </tableStyle>
  </tableStyles>
  <colors>
    <mruColors>
      <color rgb="FFF2F2F2"/>
      <color rgb="FFFFFDF8"/>
      <color rgb="FFEEEADE"/>
      <color rgb="FF44382C"/>
      <color rgb="FFA7937B"/>
      <color rgb="FF5A5044"/>
      <color rgb="FF252525"/>
      <color rgb="FFCD9620"/>
      <color rgb="FFF4444F"/>
      <color rgb="FF2D3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3"/>
    </mc:Choice>
    <mc:Fallback>
      <c:style val="33"/>
    </mc:Fallback>
  </mc:AlternateContent>
  <c:chart>
    <c:title>
      <c:layout/>
      <c:overlay val="0"/>
    </c:title>
    <c:autoTitleDeleted val="0"/>
    <c:plotArea>
      <c:layout/>
      <c:barChart>
        <c:barDir val="col"/>
        <c:grouping val="clustered"/>
        <c:varyColors val="0"/>
        <c:ser>
          <c:idx val="0"/>
          <c:order val="0"/>
          <c:tx>
            <c:strRef>
              <c:f>'Informe de recursos'!$B$5</c:f>
              <c:strCache>
                <c:ptCount val="1"/>
                <c:pt idx="0">
                  <c:v>valor</c:v>
                </c:pt>
              </c:strCache>
            </c:strRef>
          </c:tx>
          <c:spPr>
            <a:solidFill>
              <a:schemeClr val="accent2"/>
            </a:solidFill>
            <a:ln>
              <a:solidFill>
                <a:schemeClr val="accent1"/>
              </a:solidFill>
            </a:ln>
          </c:spPr>
          <c:invertIfNegative val="0"/>
          <c:cat>
            <c:strRef>
              <c:f>'Informe de recursos'!$A$6:$A$18</c:f>
              <c:strCache>
                <c:ptCount val="13"/>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pt idx="12">
                  <c:v>Total</c:v>
                </c:pt>
              </c:strCache>
            </c:strRef>
          </c:cat>
          <c:val>
            <c:numRef>
              <c:f>'Informe de recursos'!$B$6:$B$18</c:f>
              <c:numCache>
                <c:formatCode>"$"\ #,##0</c:formatCode>
                <c:ptCount val="13"/>
                <c:pt idx="0">
                  <c:v>0</c:v>
                </c:pt>
                <c:pt idx="1">
                  <c:v>0</c:v>
                </c:pt>
                <c:pt idx="2">
                  <c:v>0</c:v>
                </c:pt>
                <c:pt idx="3">
                  <c:v>24800</c:v>
                </c:pt>
                <c:pt idx="4">
                  <c:v>45700</c:v>
                </c:pt>
                <c:pt idx="5">
                  <c:v>0</c:v>
                </c:pt>
                <c:pt idx="6">
                  <c:v>0</c:v>
                </c:pt>
                <c:pt idx="7">
                  <c:v>0</c:v>
                </c:pt>
                <c:pt idx="8">
                  <c:v>0</c:v>
                </c:pt>
                <c:pt idx="9">
                  <c:v>0</c:v>
                </c:pt>
                <c:pt idx="10">
                  <c:v>77200</c:v>
                </c:pt>
                <c:pt idx="11">
                  <c:v>55800</c:v>
                </c:pt>
                <c:pt idx="12">
                  <c:v>203500</c:v>
                </c:pt>
              </c:numCache>
            </c:numRef>
          </c:val>
          <c:extLst xmlns:c16r2="http://schemas.microsoft.com/office/drawing/2015/06/chart">
            <c:ext xmlns:c16="http://schemas.microsoft.com/office/drawing/2014/chart" uri="{C3380CC4-5D6E-409C-BE32-E72D297353CC}">
              <c16:uniqueId val="{00000000-3A5A-43FD-A371-CC43E7F1DB68}"/>
            </c:ext>
          </c:extLst>
        </c:ser>
        <c:dLbls>
          <c:showLegendKey val="0"/>
          <c:showVal val="0"/>
          <c:showCatName val="0"/>
          <c:showSerName val="0"/>
          <c:showPercent val="0"/>
          <c:showBubbleSize val="0"/>
        </c:dLbls>
        <c:gapWidth val="150"/>
        <c:axId val="208489472"/>
        <c:axId val="208491264"/>
      </c:barChart>
      <c:catAx>
        <c:axId val="208489472"/>
        <c:scaling>
          <c:orientation val="minMax"/>
        </c:scaling>
        <c:delete val="0"/>
        <c:axPos val="b"/>
        <c:numFmt formatCode="General" sourceLinked="0"/>
        <c:majorTickMark val="out"/>
        <c:minorTickMark val="none"/>
        <c:tickLblPos val="nextTo"/>
        <c:crossAx val="208491264"/>
        <c:crosses val="autoZero"/>
        <c:auto val="1"/>
        <c:lblAlgn val="ctr"/>
        <c:lblOffset val="100"/>
        <c:noMultiLvlLbl val="0"/>
      </c:catAx>
      <c:valAx>
        <c:axId val="208491264"/>
        <c:scaling>
          <c:orientation val="minMax"/>
        </c:scaling>
        <c:delete val="0"/>
        <c:axPos val="l"/>
        <c:majorGridlines/>
        <c:numFmt formatCode="&quot;$&quot;\ #,##0" sourceLinked="1"/>
        <c:majorTickMark val="out"/>
        <c:minorTickMark val="none"/>
        <c:tickLblPos val="nextTo"/>
        <c:crossAx val="208489472"/>
        <c:crosses val="autoZero"/>
        <c:crossBetween val="between"/>
      </c:valAx>
      <c:spPr>
        <a:solidFill>
          <a:schemeClr val="tx2">
            <a:lumMod val="40000"/>
            <a:lumOff val="60000"/>
          </a:schemeClr>
        </a:solidFill>
        <a:ln>
          <a:solidFill>
            <a:schemeClr val="accent2">
              <a:lumMod val="40000"/>
              <a:lumOff val="60000"/>
            </a:schemeClr>
          </a:solidFill>
        </a:ln>
      </c:spPr>
    </c:plotArea>
    <c:legend>
      <c:legendPos val="r"/>
      <c:layout/>
      <c:overlay val="0"/>
    </c:legend>
    <c:plotVisOnly val="1"/>
    <c:dispBlanksAs val="gap"/>
    <c:showDLblsOverMax val="0"/>
  </c:chart>
  <c:spPr>
    <a:solidFill>
      <a:schemeClr val="tx2">
        <a:lumMod val="40000"/>
        <a:lumOff val="60000"/>
      </a:schemeClr>
    </a:solidFill>
    <a:ln>
      <a:solidFill>
        <a:schemeClr val="accent2">
          <a:lumMod val="40000"/>
          <a:lumOff val="60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76199</xdr:colOff>
      <xdr:row>4</xdr:row>
      <xdr:rowOff>42862</xdr:rowOff>
    </xdr:from>
    <xdr:to>
      <xdr:col>6</xdr:col>
      <xdr:colOff>790574</xdr:colOff>
      <xdr:row>17</xdr:row>
      <xdr:rowOff>152400</xdr:rowOff>
    </xdr:to>
    <xdr:graphicFrame macro="">
      <xdr:nvGraphicFramePr>
        <xdr:cNvPr id="2" name="1 Gráfico">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114301</xdr:colOff>
      <xdr:row>0</xdr:row>
      <xdr:rowOff>57150</xdr:rowOff>
    </xdr:from>
    <xdr:to>
      <xdr:col>0</xdr:col>
      <xdr:colOff>742950</xdr:colOff>
      <xdr:row>2</xdr:row>
      <xdr:rowOff>180975</xdr:rowOff>
    </xdr:to>
    <xdr:pic>
      <xdr:nvPicPr>
        <xdr:cNvPr id="4" name="3 Imagen">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301" y="57150"/>
          <a:ext cx="628649" cy="485775"/>
        </a:xfrm>
        <a:prstGeom prst="rect">
          <a:avLst/>
        </a:prstGeom>
      </xdr:spPr>
    </xdr:pic>
    <xdr:clientData/>
  </xdr:twoCellAnchor>
</xdr:wsDr>
</file>

<file path=xl/tables/table1.xml><?xml version="1.0" encoding="utf-8"?>
<table xmlns="http://schemas.openxmlformats.org/spreadsheetml/2006/main" id="3" name="GastosPersonal34" displayName="GastosPersonal34" ref="B4:D11" totalsRowCount="1" headerRowDxfId="115" dataCellStyle="Normal" totalsRowCellStyle="Normal">
  <autoFilter ref="B4:D10"/>
  <tableColumns count="3">
    <tableColumn id="1" name="RECURSOS POR MES" totalsRowLabel="Total de recuros y precio" dataDxfId="114" totalsRowDxfId="113" dataCellStyle="Entrada"/>
    <tableColumn id="6" name="CANTIDAD" totalsRowFunction="custom" dataDxfId="112" totalsRowDxfId="111" dataCellStyle="Entrada">
      <totalsRowFormula>SUM(C5:C10)</totalsRowFormula>
    </tableColumn>
    <tableColumn id="3" name="PRECIO" totalsRowFunction="sum" dataDxfId="110" totalsRowDxfId="109"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0.xml><?xml version="1.0" encoding="utf-8"?>
<table xmlns="http://schemas.openxmlformats.org/spreadsheetml/2006/main" id="21" name="GastosPersonal34711131517192122" displayName="GastosPersonal34711131517192122" ref="F31:H38" totalsRowCount="1" headerRowDxfId="52" dataCellStyle="Normal" totalsRowCellStyle="Normal">
  <autoFilter ref="F31:H37"/>
  <tableColumns count="3">
    <tableColumn id="1" name="RECURSOS POR MES" totalsRowLabel="Total de recuros y precio" dataDxfId="51" totalsRowDxfId="50" dataCellStyle="Entrada"/>
    <tableColumn id="6" name="CANTIDAD" totalsRowFunction="custom" dataDxfId="49" totalsRowDxfId="48" dataCellStyle="Entrada">
      <totalsRowFormula>SUM(G32:G37)</totalsRowFormula>
    </tableColumn>
    <tableColumn id="3" name="PRECIO" totalsRowFunction="sum" dataDxfId="47" totalsRowDxfId="46"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1.xml><?xml version="1.0" encoding="utf-8"?>
<table xmlns="http://schemas.openxmlformats.org/spreadsheetml/2006/main" id="22" name="GastosPersonal34711131517192123" displayName="GastosPersonal34711131517192123" ref="F40:H47" totalsRowCount="1" headerRowDxfId="45" dataCellStyle="Normal" totalsRowCellStyle="Normal">
  <autoFilter ref="F40:H46"/>
  <tableColumns count="3">
    <tableColumn id="1" name="RECURSOS POR MES" totalsRowLabel="Total de recuros y precio" dataDxfId="44" totalsRowDxfId="10" dataCellStyle="Entrada"/>
    <tableColumn id="6" name="CANTIDAD" totalsRowFunction="custom" dataDxfId="43" totalsRowDxfId="9" dataCellStyle="Entrada">
      <totalsRowFormula>SUM(G41:G46)</totalsRowFormula>
    </tableColumn>
    <tableColumn id="3" name="PRECIO" totalsRowFunction="sum" dataDxfId="42" totalsRowDxfId="8"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2.xml><?xml version="1.0" encoding="utf-8"?>
<table xmlns="http://schemas.openxmlformats.org/spreadsheetml/2006/main" id="23" name="GastosPersonal3471113151719212324" displayName="GastosPersonal3471113151719212324" ref="F49:H56" totalsRowCount="1" headerRowDxfId="41" dataCellStyle="Normal" totalsRowCellStyle="Normal">
  <autoFilter ref="F49:H55"/>
  <tableColumns count="3">
    <tableColumn id="1" name="RECURSOS POR MES" totalsRowLabel="Total de recuros y precio" dataDxfId="40" totalsRowDxfId="39" dataCellStyle="Entrada"/>
    <tableColumn id="6" name="CANTIDAD" totalsRowFunction="custom" dataDxfId="38" totalsRowDxfId="37" dataCellStyle="Entrada">
      <totalsRowFormula>SUM(G50:G55)</totalsRowFormula>
    </tableColumn>
    <tableColumn id="3" name="PRECIO" totalsRowFunction="sum" dataDxfId="36" totalsRowDxfId="35"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3.xml><?xml version="1.0" encoding="utf-8"?>
<table xmlns="http://schemas.openxmlformats.org/spreadsheetml/2006/main" id="4" name="GastosPersonal35" displayName="GastosPersonal35" ref="B4:C8" totalsRowCount="1" headerRowDxfId="34" dataCellStyle="Normal" totalsRowCellStyle="Normal">
  <autoFilter ref="B4:C7"/>
  <tableColumns count="2">
    <tableColumn id="1" name="GASTOS DEL PERSONAL" totalsRowLabel="Gastos de personal totales" dataDxfId="33" totalsRowDxfId="32"/>
    <tableColumn id="2" name="ESTIMADO" totalsRowFunction="sum" dataDxfId="31" totalsRowDxfId="30"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4.xml><?xml version="1.0" encoding="utf-8"?>
<table xmlns="http://schemas.openxmlformats.org/spreadsheetml/2006/main" id="2" name="GastosPersonal3" displayName="GastosPersonal3" ref="B4:C13" totalsRowCount="1" headerRowDxfId="29" totalsRowDxfId="28" dataCellStyle="Normal" totalsRowCellStyle="Normal">
  <autoFilter ref="B4:C12"/>
  <tableColumns count="2">
    <tableColumn id="1" name="GASTOS DEL PERSONAL" dataDxfId="27" totalsRowDxfId="7"/>
    <tableColumn id="2" name="COSTOS" dataDxfId="26" totalsRowDxfId="6"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5.xml><?xml version="1.0" encoding="utf-8"?>
<table xmlns="http://schemas.openxmlformats.org/spreadsheetml/2006/main" id="7" name="GastosPersonal368" displayName="GastosPersonal368" ref="F4:G13" totalsRowCount="1" headerRowDxfId="25" totalsRowDxfId="24" dataCellStyle="Normal" totalsRowCellStyle="Normal">
  <autoFilter ref="F4:G12"/>
  <tableColumns count="2">
    <tableColumn id="1" name="GASTOS DEL PERSONAL" dataDxfId="23" totalsRowDxfId="3"/>
    <tableColumn id="2" name="COSTOS" dataDxfId="22" totalsRowDxfId="2" dataCellStyle="Moneda"/>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6.xml><?xml version="1.0" encoding="utf-8"?>
<table xmlns="http://schemas.openxmlformats.org/spreadsheetml/2006/main" id="5" name="GastosPersonal36" displayName="GastosPersonal36" ref="B17:C26" totalsRowCount="1" headerRowDxfId="21" totalsRowDxfId="20" dataCellStyle="Normal" totalsRowCellStyle="Normal">
  <autoFilter ref="B17:C25"/>
  <tableColumns count="2">
    <tableColumn id="1" name="GASTOS DEL PERSONAL" dataDxfId="19" totalsRowDxfId="5"/>
    <tableColumn id="2" name="COSTOS" dataDxfId="18" totalsRowDxfId="4"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7.xml><?xml version="1.0" encoding="utf-8"?>
<table xmlns="http://schemas.openxmlformats.org/spreadsheetml/2006/main" id="24" name="GastosPersonal3625" displayName="GastosPersonal3625" ref="F17:G26" totalsRowCount="1" headerRowDxfId="17" totalsRowDxfId="16" dataCellStyle="Normal" totalsRowCellStyle="Normal">
  <autoFilter ref="F17:G25"/>
  <tableColumns count="2">
    <tableColumn id="1" name="GASTOS DEL PERSONAL" dataDxfId="15" totalsRowDxfId="1"/>
    <tableColumn id="2" name="COSTOS" dataDxfId="14" totalsRowDxfId="0"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18.xml><?xml version="1.0" encoding="utf-8"?>
<table xmlns="http://schemas.openxmlformats.org/spreadsheetml/2006/main" id="25" name="Tabla25" displayName="Tabla25" ref="A5:B18" totalsRowShown="0" headerRowBorderDxfId="13" tableBorderDxfId="12">
  <autoFilter ref="A5:B18"/>
  <tableColumns count="2">
    <tableColumn id="1" name="Mes"/>
    <tableColumn id="2" name="valor" dataDxfId="11"/>
  </tableColumns>
  <tableStyleInfo showFirstColumn="0" showLastColumn="0" showRowStripes="1" showColumnStripes="0"/>
</table>
</file>

<file path=xl/tables/table2.xml><?xml version="1.0" encoding="utf-8"?>
<table xmlns="http://schemas.openxmlformats.org/spreadsheetml/2006/main" id="9" name="GastosPersonal3410" displayName="GastosPersonal3410" ref="B13:D20" totalsRowCount="1" headerRowDxfId="108" dataCellStyle="Normal" totalsRowCellStyle="Normal">
  <autoFilter ref="B13:D19"/>
  <tableColumns count="3">
    <tableColumn id="1" name="RECURSOS POR MES" totalsRowLabel="Total de recuros y precio" dataDxfId="107" totalsRowDxfId="106" dataCellStyle="Entrada"/>
    <tableColumn id="6" name="CANTIDAD" totalsRowFunction="custom" dataDxfId="105" totalsRowDxfId="104" dataCellStyle="Entrada">
      <totalsRowFormula>SUM(C14:C19)</totalsRowFormula>
    </tableColumn>
    <tableColumn id="3" name="PRECIO" totalsRowFunction="sum" dataDxfId="103" totalsRowDxfId="102"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3.xml><?xml version="1.0" encoding="utf-8"?>
<table xmlns="http://schemas.openxmlformats.org/spreadsheetml/2006/main" id="6" name="GastosPersonal347" displayName="GastosPersonal347" ref="B22:D29" totalsRowCount="1" headerRowDxfId="101" dataCellStyle="Normal" totalsRowCellStyle="Normal">
  <autoFilter ref="B22:D28"/>
  <tableColumns count="3">
    <tableColumn id="1" name="RECURSOS POR MES" totalsRowLabel="Total de recuros y precio" dataDxfId="100" totalsRowDxfId="99" dataCellStyle="Entrada"/>
    <tableColumn id="6" name="CANTIDAD" totalsRowFunction="custom" dataDxfId="98" totalsRowDxfId="97" dataCellStyle="Entrada">
      <totalsRowFormula>SUM(C23:C28)</totalsRowFormula>
    </tableColumn>
    <tableColumn id="3" name="PRECIO" totalsRowFunction="sum" dataDxfId="96" totalsRowDxfId="95"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4.xml><?xml version="1.0" encoding="utf-8"?>
<table xmlns="http://schemas.openxmlformats.org/spreadsheetml/2006/main" id="10" name="GastosPersonal34711" displayName="GastosPersonal34711" ref="B31:D38" totalsRowCount="1" headerRowDxfId="94" dataCellStyle="Normal" totalsRowCellStyle="Normal">
  <autoFilter ref="B31:D37"/>
  <tableColumns count="3">
    <tableColumn id="1" name="RECURSOS POR MES" totalsRowLabel="Total de recuros y precio" dataDxfId="93" totalsRowDxfId="92" dataCellStyle="Entrada"/>
    <tableColumn id="6" name="CANTIDAD" totalsRowFunction="custom" dataDxfId="91" totalsRowDxfId="90" dataCellStyle="Entrada">
      <totalsRowFormula>SUM(C32:C37)</totalsRowFormula>
    </tableColumn>
    <tableColumn id="3" name="PRECIO" totalsRowFunction="sum" dataDxfId="89" totalsRowDxfId="88"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5.xml><?xml version="1.0" encoding="utf-8"?>
<table xmlns="http://schemas.openxmlformats.org/spreadsheetml/2006/main" id="12" name="GastosPersonal3471113" displayName="GastosPersonal3471113" ref="B40:D47" totalsRowCount="1" headerRowDxfId="87" dataCellStyle="Normal" totalsRowCellStyle="Normal">
  <autoFilter ref="B40:D46"/>
  <tableColumns count="3">
    <tableColumn id="1" name="RECURSOS POR MES" totalsRowLabel="Total de recuros y precio" dataDxfId="86" totalsRowDxfId="85"/>
    <tableColumn id="6" name="CANTIDAD" totalsRowFunction="custom" dataDxfId="84" totalsRowDxfId="83" dataCellStyle="Entrada">
      <totalsRowFormula>SUM(C41:C46)</totalsRowFormula>
    </tableColumn>
    <tableColumn id="3" name="PRECIO" totalsRowFunction="sum" dataDxfId="82" totalsRowDxfId="81"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6.xml><?xml version="1.0" encoding="utf-8"?>
<table xmlns="http://schemas.openxmlformats.org/spreadsheetml/2006/main" id="14" name="GastosPersonal347111315" displayName="GastosPersonal347111315" ref="B49:D56" totalsRowCount="1" headerRowDxfId="80" dataCellStyle="Normal" totalsRowCellStyle="Normal">
  <autoFilter ref="B49:D55"/>
  <tableColumns count="3">
    <tableColumn id="1" name="RECURSOS POR MES" totalsRowLabel="Total de recuros y precio" dataDxfId="79" totalsRowDxfId="78" dataCellStyle="Entrada"/>
    <tableColumn id="6" name="CANTIDAD" totalsRowFunction="custom" dataDxfId="77" totalsRowDxfId="76" dataCellStyle="Entrada">
      <totalsRowFormula>SUM(C50:C55)</totalsRowFormula>
    </tableColumn>
    <tableColumn id="3" name="PRECIO" totalsRowFunction="sum" dataDxfId="75" totalsRowDxfId="74"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7.xml><?xml version="1.0" encoding="utf-8"?>
<table xmlns="http://schemas.openxmlformats.org/spreadsheetml/2006/main" id="16" name="GastosPersonal34711131517" displayName="GastosPersonal34711131517" ref="F4:H11" totalsRowCount="1" headerRowDxfId="73" dataCellStyle="Normal" totalsRowCellStyle="Normal">
  <autoFilter ref="F4:H10"/>
  <tableColumns count="3">
    <tableColumn id="1" name="RECURSOS POR MES" totalsRowLabel="Total de recuros y precio" dataDxfId="72" totalsRowDxfId="71" dataCellStyle="Entrada"/>
    <tableColumn id="6" name="CANTIDAD" totalsRowFunction="custom" dataDxfId="70" totalsRowDxfId="69" dataCellStyle="Entrada">
      <totalsRowFormula>SUM(G5:G10)</totalsRowFormula>
    </tableColumn>
    <tableColumn id="3" name="PRECIO" totalsRowFunction="sum" dataDxfId="68" totalsRowDxfId="67"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8.xml><?xml version="1.0" encoding="utf-8"?>
<table xmlns="http://schemas.openxmlformats.org/spreadsheetml/2006/main" id="18" name="GastosPersonal3471113151719" displayName="GastosPersonal3471113151719" ref="F13:H20" totalsRowCount="1" headerRowDxfId="66" dataCellStyle="Normal" totalsRowCellStyle="Normal">
  <autoFilter ref="F13:H19"/>
  <tableColumns count="3">
    <tableColumn id="1" name="RECURSOS POR MES" totalsRowLabel="Total de recuros y precio" dataDxfId="65" totalsRowDxfId="64" dataCellStyle="Entrada"/>
    <tableColumn id="6" name="CANTIDAD" totalsRowFunction="custom" dataDxfId="63" totalsRowDxfId="62" dataCellStyle="Entrada">
      <totalsRowFormula>SUM(G14:G19)</totalsRowFormula>
    </tableColumn>
    <tableColumn id="3" name="PRECIO" totalsRowFunction="sum" dataDxfId="61" totalsRowDxfId="60"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ables/table9.xml><?xml version="1.0" encoding="utf-8"?>
<table xmlns="http://schemas.openxmlformats.org/spreadsheetml/2006/main" id="20" name="GastosPersonal347111315171921" displayName="GastosPersonal347111315171921" ref="F22:H29" totalsRowCount="1" headerRowDxfId="59" dataCellStyle="Normal" totalsRowCellStyle="Normal">
  <autoFilter ref="F22:H28"/>
  <tableColumns count="3">
    <tableColumn id="1" name="RECURSOS POR MES" totalsRowLabel="Total de recuros y precio" dataDxfId="58" totalsRowDxfId="57" dataCellStyle="Entrada"/>
    <tableColumn id="6" name="CANTIDAD" totalsRowFunction="custom" dataDxfId="56" totalsRowDxfId="55" dataCellStyle="Entrada">
      <totalsRowFormula>SUM(G23:G28)</totalsRowFormula>
    </tableColumn>
    <tableColumn id="3" name="PRECIO" totalsRowFunction="sum" dataDxfId="54" totalsRowDxfId="53" dataCellStyle="Normal"/>
  </tableColumns>
  <tableStyleInfo name="Presupuesto mensual" showFirstColumn="0" showLastColumn="0" showRowStripes="1" showColumnStripes="0"/>
  <extLst>
    <ext xmlns:x14="http://schemas.microsoft.com/office/spreadsheetml/2009/9/main" uri="{504A1905-F514-4f6f-8877-14C23A59335A}">
      <x14:table altTextSummary="Escriba los valores estimados y reales de los gastos de personal en esta tabla. La diferencia se calcula automáticamente"/>
    </ext>
  </extLst>
</table>
</file>

<file path=xl/theme/theme1.xml><?xml version="1.0" encoding="utf-8"?>
<a:theme xmlns:a="http://schemas.openxmlformats.org/drawingml/2006/main" name="Thatch">
  <a:themeElements>
    <a:clrScheme name="Small Business Budget">
      <a:dk1>
        <a:sysClr val="windowText" lastClr="000000"/>
      </a:dk1>
      <a:lt1>
        <a:sysClr val="window" lastClr="FFFFFF"/>
      </a:lt1>
      <a:dk2>
        <a:srgbClr val="355A61"/>
      </a:dk2>
      <a:lt2>
        <a:srgbClr val="DBE3E9"/>
      </a:lt2>
      <a:accent1>
        <a:srgbClr val="62799E"/>
      </a:accent1>
      <a:accent2>
        <a:srgbClr val="B3C035"/>
      </a:accent2>
      <a:accent3>
        <a:srgbClr val="908F74"/>
      </a:accent3>
      <a:accent4>
        <a:srgbClr val="7EA67F"/>
      </a:accent4>
      <a:accent5>
        <a:srgbClr val="5588A5"/>
      </a:accent5>
      <a:accent6>
        <a:srgbClr val="559592"/>
      </a:accent6>
      <a:hlink>
        <a:srgbClr val="66AACD"/>
      </a:hlink>
      <a:folHlink>
        <a:srgbClr val="809DB3"/>
      </a:folHlink>
    </a:clrScheme>
    <a:fontScheme name="Small Business Budget">
      <a:majorFont>
        <a:latin typeface="Gill Sans MT"/>
        <a:ea typeface=""/>
        <a:cs typeface=""/>
      </a:majorFont>
      <a:minorFont>
        <a:latin typeface="Gill Sans MT"/>
        <a:ea typeface=""/>
        <a:cs typeface=""/>
      </a:minorFont>
    </a:fontScheme>
    <a:fmtScheme name="Thatch">
      <a:fillStyleLst>
        <a:solidFill>
          <a:schemeClr val="phClr"/>
        </a:solidFill>
        <a:gradFill rotWithShape="1">
          <a:gsLst>
            <a:gs pos="0">
              <a:schemeClr val="phClr">
                <a:tint val="79000"/>
                <a:satMod val="180000"/>
              </a:schemeClr>
            </a:gs>
            <a:gs pos="65000">
              <a:schemeClr val="phClr">
                <a:tint val="52000"/>
                <a:satMod val="250000"/>
              </a:schemeClr>
            </a:gs>
            <a:gs pos="100000">
              <a:schemeClr val="phClr">
                <a:tint val="29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9525" cap="flat" cmpd="sng" algn="ctr">
          <a:solidFill>
            <a:schemeClr val="phClr"/>
          </a:solidFill>
          <a:prstDash val="solid"/>
        </a:ln>
        <a:ln w="15875" cap="flat" cmpd="sng" algn="ctr">
          <a:solidFill>
            <a:schemeClr val="phClr"/>
          </a:solidFill>
          <a:prstDash val="solid"/>
        </a:ln>
        <a:ln w="38100" cap="flat" cmpd="sng" algn="ctr">
          <a:solidFill>
            <a:schemeClr val="phClr"/>
          </a:solidFill>
          <a:prstDash val="solid"/>
        </a:ln>
      </a:lnStyleLst>
      <a:effectStyleLst>
        <a:effectStyle>
          <a:effectLst>
            <a:outerShdw blurRad="63500" dist="25400" dir="5400000" rotWithShape="0">
              <a:srgbClr val="000000">
                <a:alpha val="43000"/>
              </a:srgbClr>
            </a:outerShdw>
          </a:effectLst>
        </a:effectStyle>
        <a:effectStyle>
          <a:effectLst>
            <a:outerShdw blurRad="63500" dist="25400" dir="5400000" rotWithShape="0">
              <a:srgbClr val="000000">
                <a:alpha val="43000"/>
              </a:srgbClr>
            </a:outerShdw>
          </a:effectLst>
          <a:scene3d>
            <a:camera prst="orthographicFront">
              <a:rot lat="0" lon="0" rev="0"/>
            </a:camera>
            <a:lightRig rig="brightRoom" dir="t">
              <a:rot lat="0" lon="0" rev="8700000"/>
            </a:lightRig>
          </a:scene3d>
          <a:sp3d contourW="12700" prstMaterial="dkEdge">
            <a:bevelT w="0" h="0" prst="relaxedInset"/>
            <a:contourClr>
              <a:schemeClr val="phClr">
                <a:shade val="65000"/>
                <a:satMod val="150000"/>
              </a:schemeClr>
            </a:contourClr>
          </a:sp3d>
        </a:effectStyle>
        <a:effectStyle>
          <a:effectLst>
            <a:outerShdw blurRad="63500" dist="25400" dir="5400000" rotWithShape="0">
              <a:srgbClr val="000000">
                <a:alpha val="43000"/>
              </a:srgbClr>
            </a:outerShdw>
          </a:effectLst>
          <a:scene3d>
            <a:camera prst="orthographicFront">
              <a:rot lat="0" lon="0" rev="0"/>
            </a:camera>
            <a:lightRig rig="glow" dir="t">
              <a:rot lat="0" lon="0" rev="13200000"/>
            </a:lightRig>
          </a:scene3d>
          <a:sp3d prstMaterial="dkEdge">
            <a:bevelT w="63500" h="50800" prst="relaxedInset"/>
          </a:sp3d>
        </a:effectStyle>
      </a:effectStyleLst>
      <a:bgFillStyleLst>
        <a:solidFill>
          <a:schemeClr val="phClr"/>
        </a:solidFill>
        <a:gradFill rotWithShape="1">
          <a:gsLst>
            <a:gs pos="0">
              <a:schemeClr val="phClr">
                <a:tint val="85000"/>
                <a:shade val="95000"/>
                <a:satMod val="200000"/>
              </a:schemeClr>
            </a:gs>
            <a:gs pos="53000">
              <a:schemeClr val="phClr">
                <a:shade val="60000"/>
                <a:satMod val="220000"/>
              </a:schemeClr>
            </a:gs>
            <a:gs pos="100000">
              <a:schemeClr val="phClr">
                <a:shade val="45000"/>
                <a:satMod val="220000"/>
              </a:schemeClr>
            </a:gs>
          </a:gsLst>
          <a:lin ang="16200000" scaled="0"/>
        </a:gradFill>
        <a:gradFill rotWithShape="1">
          <a:gsLst>
            <a:gs pos="0">
              <a:schemeClr val="phClr">
                <a:tint val="83000"/>
                <a:shade val="97000"/>
                <a:satMod val="230000"/>
              </a:schemeClr>
            </a:gs>
            <a:gs pos="100000">
              <a:schemeClr val="phClr">
                <a:shade val="35000"/>
                <a:satMod val="250000"/>
              </a:schemeClr>
            </a:gs>
          </a:gsLst>
          <a:path path="circle">
            <a:fillToRect l="15000" t="50000" r="85000" b="6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4" Type="http://schemas.openxmlformats.org/officeDocument/2006/relationships/table" Target="../tables/table1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34" zoomScale="90" zoomScaleNormal="90" workbookViewId="0">
      <selection activeCell="G42" sqref="G42"/>
    </sheetView>
  </sheetViews>
  <sheetFormatPr baseColWidth="10" defaultRowHeight="14.25"/>
  <cols>
    <col min="1" max="1" width="3.125" customWidth="1"/>
    <col min="2" max="2" width="25.75" bestFit="1" customWidth="1"/>
    <col min="3" max="3" width="14.875" bestFit="1" customWidth="1"/>
    <col min="4" max="4" width="16" bestFit="1" customWidth="1"/>
    <col min="5" max="5" width="13.75" bestFit="1" customWidth="1"/>
    <col min="6" max="7" width="23.125" bestFit="1" customWidth="1"/>
    <col min="8" max="8" width="25.875" bestFit="1" customWidth="1"/>
    <col min="9" max="9" width="14.875" bestFit="1" customWidth="1"/>
    <col min="10" max="10" width="16" bestFit="1" customWidth="1"/>
    <col min="11" max="11" width="13.75" bestFit="1" customWidth="1"/>
    <col min="12" max="12" width="18" bestFit="1" customWidth="1"/>
  </cols>
  <sheetData>
    <row r="1" spans="1:8" ht="18.75">
      <c r="A1" s="53"/>
      <c r="B1" s="54" t="s">
        <v>7</v>
      </c>
      <c r="C1" s="54"/>
      <c r="D1" s="54"/>
      <c r="E1" s="2"/>
      <c r="F1" s="8"/>
    </row>
    <row r="2" spans="1:8" ht="25.5">
      <c r="A2" s="53"/>
      <c r="B2" s="55" t="s">
        <v>38</v>
      </c>
      <c r="C2" s="55"/>
      <c r="D2" s="55"/>
      <c r="E2" s="55"/>
      <c r="F2" s="1"/>
    </row>
    <row r="3" spans="1:8">
      <c r="A3" s="3"/>
      <c r="B3" s="3"/>
      <c r="C3" s="3"/>
      <c r="D3" s="3"/>
      <c r="E3" s="3"/>
      <c r="F3" s="3"/>
    </row>
    <row r="4" spans="1:8" ht="15">
      <c r="A4" s="4"/>
      <c r="B4" s="5" t="s">
        <v>41</v>
      </c>
      <c r="C4" s="5" t="s">
        <v>12</v>
      </c>
      <c r="D4" s="6" t="s">
        <v>42</v>
      </c>
      <c r="F4" s="5" t="s">
        <v>41</v>
      </c>
      <c r="G4" s="5" t="s">
        <v>12</v>
      </c>
      <c r="H4" s="6" t="s">
        <v>42</v>
      </c>
    </row>
    <row r="5" spans="1:8" ht="15">
      <c r="A5" s="4"/>
      <c r="B5" s="20" t="s">
        <v>25</v>
      </c>
      <c r="C5" s="18"/>
      <c r="D5" s="19"/>
      <c r="F5" s="20" t="s">
        <v>31</v>
      </c>
      <c r="G5" s="18"/>
      <c r="H5" s="19"/>
    </row>
    <row r="6" spans="1:8">
      <c r="A6" s="3"/>
      <c r="B6" s="11" t="s">
        <v>9</v>
      </c>
      <c r="C6" s="11">
        <v>0</v>
      </c>
      <c r="D6" s="22">
        <f>+GastosPersonal34[[#This Row],[CANTIDAD]]*100</f>
        <v>0</v>
      </c>
      <c r="F6" s="11" t="s">
        <v>9</v>
      </c>
      <c r="G6" s="11">
        <v>0</v>
      </c>
      <c r="H6" s="22">
        <f>+GastosPersonal34711131517[[#This Row],[CANTIDAD]]*100</f>
        <v>0</v>
      </c>
    </row>
    <row r="7" spans="1:8">
      <c r="A7" s="3"/>
      <c r="B7" s="12" t="s">
        <v>11</v>
      </c>
      <c r="C7" s="12">
        <v>0</v>
      </c>
      <c r="D7" s="22">
        <f>+GastosPersonal34[[#This Row],[CANTIDAD]]*1500</f>
        <v>0</v>
      </c>
      <c r="F7" s="12" t="s">
        <v>11</v>
      </c>
      <c r="G7" s="12">
        <v>0</v>
      </c>
      <c r="H7" s="22">
        <f>+GastosPersonal34711131517[[#This Row],[CANTIDAD]]*1500</f>
        <v>0</v>
      </c>
    </row>
    <row r="8" spans="1:8">
      <c r="A8" s="3"/>
      <c r="B8" s="11" t="s">
        <v>10</v>
      </c>
      <c r="C8" s="11">
        <v>0</v>
      </c>
      <c r="D8" s="22">
        <f>+GastosPersonal34[[#This Row],[CANTIDAD]]*1800</f>
        <v>0</v>
      </c>
      <c r="F8" s="11" t="s">
        <v>10</v>
      </c>
      <c r="G8" s="11">
        <v>0</v>
      </c>
      <c r="H8" s="22">
        <f>+GastosPersonal34711131517[[#This Row],[CANTIDAD]]*1800</f>
        <v>0</v>
      </c>
    </row>
    <row r="9" spans="1:8">
      <c r="A9" s="3"/>
      <c r="B9" s="12" t="s">
        <v>14</v>
      </c>
      <c r="C9" s="18">
        <v>0</v>
      </c>
      <c r="D9" s="22">
        <f>+GastosPersonal34[[#This Row],[CANTIDAD]]*20000</f>
        <v>0</v>
      </c>
      <c r="F9" s="12" t="s">
        <v>14</v>
      </c>
      <c r="G9" s="18">
        <v>0</v>
      </c>
      <c r="H9" s="22">
        <f>+GastosPersonal34711131517[[#This Row],[CANTIDAD]]*20000</f>
        <v>0</v>
      </c>
    </row>
    <row r="10" spans="1:8">
      <c r="A10" s="3"/>
      <c r="B10" s="12" t="s">
        <v>37</v>
      </c>
      <c r="C10" s="18">
        <v>0</v>
      </c>
      <c r="D10" s="22">
        <f>+GastosPersonal34[[#This Row],[CANTIDAD]]*500</f>
        <v>0</v>
      </c>
      <c r="F10" s="12" t="s">
        <v>37</v>
      </c>
      <c r="G10" s="18">
        <v>0</v>
      </c>
      <c r="H10" s="22">
        <f>+GastosPersonal34711131517[[#This Row],[CANTIDAD]]*500</f>
        <v>0</v>
      </c>
    </row>
    <row r="11" spans="1:8">
      <c r="B11" s="9" t="s">
        <v>43</v>
      </c>
      <c r="C11" s="9">
        <f>SUM(C5:C10)</f>
        <v>0</v>
      </c>
      <c r="D11" s="22">
        <f>SUBTOTAL(109,GastosPersonal34[PRECIO])</f>
        <v>0</v>
      </c>
      <c r="F11" s="9" t="s">
        <v>43</v>
      </c>
      <c r="G11" s="9">
        <f>SUM(G5:G10)</f>
        <v>0</v>
      </c>
      <c r="H11" s="22">
        <f>SUBTOTAL(109,GastosPersonal34711131517[PRECIO])</f>
        <v>0</v>
      </c>
    </row>
    <row r="13" spans="1:8" ht="15">
      <c r="B13" s="5" t="s">
        <v>41</v>
      </c>
      <c r="C13" s="5" t="s">
        <v>12</v>
      </c>
      <c r="D13" s="6" t="s">
        <v>42</v>
      </c>
      <c r="F13" s="5" t="s">
        <v>41</v>
      </c>
      <c r="G13" s="5" t="s">
        <v>12</v>
      </c>
      <c r="H13" s="6" t="s">
        <v>42</v>
      </c>
    </row>
    <row r="14" spans="1:8" ht="15">
      <c r="B14" s="20" t="s">
        <v>26</v>
      </c>
      <c r="C14" s="18"/>
      <c r="D14" s="19"/>
      <c r="F14" s="20" t="s">
        <v>32</v>
      </c>
      <c r="G14" s="18"/>
      <c r="H14" s="19"/>
    </row>
    <row r="15" spans="1:8">
      <c r="B15" s="11" t="s">
        <v>9</v>
      </c>
      <c r="C15" s="11">
        <v>0</v>
      </c>
      <c r="D15" s="22">
        <f>+GastosPersonal3410[[#This Row],[CANTIDAD]]*100</f>
        <v>0</v>
      </c>
      <c r="F15" s="11" t="s">
        <v>9</v>
      </c>
      <c r="G15" s="11">
        <v>0</v>
      </c>
      <c r="H15" s="22">
        <f>+GastosPersonal3471113151719[[#This Row],[CANTIDAD]]*100</f>
        <v>0</v>
      </c>
    </row>
    <row r="16" spans="1:8">
      <c r="B16" s="12" t="s">
        <v>11</v>
      </c>
      <c r="C16" s="12">
        <v>0</v>
      </c>
      <c r="D16" s="22">
        <f>+GastosPersonal3410[[#This Row],[CANTIDAD]]*1500</f>
        <v>0</v>
      </c>
      <c r="F16" s="12" t="s">
        <v>11</v>
      </c>
      <c r="G16" s="12">
        <v>0</v>
      </c>
      <c r="H16" s="22">
        <f>+GastosPersonal3471113151719[[#This Row],[CANTIDAD]]*1500</f>
        <v>0</v>
      </c>
    </row>
    <row r="17" spans="2:8">
      <c r="B17" s="11" t="s">
        <v>10</v>
      </c>
      <c r="C17" s="11">
        <v>0</v>
      </c>
      <c r="D17" s="22">
        <f>+GastosPersonal3410[[#This Row],[CANTIDAD]]*1800</f>
        <v>0</v>
      </c>
      <c r="F17" s="11" t="s">
        <v>10</v>
      </c>
      <c r="G17" s="11">
        <v>0</v>
      </c>
      <c r="H17" s="22">
        <f>+GastosPersonal3471113151719[[#This Row],[CANTIDAD]]*1800</f>
        <v>0</v>
      </c>
    </row>
    <row r="18" spans="2:8">
      <c r="B18" s="12" t="s">
        <v>14</v>
      </c>
      <c r="C18" s="18">
        <v>0</v>
      </c>
      <c r="D18" s="22">
        <f>+GastosPersonal3410[[#This Row],[CANTIDAD]]*20000</f>
        <v>0</v>
      </c>
      <c r="F18" s="12" t="s">
        <v>14</v>
      </c>
      <c r="G18" s="18">
        <v>0</v>
      </c>
      <c r="H18" s="22">
        <f>+GastosPersonal3471113151719[[#This Row],[CANTIDAD]]*20000</f>
        <v>0</v>
      </c>
    </row>
    <row r="19" spans="2:8">
      <c r="B19" s="12" t="s">
        <v>37</v>
      </c>
      <c r="C19" s="18">
        <v>0</v>
      </c>
      <c r="D19" s="22">
        <f>+GastosPersonal3410[[#This Row],[CANTIDAD]]*500</f>
        <v>0</v>
      </c>
      <c r="F19" s="12" t="s">
        <v>37</v>
      </c>
      <c r="G19" s="18">
        <v>0</v>
      </c>
      <c r="H19" s="22">
        <f>+GastosPersonal3471113151719[[#This Row],[CANTIDAD]]*500</f>
        <v>0</v>
      </c>
    </row>
    <row r="20" spans="2:8">
      <c r="B20" s="9" t="s">
        <v>43</v>
      </c>
      <c r="C20" s="9">
        <f>SUM(C14:C19)</f>
        <v>0</v>
      </c>
      <c r="D20" s="22">
        <f>SUBTOTAL(109,GastosPersonal3410[PRECIO])</f>
        <v>0</v>
      </c>
      <c r="F20" s="9" t="s">
        <v>43</v>
      </c>
      <c r="G20" s="9">
        <f>SUM(G14:G19)</f>
        <v>0</v>
      </c>
      <c r="H20" s="22">
        <f>SUBTOTAL(109,GastosPersonal3471113151719[PRECIO])</f>
        <v>0</v>
      </c>
    </row>
    <row r="22" spans="2:8" ht="15">
      <c r="B22" s="5" t="s">
        <v>41</v>
      </c>
      <c r="C22" s="5" t="s">
        <v>12</v>
      </c>
      <c r="D22" s="6" t="s">
        <v>42</v>
      </c>
      <c r="F22" s="5" t="s">
        <v>41</v>
      </c>
      <c r="G22" s="5" t="s">
        <v>12</v>
      </c>
      <c r="H22" s="6" t="s">
        <v>42</v>
      </c>
    </row>
    <row r="23" spans="2:8" ht="15">
      <c r="B23" s="20" t="s">
        <v>27</v>
      </c>
      <c r="C23" s="18"/>
      <c r="D23" s="19"/>
      <c r="F23" s="20" t="s">
        <v>33</v>
      </c>
      <c r="G23" s="18"/>
      <c r="H23" s="19"/>
    </row>
    <row r="24" spans="2:8">
      <c r="B24" s="11" t="s">
        <v>9</v>
      </c>
      <c r="C24" s="11">
        <v>0</v>
      </c>
      <c r="D24" s="22">
        <f>+GastosPersonal347[[#This Row],[CANTIDAD]]*100</f>
        <v>0</v>
      </c>
      <c r="F24" s="11" t="s">
        <v>9</v>
      </c>
      <c r="G24" s="11">
        <v>0</v>
      </c>
      <c r="H24" s="22">
        <f>+GastosPersonal347111315171921[[#This Row],[CANTIDAD]]*100</f>
        <v>0</v>
      </c>
    </row>
    <row r="25" spans="2:8">
      <c r="B25" s="12" t="s">
        <v>11</v>
      </c>
      <c r="C25" s="12">
        <v>0</v>
      </c>
      <c r="D25" s="22">
        <f>+GastosPersonal347[[#This Row],[CANTIDAD]]*1500</f>
        <v>0</v>
      </c>
      <c r="F25" s="12" t="s">
        <v>11</v>
      </c>
      <c r="G25" s="12">
        <v>0</v>
      </c>
      <c r="H25" s="22">
        <f>+GastosPersonal347111315171921[[#This Row],[CANTIDAD]]*1500</f>
        <v>0</v>
      </c>
    </row>
    <row r="26" spans="2:8">
      <c r="B26" s="11" t="s">
        <v>10</v>
      </c>
      <c r="C26" s="11">
        <v>0</v>
      </c>
      <c r="D26" s="22">
        <f>+GastosPersonal347[[#This Row],[CANTIDAD]]*1800</f>
        <v>0</v>
      </c>
      <c r="F26" s="11" t="s">
        <v>10</v>
      </c>
      <c r="G26" s="11">
        <v>0</v>
      </c>
      <c r="H26" s="22">
        <f>+GastosPersonal347111315171921[[#This Row],[CANTIDAD]]*1800</f>
        <v>0</v>
      </c>
    </row>
    <row r="27" spans="2:8">
      <c r="B27" s="12" t="s">
        <v>14</v>
      </c>
      <c r="C27" s="18">
        <v>0</v>
      </c>
      <c r="D27" s="22">
        <f>+GastosPersonal347[[#This Row],[CANTIDAD]]*20000</f>
        <v>0</v>
      </c>
      <c r="F27" s="12" t="s">
        <v>14</v>
      </c>
      <c r="G27" s="18">
        <v>0</v>
      </c>
      <c r="H27" s="22">
        <f>+GastosPersonal347111315171921[[#This Row],[CANTIDAD]]*20000</f>
        <v>0</v>
      </c>
    </row>
    <row r="28" spans="2:8">
      <c r="B28" s="12" t="s">
        <v>37</v>
      </c>
      <c r="C28" s="18">
        <v>0</v>
      </c>
      <c r="D28" s="22">
        <f>+GastosPersonal347[[#This Row],[CANTIDAD]]*500</f>
        <v>0</v>
      </c>
      <c r="F28" s="12" t="s">
        <v>37</v>
      </c>
      <c r="G28" s="18">
        <v>0</v>
      </c>
      <c r="H28" s="22">
        <f>+GastosPersonal347111315171921[[#This Row],[CANTIDAD]]*500</f>
        <v>0</v>
      </c>
    </row>
    <row r="29" spans="2:8">
      <c r="B29" s="9" t="s">
        <v>43</v>
      </c>
      <c r="C29" s="9">
        <f>SUM(C23:C28)</f>
        <v>0</v>
      </c>
      <c r="D29" s="22">
        <f>SUBTOTAL(109,GastosPersonal347[PRECIO])</f>
        <v>0</v>
      </c>
      <c r="F29" s="9" t="s">
        <v>43</v>
      </c>
      <c r="G29" s="9">
        <f>SUM(G23:G28)</f>
        <v>0</v>
      </c>
      <c r="H29" s="22">
        <f>SUBTOTAL(109,GastosPersonal347111315171921[PRECIO])</f>
        <v>0</v>
      </c>
    </row>
    <row r="31" spans="2:8" ht="15">
      <c r="B31" s="5" t="s">
        <v>41</v>
      </c>
      <c r="C31" s="5" t="s">
        <v>12</v>
      </c>
      <c r="D31" s="6" t="s">
        <v>42</v>
      </c>
      <c r="F31" s="5" t="s">
        <v>41</v>
      </c>
      <c r="G31" s="5" t="s">
        <v>12</v>
      </c>
      <c r="H31" s="6" t="s">
        <v>42</v>
      </c>
    </row>
    <row r="32" spans="2:8" ht="15">
      <c r="B32" s="20" t="s">
        <v>28</v>
      </c>
      <c r="C32" s="18"/>
      <c r="D32" s="19"/>
      <c r="F32" s="20" t="s">
        <v>34</v>
      </c>
      <c r="G32" s="18"/>
      <c r="H32" s="19"/>
    </row>
    <row r="33" spans="2:8">
      <c r="B33" s="11" t="s">
        <v>9</v>
      </c>
      <c r="C33" s="11">
        <v>0</v>
      </c>
      <c r="D33" s="22">
        <f>+GastosPersonal34711[[#This Row],[CANTIDAD]]*100</f>
        <v>0</v>
      </c>
      <c r="F33" s="11" t="s">
        <v>9</v>
      </c>
      <c r="G33" s="11">
        <v>0</v>
      </c>
      <c r="H33" s="22">
        <f>+GastosPersonal34711131517192122[[#This Row],[CANTIDAD]]*100</f>
        <v>0</v>
      </c>
    </row>
    <row r="34" spans="2:8">
      <c r="B34" s="12" t="s">
        <v>11</v>
      </c>
      <c r="C34" s="12">
        <v>2</v>
      </c>
      <c r="D34" s="22">
        <f>+GastosPersonal34711[[#This Row],[CANTIDAD]]*1500</f>
        <v>3000</v>
      </c>
      <c r="F34" s="12" t="s">
        <v>11</v>
      </c>
      <c r="G34" s="12">
        <v>0</v>
      </c>
      <c r="H34" s="22">
        <f>+GastosPersonal34711131517192122[[#This Row],[CANTIDAD]]*1500</f>
        <v>0</v>
      </c>
    </row>
    <row r="35" spans="2:8">
      <c r="B35" s="11" t="s">
        <v>10</v>
      </c>
      <c r="C35" s="11">
        <v>1</v>
      </c>
      <c r="D35" s="22">
        <f>+GastosPersonal34711[[#This Row],[CANTIDAD]]*1800</f>
        <v>1800</v>
      </c>
      <c r="F35" s="11" t="s">
        <v>10</v>
      </c>
      <c r="G35" s="11">
        <v>0</v>
      </c>
      <c r="H35" s="22">
        <f>+GastosPersonal34711131517192122[[#This Row],[CANTIDAD]]*1800</f>
        <v>0</v>
      </c>
    </row>
    <row r="36" spans="2:8">
      <c r="B36" s="12" t="s">
        <v>14</v>
      </c>
      <c r="C36" s="18">
        <v>1</v>
      </c>
      <c r="D36" s="22">
        <f>+GastosPersonal34711[[#This Row],[CANTIDAD]]*20000</f>
        <v>20000</v>
      </c>
      <c r="F36" s="12" t="s">
        <v>14</v>
      </c>
      <c r="G36" s="18">
        <v>0</v>
      </c>
      <c r="H36" s="22">
        <f>+GastosPersonal34711131517192122[[#This Row],[CANTIDAD]]*20000</f>
        <v>0</v>
      </c>
    </row>
    <row r="37" spans="2:8">
      <c r="B37" s="12" t="s">
        <v>37</v>
      </c>
      <c r="C37" s="18">
        <v>0</v>
      </c>
      <c r="D37" s="22">
        <f>+GastosPersonal34711[[#This Row],[CANTIDAD]]*500</f>
        <v>0</v>
      </c>
      <c r="F37" s="12" t="s">
        <v>37</v>
      </c>
      <c r="G37" s="18">
        <v>0</v>
      </c>
      <c r="H37" s="22">
        <f>+GastosPersonal34711131517192122[[#This Row],[CANTIDAD]]*500</f>
        <v>0</v>
      </c>
    </row>
    <row r="38" spans="2:8">
      <c r="B38" s="9" t="s">
        <v>43</v>
      </c>
      <c r="C38" s="9">
        <f>SUM(C32:C37)</f>
        <v>4</v>
      </c>
      <c r="D38" s="22">
        <f>SUBTOTAL(109,GastosPersonal34711[PRECIO])</f>
        <v>24800</v>
      </c>
      <c r="F38" s="9" t="s">
        <v>43</v>
      </c>
      <c r="G38" s="9">
        <f>SUM(G32:G37)</f>
        <v>0</v>
      </c>
      <c r="H38" s="22">
        <f>SUBTOTAL(109,GastosPersonal34711131517192122[PRECIO])</f>
        <v>0</v>
      </c>
    </row>
    <row r="40" spans="2:8" ht="15">
      <c r="B40" s="5" t="s">
        <v>41</v>
      </c>
      <c r="C40" s="5" t="s">
        <v>12</v>
      </c>
      <c r="D40" s="6" t="s">
        <v>42</v>
      </c>
      <c r="F40" s="5" t="s">
        <v>41</v>
      </c>
      <c r="G40" s="5" t="s">
        <v>12</v>
      </c>
      <c r="H40" s="6" t="s">
        <v>42</v>
      </c>
    </row>
    <row r="41" spans="2:8" ht="15">
      <c r="B41" s="20" t="s">
        <v>29</v>
      </c>
      <c r="C41" s="18"/>
      <c r="D41" s="19"/>
      <c r="F41" s="20" t="s">
        <v>35</v>
      </c>
      <c r="G41" s="18"/>
      <c r="H41" s="19"/>
    </row>
    <row r="42" spans="2:8">
      <c r="B42" s="11" t="s">
        <v>9</v>
      </c>
      <c r="C42" s="11">
        <v>1</v>
      </c>
      <c r="D42" s="22">
        <f>+GastosPersonal3471113[[#This Row],[CANTIDAD]]*100</f>
        <v>100</v>
      </c>
      <c r="F42" s="11" t="s">
        <v>9</v>
      </c>
      <c r="G42" s="11">
        <v>5</v>
      </c>
      <c r="H42" s="22">
        <f>+GastosPersonal34711131517192123[[#This Row],[CANTIDAD]]*100</f>
        <v>500</v>
      </c>
    </row>
    <row r="43" spans="2:8">
      <c r="B43" s="12" t="s">
        <v>11</v>
      </c>
      <c r="C43" s="12">
        <v>1</v>
      </c>
      <c r="D43" s="22">
        <f>+GastosPersonal3471113[[#This Row],[CANTIDAD]]*1500</f>
        <v>1500</v>
      </c>
      <c r="F43" s="12" t="s">
        <v>11</v>
      </c>
      <c r="G43" s="12">
        <v>3</v>
      </c>
      <c r="H43" s="22">
        <f>+GastosPersonal34711131517192123[[#This Row],[CANTIDAD]]*1500</f>
        <v>4500</v>
      </c>
    </row>
    <row r="44" spans="2:8">
      <c r="B44" s="11" t="s">
        <v>10</v>
      </c>
      <c r="C44" s="11">
        <v>2</v>
      </c>
      <c r="D44" s="22">
        <f>+GastosPersonal3471113[[#This Row],[CANTIDAD]]*1800</f>
        <v>3600</v>
      </c>
      <c r="F44" s="11" t="s">
        <v>10</v>
      </c>
      <c r="G44" s="11">
        <v>4</v>
      </c>
      <c r="H44" s="22">
        <f>+GastosPersonal34711131517192123[[#This Row],[CANTIDAD]]*1800</f>
        <v>7200</v>
      </c>
    </row>
    <row r="45" spans="2:8">
      <c r="B45" s="12" t="s">
        <v>14</v>
      </c>
      <c r="C45" s="18">
        <v>2</v>
      </c>
      <c r="D45" s="22">
        <f>+GastosPersonal3471113[[#This Row],[CANTIDAD]]*20000</f>
        <v>40000</v>
      </c>
      <c r="F45" s="12" t="s">
        <v>14</v>
      </c>
      <c r="G45" s="18">
        <v>3</v>
      </c>
      <c r="H45" s="22">
        <f>+GastosPersonal34711131517192123[[#This Row],[CANTIDAD]]*20000</f>
        <v>60000</v>
      </c>
    </row>
    <row r="46" spans="2:8">
      <c r="B46" s="12" t="s">
        <v>37</v>
      </c>
      <c r="C46" s="18">
        <v>1</v>
      </c>
      <c r="D46" s="22">
        <f>+GastosPersonal3471113[[#This Row],[CANTIDAD]]*500</f>
        <v>500</v>
      </c>
      <c r="F46" s="12" t="s">
        <v>37</v>
      </c>
      <c r="G46" s="18">
        <v>10</v>
      </c>
      <c r="H46" s="22">
        <f>+GastosPersonal34711131517192123[[#This Row],[CANTIDAD]]*500</f>
        <v>5000</v>
      </c>
    </row>
    <row r="47" spans="2:8">
      <c r="B47" s="9" t="s">
        <v>43</v>
      </c>
      <c r="C47" s="9">
        <f>SUM(C41:C46)</f>
        <v>7</v>
      </c>
      <c r="D47" s="22">
        <f>SUBTOTAL(109,GastosPersonal3471113[PRECIO])</f>
        <v>45700</v>
      </c>
      <c r="F47" s="9" t="s">
        <v>43</v>
      </c>
      <c r="G47" s="9">
        <f>SUM(G41:G46)</f>
        <v>25</v>
      </c>
      <c r="H47" s="22">
        <f>SUBTOTAL(109,GastosPersonal34711131517192123[PRECIO])</f>
        <v>77200</v>
      </c>
    </row>
    <row r="49" spans="2:8" ht="15">
      <c r="B49" s="5" t="s">
        <v>41</v>
      </c>
      <c r="C49" s="5" t="s">
        <v>12</v>
      </c>
      <c r="D49" s="6" t="s">
        <v>42</v>
      </c>
      <c r="F49" s="5" t="s">
        <v>41</v>
      </c>
      <c r="G49" s="5" t="s">
        <v>12</v>
      </c>
      <c r="H49" s="6" t="s">
        <v>42</v>
      </c>
    </row>
    <row r="50" spans="2:8" ht="15">
      <c r="B50" s="20" t="s">
        <v>30</v>
      </c>
      <c r="C50" s="18"/>
      <c r="D50" s="19"/>
      <c r="F50" s="20" t="s">
        <v>36</v>
      </c>
      <c r="G50" s="18"/>
      <c r="H50" s="19"/>
    </row>
    <row r="51" spans="2:8">
      <c r="B51" s="11" t="s">
        <v>9</v>
      </c>
      <c r="C51" s="11">
        <v>0</v>
      </c>
      <c r="D51" s="22">
        <f>+GastosPersonal347111315[[#This Row],[CANTIDAD]]*100</f>
        <v>0</v>
      </c>
      <c r="F51" s="11" t="s">
        <v>9</v>
      </c>
      <c r="G51" s="11">
        <v>1</v>
      </c>
      <c r="H51" s="22">
        <f>+GastosPersonal3471113151719212324[[#This Row],[CANTIDAD]]*100</f>
        <v>100</v>
      </c>
    </row>
    <row r="52" spans="2:8">
      <c r="B52" s="12" t="s">
        <v>11</v>
      </c>
      <c r="C52" s="12">
        <v>0</v>
      </c>
      <c r="D52" s="22">
        <f>+GastosPersonal347111315[[#This Row],[CANTIDAD]]*1500</f>
        <v>0</v>
      </c>
      <c r="F52" s="12" t="s">
        <v>11</v>
      </c>
      <c r="G52" s="12">
        <v>4</v>
      </c>
      <c r="H52" s="22">
        <f>+GastosPersonal3471113151719212324[[#This Row],[CANTIDAD]]*1500</f>
        <v>6000</v>
      </c>
    </row>
    <row r="53" spans="2:8">
      <c r="B53" s="11" t="s">
        <v>10</v>
      </c>
      <c r="C53" s="11">
        <v>0</v>
      </c>
      <c r="D53" s="22">
        <f>+GastosPersonal347111315[[#This Row],[CANTIDAD]]*1800</f>
        <v>0</v>
      </c>
      <c r="F53" s="11" t="s">
        <v>10</v>
      </c>
      <c r="G53" s="11">
        <v>4</v>
      </c>
      <c r="H53" s="22">
        <f>+GastosPersonal3471113151719212324[[#This Row],[CANTIDAD]]*1800</f>
        <v>7200</v>
      </c>
    </row>
    <row r="54" spans="2:8">
      <c r="B54" s="12" t="s">
        <v>14</v>
      </c>
      <c r="C54" s="18">
        <v>0</v>
      </c>
      <c r="D54" s="22">
        <f>+GastosPersonal347111315[[#This Row],[CANTIDAD]]*20000</f>
        <v>0</v>
      </c>
      <c r="F54" s="12" t="s">
        <v>14</v>
      </c>
      <c r="G54" s="18">
        <v>2</v>
      </c>
      <c r="H54" s="22">
        <f>+GastosPersonal3471113151719212324[[#This Row],[CANTIDAD]]*20000</f>
        <v>40000</v>
      </c>
    </row>
    <row r="55" spans="2:8">
      <c r="B55" s="12" t="s">
        <v>37</v>
      </c>
      <c r="C55" s="18">
        <v>0</v>
      </c>
      <c r="D55" s="22">
        <f>+GastosPersonal347111315[[#This Row],[CANTIDAD]]*500</f>
        <v>0</v>
      </c>
      <c r="F55" s="12" t="s">
        <v>37</v>
      </c>
      <c r="G55" s="18">
        <v>5</v>
      </c>
      <c r="H55" s="22">
        <f>+GastosPersonal3471113151719212324[[#This Row],[CANTIDAD]]*500</f>
        <v>2500</v>
      </c>
    </row>
    <row r="56" spans="2:8">
      <c r="B56" s="9" t="s">
        <v>43</v>
      </c>
      <c r="C56" s="9">
        <f>SUM(C50:C55)</f>
        <v>0</v>
      </c>
      <c r="D56" s="22">
        <f>SUBTOTAL(109,GastosPersonal347111315[PRECIO])</f>
        <v>0</v>
      </c>
      <c r="F56" s="9" t="s">
        <v>43</v>
      </c>
      <c r="G56" s="9">
        <f>SUM(G50:G55)</f>
        <v>16</v>
      </c>
      <c r="H56" s="22">
        <f>SUBTOTAL(109,GastosPersonal3471113151719212324[PRECIO])</f>
        <v>55800</v>
      </c>
    </row>
    <row r="58" spans="2:8">
      <c r="B58" s="51" t="s">
        <v>48</v>
      </c>
      <c r="C58" s="52">
        <f>+(3000000/12)</f>
        <v>250000</v>
      </c>
      <c r="D58" s="49"/>
    </row>
    <row r="59" spans="2:8">
      <c r="B59" s="49" t="s">
        <v>49</v>
      </c>
      <c r="C59" s="52">
        <f>+(250000*12)</f>
        <v>3000000</v>
      </c>
      <c r="D59" s="49"/>
    </row>
  </sheetData>
  <mergeCells count="3">
    <mergeCell ref="A1:A2"/>
    <mergeCell ref="B1:D1"/>
    <mergeCell ref="B2:E2"/>
  </mergeCells>
  <dataValidations count="6">
    <dataValidation allowBlank="1" showInputMessage="1" showErrorMessage="1" prompt="Escriba los gastos de personal en esta columna, debajo de este encabezado. Use los filtros del encabezado para buscar entradas específicas" sqref="B4:C5 B13:C14 F4:G5 B49:C50 F40:G41 F13:G14 B22:C23 F22:G23 B31:C32 F31:G32 B40:C41 F49:G50"/>
    <dataValidation allowBlank="1" showInputMessage="1" showErrorMessage="1" prompt="Escriba el importe real en esta columna, debajo de este encabezado" sqref="D4:D5 D13:D14 H4:H5 D49:D50 H40:H41 H13:H14 D22:D23 H22:H23 D31:D32 H31:H32 D40:D41 H49:H50"/>
    <dataValidation allowBlank="1" showInputMessage="1" showErrorMessage="1" prompt="Cree un presupuesto mensual para la empresa en este libro. La información general está en esta hoja de cálculo. Escriba los detalles de ingresos en Ingresos mensuales y Gastos de personal y Gastos operativos en las hojas de cálculo correspondientes" sqref="A1"/>
    <dataValidation allowBlank="1" showInputMessage="1" showErrorMessage="1" prompt="Escriba el nombre de la empresa en esta celda" sqref="B1:C1"/>
    <dataValidation allowBlank="1" showInputMessage="1" showErrorMessage="1" prompt="El título de esta hoja de cálculo se encuentra en esta celda. Escriba la fecha en la celda F1. Los totales del presupuesto se calculan automáticamente en la tabla Totales que comienza en la celda B4" sqref="B2:E2"/>
    <dataValidation allowBlank="1" showInputMessage="1" showErrorMessage="1" prompt="Escriba la fecha en esta celda" sqref="F1"/>
  </dataValidations>
  <pageMargins left="0.7" right="0.7" top="0.75" bottom="0.75" header="0.3" footer="0.3"/>
  <pageSetup orientation="portrait"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C9" sqref="C9"/>
    </sheetView>
  </sheetViews>
  <sheetFormatPr baseColWidth="10" defaultRowHeight="14.25"/>
  <cols>
    <col min="1" max="1" width="4.625" customWidth="1"/>
    <col min="2" max="2" width="29.125" bestFit="1" customWidth="1"/>
    <col min="3" max="3" width="13.875" bestFit="1" customWidth="1"/>
    <col min="4" max="4" width="20.375" customWidth="1"/>
    <col min="5" max="5" width="13.75" bestFit="1" customWidth="1"/>
  </cols>
  <sheetData>
    <row r="1" spans="1:5" ht="18.75">
      <c r="A1" s="53"/>
      <c r="B1" s="54" t="s">
        <v>7</v>
      </c>
      <c r="C1" s="54"/>
      <c r="D1" s="2"/>
      <c r="E1" s="8" t="s">
        <v>2</v>
      </c>
    </row>
    <row r="2" spans="1:5" ht="25.5">
      <c r="A2" s="53"/>
      <c r="B2" s="55" t="s">
        <v>13</v>
      </c>
      <c r="C2" s="55"/>
      <c r="D2" s="55"/>
      <c r="E2" s="1"/>
    </row>
    <row r="3" spans="1:5">
      <c r="A3" s="3"/>
      <c r="B3" s="3"/>
      <c r="C3" s="3"/>
      <c r="D3" s="3"/>
      <c r="E3" s="3"/>
    </row>
    <row r="4" spans="1:5" ht="15">
      <c r="A4" s="4"/>
      <c r="B4" s="5" t="s">
        <v>8</v>
      </c>
      <c r="C4" s="6" t="s">
        <v>1</v>
      </c>
    </row>
    <row r="5" spans="1:5">
      <c r="A5" s="3"/>
      <c r="B5" s="7" t="s">
        <v>3</v>
      </c>
      <c r="C5" s="10">
        <f>SUM(3000000*12)</f>
        <v>36000000</v>
      </c>
    </row>
    <row r="6" spans="1:5">
      <c r="A6" s="3"/>
      <c r="B6" s="7" t="s">
        <v>4</v>
      </c>
      <c r="C6" s="10">
        <f>SUM(85700*4*12)</f>
        <v>4113600</v>
      </c>
    </row>
    <row r="7" spans="1:5">
      <c r="A7" s="3"/>
      <c r="B7" s="7" t="s">
        <v>5</v>
      </c>
      <c r="C7" s="10">
        <f>SUM(1000*12)</f>
        <v>12000</v>
      </c>
    </row>
    <row r="8" spans="1:5">
      <c r="B8" s="9" t="s">
        <v>6</v>
      </c>
      <c r="C8" s="10">
        <f>SUBTOTAL(109,GastosPersonal35[ESTIMADO])</f>
        <v>40125600</v>
      </c>
    </row>
    <row r="9" spans="1:5">
      <c r="B9" s="50" t="s">
        <v>47</v>
      </c>
      <c r="C9" s="48">
        <f>+(C5/12/4)</f>
        <v>750000</v>
      </c>
    </row>
  </sheetData>
  <mergeCells count="3">
    <mergeCell ref="A1:A2"/>
    <mergeCell ref="B1:C1"/>
    <mergeCell ref="B2:D2"/>
  </mergeCells>
  <dataValidations count="6">
    <dataValidation allowBlank="1" showInputMessage="1" showErrorMessage="1" prompt="Escriba los gastos de personal en esta columna, debajo de este encabezado. Use los filtros del encabezado para buscar entradas específicas" sqref="B4"/>
    <dataValidation allowBlank="1" showInputMessage="1" showErrorMessage="1" prompt="Escriba el importe estimado en esta columna, debajo de este encabezado" sqref="C4"/>
    <dataValidation allowBlank="1" showInputMessage="1" showErrorMessage="1" prompt="Cree un presupuesto mensual para la empresa en este libro. La información general está en esta hoja de cálculo. Escriba los detalles de ingresos en Ingresos mensuales y Gastos de personal y Gastos operativos en las hojas de cálculo correspondientes" sqref="A1"/>
    <dataValidation allowBlank="1" showInputMessage="1" showErrorMessage="1" prompt="Escriba el nombre de la empresa en esta celda" sqref="B1"/>
    <dataValidation allowBlank="1" showInputMessage="1" showErrorMessage="1" prompt="El título de esta hoja de cálculo se encuentra en esta celda. Escriba la fecha en la celda F1. Los totales del presupuesto se calculan automáticamente en la tabla Totales que comienza en la celda B4" sqref="B2:D2"/>
    <dataValidation allowBlank="1" showInputMessage="1" showErrorMessage="1" prompt="Escriba la fecha en esta celda" sqref="E1"/>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topLeftCell="A7" workbookViewId="0">
      <selection activeCell="H19" sqref="H19"/>
    </sheetView>
  </sheetViews>
  <sheetFormatPr baseColWidth="10" defaultRowHeight="14.25"/>
  <cols>
    <col min="1" max="1" width="3.375" customWidth="1"/>
    <col min="2" max="2" width="26.375" bestFit="1" customWidth="1"/>
    <col min="3" max="3" width="14.625" bestFit="1" customWidth="1"/>
    <col min="4" max="4" width="15.5" customWidth="1"/>
    <col min="5" max="5" width="13.5" bestFit="1" customWidth="1"/>
    <col min="6" max="7" width="26.375" bestFit="1" customWidth="1"/>
    <col min="8" max="8" width="29.25" style="13" bestFit="1" customWidth="1"/>
    <col min="9" max="9" width="16" bestFit="1" customWidth="1"/>
    <col min="10" max="10" width="13" bestFit="1" customWidth="1"/>
    <col min="11" max="11" width="13.75" bestFit="1" customWidth="1"/>
  </cols>
  <sheetData>
    <row r="1" spans="1:15" ht="18.75" customHeight="1">
      <c r="A1" s="53"/>
      <c r="B1" s="56" t="s">
        <v>7</v>
      </c>
      <c r="C1" s="56"/>
      <c r="D1" s="15"/>
      <c r="E1" s="16"/>
      <c r="F1" s="14"/>
      <c r="G1" s="31" t="s">
        <v>2</v>
      </c>
      <c r="H1"/>
    </row>
    <row r="2" spans="1:15" ht="20.25" customHeight="1">
      <c r="A2" s="53"/>
      <c r="B2" s="57" t="s">
        <v>17</v>
      </c>
      <c r="C2" s="57"/>
      <c r="D2" s="57"/>
      <c r="E2" s="57"/>
      <c r="F2" s="14"/>
      <c r="G2" s="32"/>
      <c r="H2"/>
    </row>
    <row r="3" spans="1:15">
      <c r="A3" s="3"/>
      <c r="B3" s="27" t="s">
        <v>18</v>
      </c>
      <c r="C3" s="27" t="s">
        <v>19</v>
      </c>
      <c r="D3" s="27"/>
      <c r="E3" s="27"/>
      <c r="F3" s="27" t="s">
        <v>18</v>
      </c>
      <c r="G3" s="27" t="s">
        <v>22</v>
      </c>
      <c r="H3"/>
    </row>
    <row r="4" spans="1:15" ht="15">
      <c r="A4" s="4"/>
      <c r="B4" s="5" t="s">
        <v>8</v>
      </c>
      <c r="C4" s="6" t="s">
        <v>44</v>
      </c>
      <c r="D4" s="6"/>
      <c r="E4" s="28"/>
      <c r="F4" s="5" t="s">
        <v>8</v>
      </c>
      <c r="G4" s="6" t="s">
        <v>44</v>
      </c>
      <c r="H4"/>
    </row>
    <row r="5" spans="1:15" ht="30" customHeight="1">
      <c r="A5" s="3"/>
      <c r="B5" s="20" t="s">
        <v>51</v>
      </c>
      <c r="C5" s="23" t="s">
        <v>53</v>
      </c>
      <c r="D5" s="22"/>
      <c r="E5" s="29"/>
      <c r="F5" s="20" t="s">
        <v>51</v>
      </c>
      <c r="G5" s="73" t="s">
        <v>54</v>
      </c>
      <c r="H5"/>
    </row>
    <row r="6" spans="1:15" ht="42.75">
      <c r="A6" s="3"/>
      <c r="B6" s="20" t="s">
        <v>56</v>
      </c>
      <c r="C6" s="23" t="s">
        <v>57</v>
      </c>
      <c r="D6" s="22"/>
      <c r="E6" s="29"/>
      <c r="F6" s="20" t="s">
        <v>56</v>
      </c>
      <c r="G6" s="73" t="s">
        <v>59</v>
      </c>
      <c r="H6"/>
    </row>
    <row r="7" spans="1:15">
      <c r="A7" s="3"/>
      <c r="B7" s="11" t="s">
        <v>20</v>
      </c>
      <c r="C7" s="22">
        <v>1555000</v>
      </c>
      <c r="D7" s="23"/>
      <c r="E7" s="30"/>
      <c r="F7" s="11" t="s">
        <v>20</v>
      </c>
      <c r="G7" s="24">
        <v>1500000</v>
      </c>
      <c r="H7"/>
    </row>
    <row r="8" spans="1:15">
      <c r="A8" s="3"/>
      <c r="B8" s="7" t="s">
        <v>4</v>
      </c>
      <c r="C8" s="22">
        <v>84500</v>
      </c>
      <c r="D8" s="23"/>
      <c r="E8" s="30"/>
      <c r="F8" s="7" t="s">
        <v>4</v>
      </c>
      <c r="G8" s="24">
        <v>84500</v>
      </c>
      <c r="H8"/>
    </row>
    <row r="9" spans="1:15">
      <c r="A9" s="3"/>
      <c r="B9" s="12" t="s">
        <v>14</v>
      </c>
      <c r="C9" s="23">
        <v>160000</v>
      </c>
      <c r="D9" s="23"/>
      <c r="E9" s="30"/>
      <c r="F9" s="12" t="s">
        <v>14</v>
      </c>
      <c r="G9" s="25">
        <v>160000</v>
      </c>
      <c r="H9"/>
    </row>
    <row r="10" spans="1:15">
      <c r="A10" s="3"/>
      <c r="B10" s="12" t="s">
        <v>15</v>
      </c>
      <c r="C10" s="23">
        <v>150000</v>
      </c>
      <c r="D10" s="22"/>
      <c r="E10" s="29"/>
      <c r="F10" s="12" t="s">
        <v>15</v>
      </c>
      <c r="G10" s="25">
        <v>150000</v>
      </c>
      <c r="H10"/>
    </row>
    <row r="11" spans="1:15">
      <c r="B11" s="12" t="s">
        <v>16</v>
      </c>
      <c r="C11" s="23">
        <v>200000</v>
      </c>
      <c r="D11" s="22"/>
      <c r="E11" s="29"/>
      <c r="F11" s="12" t="s">
        <v>16</v>
      </c>
      <c r="G11" s="25">
        <v>200000</v>
      </c>
      <c r="H11" s="26"/>
    </row>
    <row r="12" spans="1:15">
      <c r="B12" s="7" t="s">
        <v>5</v>
      </c>
      <c r="C12" s="22">
        <v>0</v>
      </c>
      <c r="D12" s="22"/>
      <c r="E12" s="13"/>
      <c r="F12" s="7" t="s">
        <v>5</v>
      </c>
      <c r="G12" s="24">
        <v>0</v>
      </c>
      <c r="H12" s="26"/>
      <c r="I12" s="26"/>
      <c r="J12" s="26"/>
      <c r="K12" s="26"/>
      <c r="L12" s="26"/>
      <c r="M12" s="26"/>
      <c r="N12" s="26"/>
      <c r="O12" s="26"/>
    </row>
    <row r="13" spans="1:15">
      <c r="A13" s="37"/>
      <c r="B13" s="42"/>
      <c r="C13" s="41"/>
      <c r="D13" s="37"/>
      <c r="E13" s="39"/>
      <c r="F13" s="42"/>
      <c r="G13" s="72"/>
      <c r="H13"/>
      <c r="I13" s="26"/>
      <c r="J13" s="26"/>
      <c r="K13" s="26"/>
      <c r="L13" s="26"/>
      <c r="M13" s="26"/>
      <c r="N13" s="26"/>
      <c r="O13" s="26"/>
    </row>
    <row r="14" spans="1:15" ht="15">
      <c r="B14" s="35" t="s">
        <v>45</v>
      </c>
      <c r="C14" s="36">
        <f>SUM(C7/4)</f>
        <v>388750</v>
      </c>
      <c r="D14" s="6"/>
      <c r="E14" s="28"/>
      <c r="F14" s="35" t="s">
        <v>45</v>
      </c>
      <c r="G14" s="36">
        <f>SUM(G7/4)</f>
        <v>375000</v>
      </c>
      <c r="H14"/>
    </row>
    <row r="15" spans="1:15">
      <c r="B15" s="37"/>
      <c r="C15" s="37"/>
      <c r="D15" s="22"/>
      <c r="E15" s="29"/>
      <c r="F15" s="37"/>
      <c r="G15" s="38"/>
      <c r="H15"/>
    </row>
    <row r="16" spans="1:15">
      <c r="B16" s="3" t="s">
        <v>18</v>
      </c>
      <c r="C16" s="3" t="s">
        <v>21</v>
      </c>
      <c r="D16" s="22"/>
      <c r="E16" s="29"/>
      <c r="F16" s="3" t="s">
        <v>18</v>
      </c>
      <c r="G16" s="3" t="s">
        <v>23</v>
      </c>
      <c r="H16"/>
    </row>
    <row r="17" spans="2:8" ht="15">
      <c r="B17" s="5" t="s">
        <v>8</v>
      </c>
      <c r="C17" s="6" t="s">
        <v>44</v>
      </c>
      <c r="D17" s="23"/>
      <c r="E17" s="30"/>
      <c r="F17" s="5" t="s">
        <v>8</v>
      </c>
      <c r="G17" s="6" t="s">
        <v>44</v>
      </c>
      <c r="H17"/>
    </row>
    <row r="18" spans="2:8" ht="15">
      <c r="B18" s="20" t="s">
        <v>51</v>
      </c>
      <c r="C18" s="71" t="s">
        <v>52</v>
      </c>
      <c r="D18" s="23"/>
      <c r="E18" s="30"/>
      <c r="F18" s="20" t="s">
        <v>51</v>
      </c>
      <c r="G18" s="23" t="s">
        <v>55</v>
      </c>
      <c r="H18"/>
    </row>
    <row r="19" spans="2:8" ht="57">
      <c r="B19" s="20" t="s">
        <v>56</v>
      </c>
      <c r="C19" s="23" t="s">
        <v>58</v>
      </c>
      <c r="D19" s="23"/>
      <c r="E19" s="30"/>
      <c r="F19" s="20" t="s">
        <v>56</v>
      </c>
      <c r="G19" s="73" t="s">
        <v>59</v>
      </c>
      <c r="H19"/>
    </row>
    <row r="20" spans="2:8">
      <c r="B20" s="11" t="s">
        <v>20</v>
      </c>
      <c r="C20" s="22">
        <v>2505000</v>
      </c>
      <c r="D20" s="22"/>
      <c r="E20" s="29"/>
      <c r="F20" s="11" t="s">
        <v>20</v>
      </c>
      <c r="G20" s="22">
        <v>1520000</v>
      </c>
      <c r="H20"/>
    </row>
    <row r="21" spans="2:8">
      <c r="B21" s="7" t="s">
        <v>4</v>
      </c>
      <c r="C21" s="22">
        <v>84500</v>
      </c>
      <c r="D21" s="22"/>
      <c r="E21" s="29"/>
      <c r="F21" s="7" t="s">
        <v>4</v>
      </c>
      <c r="G21" s="22">
        <v>84500</v>
      </c>
      <c r="H21"/>
    </row>
    <row r="22" spans="2:8">
      <c r="B22" s="12" t="s">
        <v>14</v>
      </c>
      <c r="C22" s="23">
        <v>160000</v>
      </c>
      <c r="F22" s="12" t="s">
        <v>14</v>
      </c>
      <c r="G22" s="23">
        <v>160000</v>
      </c>
      <c r="H22"/>
    </row>
    <row r="23" spans="2:8">
      <c r="B23" s="12" t="s">
        <v>15</v>
      </c>
      <c r="C23" s="23">
        <v>150000</v>
      </c>
      <c r="D23" s="10"/>
      <c r="F23" s="12" t="s">
        <v>15</v>
      </c>
      <c r="G23" s="23">
        <v>150000</v>
      </c>
    </row>
    <row r="24" spans="2:8">
      <c r="B24" s="12" t="s">
        <v>16</v>
      </c>
      <c r="C24" s="23">
        <v>200000</v>
      </c>
      <c r="D24" s="10"/>
      <c r="F24" s="12" t="s">
        <v>16</v>
      </c>
      <c r="G24" s="23">
        <v>200000</v>
      </c>
    </row>
    <row r="25" spans="2:8">
      <c r="B25" s="7" t="s">
        <v>5</v>
      </c>
      <c r="C25" s="22">
        <v>0</v>
      </c>
      <c r="F25" s="7" t="s">
        <v>5</v>
      </c>
      <c r="G25" s="22">
        <v>0</v>
      </c>
    </row>
    <row r="26" spans="2:8">
      <c r="B26" s="33"/>
      <c r="C26" s="34"/>
      <c r="F26" s="33"/>
      <c r="G26" s="34"/>
    </row>
    <row r="27" spans="2:8">
      <c r="B27" s="40" t="s">
        <v>45</v>
      </c>
      <c r="C27" s="41">
        <f>SUM(C20/4)</f>
        <v>626250</v>
      </c>
      <c r="F27" s="40" t="s">
        <v>45</v>
      </c>
      <c r="G27" s="41">
        <f>SUM(G20/4)</f>
        <v>380000</v>
      </c>
    </row>
    <row r="28" spans="2:8">
      <c r="C28" s="22"/>
    </row>
    <row r="29" spans="2:8">
      <c r="B29" s="17" t="s">
        <v>46</v>
      </c>
      <c r="C29" s="10">
        <f>SUM(C7,G7,G20,C20)</f>
        <v>7080000</v>
      </c>
    </row>
  </sheetData>
  <mergeCells count="3">
    <mergeCell ref="B1:C1"/>
    <mergeCell ref="B2:E2"/>
    <mergeCell ref="A1:A2"/>
  </mergeCells>
  <dataValidations count="6">
    <dataValidation allowBlank="1" showInputMessage="1" showErrorMessage="1" prompt="El título de esta hoja de cálculo se encuentra en esta celda. Escriba la fecha en la celda F1. Los totales del presupuesto se calculan automáticamente en la tabla Totales que comienza en la celda B4" sqref="B2:E2"/>
    <dataValidation allowBlank="1" showInputMessage="1" showErrorMessage="1" prompt="Escriba el nombre de la empresa en esta celda" sqref="B1"/>
    <dataValidation allowBlank="1" showInputMessage="1" showErrorMessage="1" prompt="Cree un presupuesto mensual para la empresa en este libro. La información general está en esta hoja de cálculo. Escriba los detalles de ingresos en Ingresos mensuales y Gastos de personal y Gastos operativos en las hojas de cálculo correspondientes" sqref="A1"/>
    <dataValidation allowBlank="1" showInputMessage="1" showErrorMessage="1" prompt="Escriba el importe real en esta columna, debajo de este encabezado" sqref="E14 E4"/>
    <dataValidation allowBlank="1" showInputMessage="1" showErrorMessage="1" prompt="Escriba el importe estimado en esta columna, debajo de este encabezado" sqref="C4:D4 D14 C17:C19 C5:C6 G4:G6 G17:G19"/>
    <dataValidation allowBlank="1" showInputMessage="1" showErrorMessage="1" prompt="Escriba los gastos de personal en esta columna, debajo de este encabezado. Use los filtros del encabezado para buscar entradas específicas" sqref="B17:B19 B4:B6 F17:F19 F4:F6"/>
  </dataValidation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view="pageLayout" topLeftCell="A4" zoomScaleNormal="100" workbookViewId="0">
      <selection activeCell="C25" sqref="C25"/>
    </sheetView>
  </sheetViews>
  <sheetFormatPr baseColWidth="10" defaultRowHeight="14.25"/>
  <cols>
    <col min="2" max="2" width="12.375" customWidth="1"/>
  </cols>
  <sheetData>
    <row r="1" spans="1:7">
      <c r="A1" s="69"/>
      <c r="B1" s="69"/>
      <c r="C1" s="69"/>
      <c r="D1" s="69"/>
      <c r="E1" s="69"/>
      <c r="F1" s="69"/>
      <c r="G1" s="69"/>
    </row>
    <row r="2" spans="1:7">
      <c r="A2" s="69"/>
      <c r="B2" s="69"/>
      <c r="C2" s="69"/>
      <c r="D2" s="69"/>
      <c r="E2" s="69"/>
      <c r="F2" s="69"/>
      <c r="G2" s="69"/>
    </row>
    <row r="3" spans="1:7" ht="16.5" customHeight="1" thickBot="1">
      <c r="A3" s="70"/>
      <c r="B3" s="70"/>
      <c r="C3" s="70"/>
      <c r="D3" s="70"/>
      <c r="E3" s="70"/>
      <c r="F3" s="70"/>
      <c r="G3" s="70"/>
    </row>
    <row r="4" spans="1:7" ht="16.5" thickBot="1">
      <c r="A4" s="58" t="s">
        <v>39</v>
      </c>
      <c r="B4" s="59"/>
      <c r="C4" s="60"/>
      <c r="D4" s="60"/>
      <c r="E4" s="60"/>
      <c r="F4" s="60"/>
      <c r="G4" s="61"/>
    </row>
    <row r="5" spans="1:7">
      <c r="A5" s="43" t="s">
        <v>24</v>
      </c>
      <c r="B5" s="44" t="s">
        <v>40</v>
      </c>
      <c r="C5" s="13"/>
      <c r="D5" s="13"/>
      <c r="E5" s="13"/>
      <c r="F5" s="13"/>
      <c r="G5" s="21"/>
    </row>
    <row r="6" spans="1:7">
      <c r="A6" s="13" t="s">
        <v>25</v>
      </c>
      <c r="B6" s="45">
        <v>0</v>
      </c>
      <c r="C6" s="13"/>
      <c r="D6" s="13"/>
      <c r="E6" s="13"/>
      <c r="F6" s="13"/>
      <c r="G6" s="21"/>
    </row>
    <row r="7" spans="1:7">
      <c r="A7" s="13" t="s">
        <v>26</v>
      </c>
      <c r="B7" s="45">
        <v>0</v>
      </c>
      <c r="C7" s="13"/>
      <c r="D7" s="13"/>
      <c r="E7" s="13"/>
      <c r="F7" s="13"/>
      <c r="G7" s="21"/>
    </row>
    <row r="8" spans="1:7">
      <c r="A8" s="13" t="s">
        <v>27</v>
      </c>
      <c r="B8" s="45">
        <v>0</v>
      </c>
      <c r="C8" s="13"/>
      <c r="D8" s="13"/>
      <c r="E8" s="13"/>
      <c r="F8" s="13"/>
      <c r="G8" s="21"/>
    </row>
    <row r="9" spans="1:7">
      <c r="A9" s="13" t="s">
        <v>28</v>
      </c>
      <c r="B9" s="45">
        <v>24800</v>
      </c>
      <c r="C9" s="13"/>
      <c r="D9" s="13"/>
      <c r="E9" s="13"/>
      <c r="F9" s="13"/>
      <c r="G9" s="21"/>
    </row>
    <row r="10" spans="1:7">
      <c r="A10" s="13" t="s">
        <v>29</v>
      </c>
      <c r="B10" s="45">
        <v>45700</v>
      </c>
      <c r="C10" s="13"/>
      <c r="D10" s="13"/>
      <c r="E10" s="13"/>
      <c r="F10" s="13"/>
      <c r="G10" s="21"/>
    </row>
    <row r="11" spans="1:7">
      <c r="A11" s="13" t="s">
        <v>30</v>
      </c>
      <c r="B11" s="45">
        <v>0</v>
      </c>
      <c r="C11" s="13"/>
      <c r="D11" s="13"/>
      <c r="E11" s="13"/>
      <c r="F11" s="13"/>
      <c r="G11" s="21"/>
    </row>
    <row r="12" spans="1:7">
      <c r="A12" s="13" t="s">
        <v>31</v>
      </c>
      <c r="B12" s="45">
        <v>0</v>
      </c>
      <c r="C12" s="13"/>
      <c r="D12" s="13"/>
      <c r="E12" s="13"/>
      <c r="F12" s="13"/>
      <c r="G12" s="21"/>
    </row>
    <row r="13" spans="1:7">
      <c r="A13" s="13" t="s">
        <v>32</v>
      </c>
      <c r="B13" s="45">
        <v>0</v>
      </c>
      <c r="C13" s="13"/>
      <c r="D13" s="13"/>
      <c r="E13" s="13"/>
      <c r="F13" s="13"/>
      <c r="G13" s="21"/>
    </row>
    <row r="14" spans="1:7">
      <c r="A14" s="13" t="s">
        <v>33</v>
      </c>
      <c r="B14" s="45">
        <v>0</v>
      </c>
      <c r="C14" s="13"/>
      <c r="D14" s="13"/>
      <c r="E14" s="13"/>
      <c r="F14" s="13"/>
      <c r="G14" s="21"/>
    </row>
    <row r="15" spans="1:7">
      <c r="A15" s="13" t="s">
        <v>34</v>
      </c>
      <c r="B15" s="45">
        <v>0</v>
      </c>
      <c r="C15" s="13"/>
      <c r="D15" s="13"/>
      <c r="E15" s="13"/>
      <c r="F15" s="13"/>
      <c r="G15" s="21"/>
    </row>
    <row r="16" spans="1:7">
      <c r="A16" s="13" t="s">
        <v>35</v>
      </c>
      <c r="B16" s="45">
        <v>77200</v>
      </c>
      <c r="C16" s="13"/>
      <c r="D16" s="13"/>
      <c r="E16" s="13"/>
      <c r="F16" s="13"/>
      <c r="G16" s="21"/>
    </row>
    <row r="17" spans="1:7">
      <c r="A17" s="13" t="s">
        <v>36</v>
      </c>
      <c r="B17" s="45">
        <v>55800</v>
      </c>
      <c r="C17" s="13"/>
      <c r="D17" s="13"/>
      <c r="E17" s="13"/>
      <c r="F17" s="13"/>
      <c r="G17" s="21"/>
    </row>
    <row r="18" spans="1:7" ht="14.25" customHeight="1">
      <c r="A18" s="46" t="s">
        <v>0</v>
      </c>
      <c r="B18" s="47">
        <f>SUM(B6:B17)</f>
        <v>203500</v>
      </c>
      <c r="C18" s="13"/>
      <c r="D18" s="13"/>
      <c r="E18" s="13"/>
      <c r="F18" s="13"/>
      <c r="G18" s="21"/>
    </row>
    <row r="19" spans="1:7">
      <c r="A19" s="62" t="s">
        <v>50</v>
      </c>
      <c r="B19" s="63"/>
      <c r="C19" s="63"/>
      <c r="D19" s="63"/>
      <c r="E19" s="63"/>
      <c r="F19" s="63"/>
      <c r="G19" s="64"/>
    </row>
    <row r="20" spans="1:7">
      <c r="A20" s="65"/>
      <c r="B20" s="63"/>
      <c r="C20" s="63"/>
      <c r="D20" s="63"/>
      <c r="E20" s="63"/>
      <c r="F20" s="63"/>
      <c r="G20" s="64"/>
    </row>
    <row r="21" spans="1:7" ht="18" customHeight="1">
      <c r="A21" s="66"/>
      <c r="B21" s="67"/>
      <c r="C21" s="67"/>
      <c r="D21" s="67"/>
      <c r="E21" s="67"/>
      <c r="F21" s="67"/>
      <c r="G21" s="68"/>
    </row>
  </sheetData>
  <mergeCells count="3">
    <mergeCell ref="A4:G4"/>
    <mergeCell ref="A19:G21"/>
    <mergeCell ref="A1:G3"/>
  </mergeCells>
  <conditionalFormatting sqref="A6:B17">
    <cfRule type="iconSet" priority="2">
      <iconSet iconSet="3Symbols2">
        <cfvo type="percent" val="0"/>
        <cfvo type="percent" val="33"/>
        <cfvo type="percent" val="67"/>
      </iconSet>
    </cfRule>
  </conditionalFormatting>
  <conditionalFormatting sqref="B6:B17">
    <cfRule type="iconSet" priority="1">
      <iconSet iconSet="3Arrows">
        <cfvo type="percent" val="0"/>
        <cfvo type="percent" val="33"/>
        <cfvo type="percent" val="67"/>
      </iconSet>
    </cfRule>
  </conditionalFormatting>
  <pageMargins left="0.7" right="0.7" top="0.75" bottom="0.75" header="0.3" footer="0.3"/>
  <pageSetup orientation="portrait" r:id="rId1"/>
  <headerFooter>
    <oddHeader>&amp;C&amp;16TAMALES  Y LECHONAS JJ</oddHeader>
    <oddFooter>&amp;CINFORME #1</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71F76179-7E23-425C-8EFF-2371FB35A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DD76F6-8071-4EB0-BBD9-FD144858DD05}">
  <ds:schemaRefs>
    <ds:schemaRef ds:uri="http://schemas.microsoft.com/sharepoint/v3/contenttype/forms"/>
  </ds:schemaRefs>
</ds:datastoreItem>
</file>

<file path=customXml/itemProps3.xml><?xml version="1.0" encoding="utf-8"?>
<ds:datastoreItem xmlns:ds="http://schemas.openxmlformats.org/officeDocument/2006/customXml" ds:itemID="{03065B27-2B03-445A-B649-BDDB851548A8}">
  <ds:schemaRefs>
    <ds:schemaRef ds:uri="16c05727-aa75-4e4a-9b5f-8a80a1165891"/>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71af3243-3dd4-4a8d-8c0d-dd76da1f02a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TM23032109</Template>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Presupuestos recursos</vt:lpstr>
      <vt:lpstr>Presupuesto total personal</vt:lpstr>
      <vt:lpstr>Presupuesto individual personal</vt:lpstr>
      <vt:lpstr>Informe de recursos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Presupuesto proyecto</dc:title>
  <dc:creator/>
  <cp:lastModifiedBy/>
  <dcterms:created xsi:type="dcterms:W3CDTF">2019-03-28T11:38:04Z</dcterms:created>
  <dcterms:modified xsi:type="dcterms:W3CDTF">2021-06-26T14:27:32Z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