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o2.0\Documents\CARLOS\curso_e_digital\joguers\Entregables talento digital\"/>
    </mc:Choice>
  </mc:AlternateContent>
  <bookViews>
    <workbookView xWindow="0" yWindow="0" windowWidth="20490" windowHeight="7650" activeTab="1"/>
  </bookViews>
  <sheets>
    <sheet name="Mercado" sheetId="2" r:id="rId1"/>
    <sheet name="Flujo Anual " sheetId="3" r:id="rId2"/>
    <sheet name="Flujo Mensual" sheetId="1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3" l="1"/>
  <c r="C14" i="3"/>
  <c r="C13" i="3"/>
  <c r="F9" i="1"/>
  <c r="M33" i="1"/>
  <c r="L33" i="1"/>
  <c r="K33" i="1"/>
  <c r="J33" i="1"/>
  <c r="I33" i="1"/>
  <c r="N33" i="1"/>
  <c r="C19" i="3"/>
  <c r="D12" i="3"/>
  <c r="D41" i="3" l="1"/>
  <c r="D32" i="1" l="1"/>
  <c r="E32" i="1"/>
  <c r="F32" i="1"/>
  <c r="G32" i="1"/>
  <c r="H32" i="1"/>
  <c r="C32" i="1"/>
  <c r="C31" i="1"/>
  <c r="D22" i="3"/>
  <c r="D23" i="3"/>
  <c r="I20" i="1"/>
  <c r="H20" i="1"/>
  <c r="H19" i="1"/>
  <c r="J19" i="1"/>
  <c r="K19" i="1"/>
  <c r="L19" i="1"/>
  <c r="M19" i="1"/>
  <c r="H18" i="1"/>
  <c r="I18" i="1"/>
  <c r="J18" i="1"/>
  <c r="K18" i="1"/>
  <c r="L17" i="1"/>
  <c r="M17" i="1"/>
  <c r="K17" i="1"/>
  <c r="J17" i="1"/>
  <c r="I17" i="1"/>
  <c r="H17" i="1"/>
  <c r="I16" i="1"/>
  <c r="J16" i="1"/>
  <c r="K16" i="1"/>
  <c r="L16" i="1"/>
  <c r="M16" i="1"/>
  <c r="H16" i="1"/>
  <c r="L6" i="1"/>
  <c r="M6" i="1" s="1"/>
  <c r="M18" i="1" s="1"/>
  <c r="I7" i="1"/>
  <c r="I19" i="1" s="1"/>
  <c r="M8" i="1"/>
  <c r="M20" i="1" s="1"/>
  <c r="B19" i="1"/>
  <c r="B17" i="1"/>
  <c r="C18" i="1"/>
  <c r="B18" i="1"/>
  <c r="C8" i="1"/>
  <c r="D8" i="1" s="1"/>
  <c r="E8" i="1" s="1"/>
  <c r="F8" i="1" s="1"/>
  <c r="G8" i="1" s="1"/>
  <c r="C7" i="1"/>
  <c r="D7" i="1" s="1"/>
  <c r="E7" i="1" s="1"/>
  <c r="F7" i="1" s="1"/>
  <c r="G7" i="1" s="1"/>
  <c r="D6" i="1"/>
  <c r="D19" i="1" s="1"/>
  <c r="C6" i="1"/>
  <c r="C19" i="1" s="1"/>
  <c r="C5" i="1"/>
  <c r="D5" i="1" s="1"/>
  <c r="E5" i="1" s="1"/>
  <c r="F5" i="1" s="1"/>
  <c r="G5" i="1" s="1"/>
  <c r="G18" i="1" s="1"/>
  <c r="C4" i="1"/>
  <c r="D4" i="1" s="1"/>
  <c r="E4" i="1" s="1"/>
  <c r="F4" i="1" s="1"/>
  <c r="C9" i="1"/>
  <c r="D9" i="1" s="1"/>
  <c r="G9" i="1" s="1"/>
  <c r="H10" i="1" s="1"/>
  <c r="D18" i="3"/>
  <c r="D17" i="3"/>
  <c r="D16" i="3"/>
  <c r="D15" i="3"/>
  <c r="D14" i="3"/>
  <c r="D13" i="3"/>
  <c r="C29" i="3"/>
  <c r="D29" i="3"/>
  <c r="E29" i="3"/>
  <c r="D42" i="3"/>
  <c r="D43" i="3"/>
  <c r="D44" i="3"/>
  <c r="D40" i="3"/>
  <c r="M38" i="3"/>
  <c r="D34" i="3"/>
  <c r="C34" i="3"/>
  <c r="D33" i="3"/>
  <c r="C33" i="3"/>
  <c r="D32" i="3"/>
  <c r="C32" i="3"/>
  <c r="D31" i="3"/>
  <c r="C31" i="3"/>
  <c r="D30" i="3"/>
  <c r="C30" i="3"/>
  <c r="K36" i="1" l="1"/>
  <c r="N36" i="1"/>
  <c r="J36" i="1"/>
  <c r="F36" i="1"/>
  <c r="D45" i="3"/>
  <c r="J39" i="3" s="1"/>
  <c r="M36" i="1"/>
  <c r="I36" i="1"/>
  <c r="E36" i="1"/>
  <c r="L36" i="1"/>
  <c r="H36" i="1"/>
  <c r="D36" i="1"/>
  <c r="G36" i="1"/>
  <c r="C36" i="1"/>
  <c r="G40" i="3"/>
  <c r="G45" i="3" s="1"/>
  <c r="D25" i="3"/>
  <c r="D19" i="3"/>
  <c r="F34" i="1" s="1"/>
  <c r="F38" i="1" s="1"/>
  <c r="G17" i="1"/>
  <c r="E6" i="1"/>
  <c r="F6" i="1" s="1"/>
  <c r="D18" i="1"/>
  <c r="N18" i="1" s="1"/>
  <c r="C17" i="1"/>
  <c r="F18" i="1"/>
  <c r="D17" i="1"/>
  <c r="F17" i="1"/>
  <c r="L20" i="1"/>
  <c r="K20" i="1"/>
  <c r="J20" i="1"/>
  <c r="N20" i="1" s="1"/>
  <c r="L18" i="1"/>
  <c r="H9" i="1"/>
  <c r="I9" i="1" s="1"/>
  <c r="J9" i="1" s="1"/>
  <c r="K9" i="1" s="1"/>
  <c r="L9" i="1" s="1"/>
  <c r="M9" i="1" s="1"/>
  <c r="E32" i="3"/>
  <c r="G32" i="3" s="1"/>
  <c r="G29" i="3"/>
  <c r="E34" i="3"/>
  <c r="G34" i="3" s="1"/>
  <c r="E30" i="3"/>
  <c r="G30" i="3" s="1"/>
  <c r="E33" i="3"/>
  <c r="G33" i="3" s="1"/>
  <c r="E31" i="3"/>
  <c r="G31" i="3" s="1"/>
  <c r="N17" i="1" l="1"/>
  <c r="K34" i="1"/>
  <c r="H34" i="1"/>
  <c r="H38" i="1" s="1"/>
  <c r="E25" i="3"/>
  <c r="K30" i="3"/>
  <c r="I34" i="1"/>
  <c r="K33" i="3"/>
  <c r="K38" i="3" s="1"/>
  <c r="L33" i="3"/>
  <c r="L38" i="3" s="1"/>
  <c r="J34" i="1"/>
  <c r="D34" i="1"/>
  <c r="C34" i="1" s="1"/>
  <c r="C38" i="1" s="1"/>
  <c r="M34" i="1"/>
  <c r="E34" i="1"/>
  <c r="E38" i="1" s="1"/>
  <c r="N34" i="1"/>
  <c r="G34" i="1"/>
  <c r="G38" i="1" s="1"/>
  <c r="L34" i="1"/>
  <c r="N9" i="1"/>
  <c r="G6" i="1"/>
  <c r="G19" i="1" s="1"/>
  <c r="F19" i="1"/>
  <c r="N19" i="1" s="1"/>
  <c r="I10" i="1"/>
  <c r="H21" i="1"/>
  <c r="G35" i="3"/>
  <c r="E35" i="3"/>
  <c r="N41" i="1"/>
  <c r="M41" i="1"/>
  <c r="L41" i="1"/>
  <c r="K41" i="1"/>
  <c r="J41" i="1"/>
  <c r="I41" i="1"/>
  <c r="H41" i="1"/>
  <c r="G41" i="1"/>
  <c r="F41" i="1"/>
  <c r="E41" i="1"/>
  <c r="D41" i="1"/>
  <c r="C41" i="1"/>
  <c r="D38" i="1" l="1"/>
  <c r="L30" i="3"/>
  <c r="F25" i="3"/>
  <c r="M30" i="3" s="1"/>
  <c r="K35" i="1"/>
  <c r="G35" i="1"/>
  <c r="C35" i="1"/>
  <c r="N35" i="1"/>
  <c r="J35" i="1"/>
  <c r="F35" i="1"/>
  <c r="M35" i="1"/>
  <c r="I35" i="1"/>
  <c r="E35" i="1"/>
  <c r="L35" i="1"/>
  <c r="H35" i="1"/>
  <c r="D35" i="1"/>
  <c r="K31" i="3"/>
  <c r="K32" i="3"/>
  <c r="I21" i="1"/>
  <c r="I22" i="1" s="1"/>
  <c r="J32" i="1" s="1"/>
  <c r="J38" i="1" s="1"/>
  <c r="J10" i="1"/>
  <c r="M31" i="3"/>
  <c r="L31" i="3"/>
  <c r="K10" i="1" l="1"/>
  <c r="J21" i="1"/>
  <c r="J22" i="1" s="1"/>
  <c r="K32" i="1" s="1"/>
  <c r="K38" i="1" s="1"/>
  <c r="L10" i="1" l="1"/>
  <c r="K21" i="1"/>
  <c r="K22" i="1" s="1"/>
  <c r="L32" i="1" s="1"/>
  <c r="L38" i="1" s="1"/>
  <c r="C33" i="1"/>
  <c r="B16" i="1"/>
  <c r="M10" i="1" l="1"/>
  <c r="L21" i="1"/>
  <c r="L22" i="1" s="1"/>
  <c r="M32" i="1" s="1"/>
  <c r="M38" i="1" s="1"/>
  <c r="C39" i="1"/>
  <c r="C40" i="1" s="1"/>
  <c r="C42" i="1" s="1"/>
  <c r="C16" i="1"/>
  <c r="M21" i="1" l="1"/>
  <c r="N10" i="1"/>
  <c r="H22" i="1"/>
  <c r="D33" i="1"/>
  <c r="D16" i="1"/>
  <c r="I32" i="1" l="1"/>
  <c r="I38" i="1" s="1"/>
  <c r="I39" i="1" s="1"/>
  <c r="I40" i="1" s="1"/>
  <c r="I42" i="1" s="1"/>
  <c r="M22" i="1"/>
  <c r="N32" i="1" s="1"/>
  <c r="N38" i="1" s="1"/>
  <c r="N21" i="1"/>
  <c r="B5" i="3" s="1"/>
  <c r="C5" i="3" s="1"/>
  <c r="D5" i="3" s="1"/>
  <c r="D39" i="1"/>
  <c r="D40" i="1" s="1"/>
  <c r="D42" i="1" s="1"/>
  <c r="H33" i="1"/>
  <c r="G16" i="1"/>
  <c r="E33" i="1"/>
  <c r="F33" i="1"/>
  <c r="N22" i="1" l="1"/>
  <c r="H39" i="1"/>
  <c r="H40" i="1" s="1"/>
  <c r="H42" i="1" s="1"/>
  <c r="F39" i="1"/>
  <c r="F40" i="1" s="1"/>
  <c r="F42" i="1" s="1"/>
  <c r="E39" i="1"/>
  <c r="E40" i="1" s="1"/>
  <c r="E42" i="1" s="1"/>
  <c r="G33" i="1"/>
  <c r="F16" i="1"/>
  <c r="N16" i="1" l="1"/>
  <c r="B4" i="3" s="1"/>
  <c r="K39" i="1"/>
  <c r="K40" i="1" s="1"/>
  <c r="K42" i="1" s="1"/>
  <c r="K43" i="1" s="1"/>
  <c r="G39" i="1"/>
  <c r="G40" i="1" s="1"/>
  <c r="G42" i="1" s="1"/>
  <c r="C4" i="3" l="1"/>
  <c r="B6" i="3"/>
  <c r="K29" i="3" s="1"/>
  <c r="L39" i="1"/>
  <c r="L40" i="1" s="1"/>
  <c r="L42" i="1" s="1"/>
  <c r="L43" i="1" s="1"/>
  <c r="K35" i="3" l="1"/>
  <c r="K36" i="3" s="1"/>
  <c r="K37" i="3" s="1"/>
  <c r="K39" i="3" s="1"/>
  <c r="D4" i="3"/>
  <c r="D6" i="3" s="1"/>
  <c r="M29" i="3" s="1"/>
  <c r="M35" i="3" s="1"/>
  <c r="M36" i="3" s="1"/>
  <c r="M37" i="3" s="1"/>
  <c r="M39" i="3" s="1"/>
  <c r="C6" i="3"/>
  <c r="L29" i="3" s="1"/>
  <c r="L35" i="3" s="1"/>
  <c r="L36" i="3" s="1"/>
  <c r="L37" i="3" s="1"/>
  <c r="L39" i="3" s="1"/>
  <c r="M39" i="1"/>
  <c r="M40" i="1" s="1"/>
  <c r="M42" i="1" s="1"/>
  <c r="M43" i="1" s="1"/>
  <c r="J44" i="3" l="1" a="1"/>
  <c r="J46" i="3"/>
  <c r="J44" i="3"/>
  <c r="J49" i="3"/>
  <c r="N39" i="1"/>
  <c r="N40" i="1" s="1"/>
  <c r="N42" i="1" s="1"/>
  <c r="N43" i="1" s="1"/>
  <c r="J39" i="1"/>
  <c r="J40" i="1" s="1"/>
  <c r="J42" i="1" s="1"/>
  <c r="J43" i="1" s="1"/>
</calcChain>
</file>

<file path=xl/sharedStrings.xml><?xml version="1.0" encoding="utf-8"?>
<sst xmlns="http://schemas.openxmlformats.org/spreadsheetml/2006/main" count="141" uniqueCount="113">
  <si>
    <t>Costo variable</t>
  </si>
  <si>
    <t>Depreciación</t>
  </si>
  <si>
    <t>Item</t>
  </si>
  <si>
    <t>Ventas netas</t>
  </si>
  <si>
    <t>Costo fijo</t>
  </si>
  <si>
    <t>Inversión Inicial</t>
  </si>
  <si>
    <t>Utilidad antes de impuesto</t>
  </si>
  <si>
    <t>Impuesto a la renta</t>
  </si>
  <si>
    <t>Utilidad neta</t>
  </si>
  <si>
    <t>Flujo de caja</t>
  </si>
  <si>
    <t>Tasa de descuento</t>
  </si>
  <si>
    <t>VAN</t>
  </si>
  <si>
    <t>PayBack</t>
  </si>
  <si>
    <t>Mes 1</t>
  </si>
  <si>
    <t>Mes 2</t>
  </si>
  <si>
    <t>Mes 3</t>
  </si>
  <si>
    <t>Mes 4</t>
  </si>
  <si>
    <t>Mes 5</t>
  </si>
  <si>
    <t>Mes 0</t>
  </si>
  <si>
    <t>Mes 6</t>
  </si>
  <si>
    <t>Mes 7</t>
  </si>
  <si>
    <t>Mes8</t>
  </si>
  <si>
    <t>Mes9</t>
  </si>
  <si>
    <t>Mes10</t>
  </si>
  <si>
    <t>Mes11</t>
  </si>
  <si>
    <t>Mes12</t>
  </si>
  <si>
    <t>Ingresos por publicidad</t>
  </si>
  <si>
    <t>Ingresos por Membresia</t>
  </si>
  <si>
    <t>Total ingresos</t>
  </si>
  <si>
    <t>Valor membresia</t>
  </si>
  <si>
    <t>A</t>
  </si>
  <si>
    <t>Perfil del Cliente:</t>
  </si>
  <si>
    <t>B</t>
  </si>
  <si>
    <t>Tamaño de mercado:</t>
  </si>
  <si>
    <t>C</t>
  </si>
  <si>
    <t>Activos físicos:</t>
  </si>
  <si>
    <t>Computador, proyector, pizarra, pantallas y teléfono.</t>
  </si>
  <si>
    <t>D</t>
  </si>
  <si>
    <t>Capital humano:</t>
  </si>
  <si>
    <t>E</t>
  </si>
  <si>
    <t>Insumos</t>
  </si>
  <si>
    <t>Agua, energia electrica, internet. 20% del cobro por envío.</t>
  </si>
  <si>
    <t>Adulto joven entre 35 y 45 años</t>
  </si>
  <si>
    <t>Año 1</t>
  </si>
  <si>
    <t>Año 2</t>
  </si>
  <si>
    <t>Año 3</t>
  </si>
  <si>
    <t>Total Ingresos</t>
  </si>
  <si>
    <t>Costos Variables</t>
  </si>
  <si>
    <t>Cargo</t>
  </si>
  <si>
    <t>Sueldo líquido</t>
  </si>
  <si>
    <t>Salud</t>
  </si>
  <si>
    <t>Cotizaciones</t>
  </si>
  <si>
    <t>Sueldo Bruto</t>
  </si>
  <si>
    <t>N° Puestos</t>
  </si>
  <si>
    <t>Año 0</t>
  </si>
  <si>
    <t>- Costo variable</t>
  </si>
  <si>
    <t>- Costo fijo</t>
  </si>
  <si>
    <t>CEO</t>
  </si>
  <si>
    <t>CFO</t>
  </si>
  <si>
    <t>- Depreciación</t>
  </si>
  <si>
    <t>TOTAL</t>
  </si>
  <si>
    <t>- Impuesto a la renta</t>
  </si>
  <si>
    <t>+ Depreciación</t>
  </si>
  <si>
    <t>Ítem</t>
  </si>
  <si>
    <t>Cantidad</t>
  </si>
  <si>
    <t>Costo Unitario</t>
  </si>
  <si>
    <t>Costo Total</t>
  </si>
  <si>
    <t>Vida útil (años)</t>
  </si>
  <si>
    <t>Notebooks</t>
  </si>
  <si>
    <t>Total</t>
  </si>
  <si>
    <t>TIR</t>
  </si>
  <si>
    <t>Comunity Manager</t>
  </si>
  <si>
    <t>Teach Lead</t>
  </si>
  <si>
    <t xml:space="preserve">Recursos humanos </t>
  </si>
  <si>
    <t>Dominio joguer.cl</t>
  </si>
  <si>
    <t>Inversiones</t>
  </si>
  <si>
    <t>Costos Fijos</t>
  </si>
  <si>
    <t>Bono Electricidad</t>
  </si>
  <si>
    <t>Bono Internet</t>
  </si>
  <si>
    <t>AWS</t>
  </si>
  <si>
    <t>Evento Promocional</t>
  </si>
  <si>
    <t>Membresia Fremium</t>
  </si>
  <si>
    <t>Costo Espacio Carosuel Nacional</t>
  </si>
  <si>
    <t>Venta espacio 1 carousel Nacional (6 espacios x carousel)</t>
  </si>
  <si>
    <t>Venta espacio 16 carousel Regional (6 espacios x carousel)</t>
  </si>
  <si>
    <t>Vental espacio (de 1 a 56) carouseles provinciales (6 espacios x carousel)</t>
  </si>
  <si>
    <t>Venta espacio ( de 1 a27) carouseles comunal 100% urbano (6 espacios x carousel)</t>
  </si>
  <si>
    <t>Vental espacio (de 1 a 319) carouseles comunal rural o mixta(6 espacios x carousel)</t>
  </si>
  <si>
    <t>Ingresos por publicidad nacional</t>
  </si>
  <si>
    <t>Ingresos por publicidad regional</t>
  </si>
  <si>
    <t>Ingresos por publicidad provincial</t>
  </si>
  <si>
    <t>Costo Espacio carousel Provincial (6 puestos)</t>
  </si>
  <si>
    <t>Costo Espacio carousel comunal (6 puestos)</t>
  </si>
  <si>
    <t xml:space="preserve">Costo Espacio carousel Regional </t>
  </si>
  <si>
    <t>Ingresos por publicidad comunal 100% urbana</t>
  </si>
  <si>
    <t>Ingresos por publicidad comunal mixta rural</t>
  </si>
  <si>
    <t>Totales Anual</t>
  </si>
  <si>
    <t>Publicidad en redes social</t>
  </si>
  <si>
    <t xml:space="preserve">Publicidad de Lanzamiento </t>
  </si>
  <si>
    <t>Ingresos</t>
  </si>
  <si>
    <t>Ingreso neto por membresias</t>
  </si>
  <si>
    <t>Membresia Premium (en mes 7 proyectamos una conversion del  10% socios free )</t>
  </si>
  <si>
    <t>Depreciación acelerada anual</t>
  </si>
  <si>
    <t>Añ01</t>
  </si>
  <si>
    <t>año2</t>
  </si>
  <si>
    <t>año3</t>
  </si>
  <si>
    <t>-recursos humanos</t>
  </si>
  <si>
    <t>Sueldo Anual</t>
  </si>
  <si>
    <t>recursos Humanos</t>
  </si>
  <si>
    <t>Oficina Virtual</t>
  </si>
  <si>
    <t xml:space="preserve">Bono Agua </t>
  </si>
  <si>
    <t>CEO - CFO - Teach Lead y Comunity manager</t>
  </si>
  <si>
    <t>VENTAS AÑO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</si>
</sst>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 * #,##0_ ;_ * \-#,##0_ ;_ * &quot;-&quot;_ ;_ @_ "/>
    <numFmt numFmtId="164" formatCode="_-&quot;$&quot;* #,##0_-;\-&quot;$&quot;* #,##0_-;_-&quot;$&quot;* &quot;-&quot;_-;_-@_-"/>
    <numFmt numFmtId="165" formatCode="&quot;$&quot;#,##0"/>
    <numFmt numFmtId="166" formatCode="[$$-340A]#,##0;[Red][$$-340A]&quot; -&quot;#,##0"/>
    <numFmt numFmtId="167" formatCode="\$#,##0;[Red]&quot;$-&quot;#,##0"/>
    <numFmt numFmtId="168" formatCode="\$#,##0"/>
    <numFmt numFmtId="169" formatCode="_-\$* #,##0_-;&quot;-$&quot;* #,##0_-;_-\$* \-_-;_-@"/>
    <numFmt numFmtId="170" formatCode="0\ %"/>
    <numFmt numFmtId="171" formatCode="0.00\ %"/>
  </numFmts>
  <fonts count="35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Roboto"/>
    </font>
    <font>
      <sz val="11"/>
      <color rgb="FF000000"/>
      <name val="Roboto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Roboto"/>
      <charset val="1"/>
    </font>
    <font>
      <sz val="11"/>
      <color rgb="FF000000"/>
      <name val="Arial"/>
      <family val="2"/>
    </font>
    <font>
      <sz val="11"/>
      <color rgb="FF000000"/>
      <name val="Roboto"/>
      <charset val="1"/>
    </font>
    <font>
      <b/>
      <sz val="10"/>
      <color rgb="FF000000"/>
      <name val="Arial"/>
      <family val="2"/>
      <charset val="1"/>
    </font>
    <font>
      <u/>
      <sz val="10"/>
      <color rgb="FF000000"/>
      <name val="Arial"/>
      <family val="2"/>
    </font>
    <font>
      <b/>
      <sz val="13"/>
      <color rgb="FF000000"/>
      <name val="Roboto"/>
      <charset val="1"/>
    </font>
    <font>
      <b/>
      <sz val="13"/>
      <color rgb="FF000000"/>
      <name val="Arial"/>
      <charset val="1"/>
    </font>
    <font>
      <b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"/>
      <color rgb="FFFFC000"/>
      <name val="Arial"/>
      <family val="2"/>
    </font>
    <font>
      <sz val="10"/>
      <name val="Arial"/>
      <family val="2"/>
    </font>
    <font>
      <sz val="11"/>
      <color rgb="FF002060"/>
      <name val="Roboto"/>
    </font>
    <font>
      <sz val="11"/>
      <color rgb="FFC00000"/>
      <name val="Roboto"/>
    </font>
    <font>
      <sz val="10"/>
      <color rgb="FFC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  <charset val="1"/>
    </font>
    <font>
      <b/>
      <sz val="16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6F9D4"/>
      </patternFill>
    </fill>
    <fill>
      <patternFill patternType="solid">
        <fgColor rgb="FFF6F9D4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BBC04"/>
      </patternFill>
    </fill>
    <fill>
      <patternFill patternType="solid">
        <fgColor rgb="FFFF4000"/>
        <bgColor rgb="FFEA4335"/>
      </patternFill>
    </fill>
    <fill>
      <patternFill patternType="solid">
        <fgColor rgb="FF81ACA6"/>
        <bgColor rgb="FF8B8B8B"/>
      </patternFill>
    </fill>
    <fill>
      <patternFill patternType="solid">
        <fgColor rgb="FF92D050"/>
        <bgColor rgb="FFAFD095"/>
      </patternFill>
    </fill>
    <fill>
      <patternFill patternType="solid">
        <fgColor rgb="FF4CDC8B"/>
        <bgColor rgb="FF92D050"/>
      </patternFill>
    </fill>
    <fill>
      <patternFill patternType="solid">
        <fgColor rgb="FFAFD095"/>
        <bgColor rgb="FFB7B7B7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CDC8B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8" fillId="0" borderId="0"/>
  </cellStyleXfs>
  <cellXfs count="158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5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4" fontId="0" fillId="0" borderId="0" xfId="1" applyFont="1" applyAlignment="1"/>
    <xf numFmtId="0" fontId="6" fillId="0" borderId="0" xfId="0" applyFont="1" applyAlignment="1"/>
    <xf numFmtId="164" fontId="0" fillId="0" borderId="0" xfId="0" applyNumberFormat="1" applyFont="1" applyAlignment="1"/>
    <xf numFmtId="1" fontId="2" fillId="0" borderId="1" xfId="1" applyNumberFormat="1" applyFont="1" applyBorder="1" applyAlignment="1"/>
    <xf numFmtId="9" fontId="0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/>
    <xf numFmtId="165" fontId="2" fillId="0" borderId="4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9" fillId="0" borderId="5" xfId="3" applyFont="1" applyBorder="1" applyAlignment="1">
      <alignment wrapText="1"/>
    </xf>
    <xf numFmtId="0" fontId="8" fillId="0" borderId="0" xfId="3"/>
    <xf numFmtId="0" fontId="9" fillId="3" borderId="5" xfId="3" applyFont="1" applyFill="1" applyBorder="1" applyAlignment="1">
      <alignment wrapText="1"/>
    </xf>
    <xf numFmtId="0" fontId="10" fillId="0" borderId="5" xfId="3" applyFont="1" applyBorder="1" applyAlignment="1">
      <alignment wrapText="1"/>
    </xf>
    <xf numFmtId="0" fontId="10" fillId="0" borderId="5" xfId="3" applyFont="1" applyBorder="1" applyAlignment="1">
      <alignment vertical="center"/>
    </xf>
    <xf numFmtId="0" fontId="11" fillId="0" borderId="5" xfId="3" applyFont="1" applyBorder="1" applyAlignment="1">
      <alignment wrapText="1"/>
    </xf>
    <xf numFmtId="0" fontId="10" fillId="3" borderId="5" xfId="3" applyFont="1" applyFill="1" applyBorder="1" applyAlignment="1">
      <alignment vertical="center"/>
    </xf>
    <xf numFmtId="0" fontId="12" fillId="0" borderId="0" xfId="3" applyFont="1"/>
    <xf numFmtId="0" fontId="8" fillId="0" borderId="0" xfId="3" applyAlignment="1">
      <alignment horizontal="left"/>
    </xf>
    <xf numFmtId="166" fontId="12" fillId="0" borderId="0" xfId="3" applyNumberFormat="1" applyFont="1"/>
    <xf numFmtId="0" fontId="14" fillId="0" borderId="0" xfId="3" applyFont="1"/>
    <xf numFmtId="0" fontId="13" fillId="4" borderId="0" xfId="3" applyFont="1" applyFill="1"/>
    <xf numFmtId="166" fontId="13" fillId="4" borderId="0" xfId="3" applyNumberFormat="1" applyFont="1" applyFill="1"/>
    <xf numFmtId="0" fontId="13" fillId="3" borderId="7" xfId="3" applyFont="1" applyFill="1" applyBorder="1" applyAlignment="1">
      <alignment horizontal="center"/>
    </xf>
    <xf numFmtId="0" fontId="15" fillId="0" borderId="3" xfId="3" applyFont="1" applyBorder="1" applyAlignment="1">
      <alignment horizontal="left" wrapText="1"/>
    </xf>
    <xf numFmtId="0" fontId="13" fillId="0" borderId="3" xfId="3" applyFont="1" applyBorder="1" applyAlignment="1">
      <alignment horizontal="center"/>
    </xf>
    <xf numFmtId="0" fontId="16" fillId="5" borderId="3" xfId="3" applyFont="1" applyFill="1" applyBorder="1" applyAlignment="1">
      <alignment horizontal="center"/>
    </xf>
    <xf numFmtId="167" fontId="12" fillId="0" borderId="3" xfId="3" applyNumberFormat="1" applyFont="1" applyBorder="1" applyAlignment="1">
      <alignment horizontal="center"/>
    </xf>
    <xf numFmtId="166" fontId="12" fillId="0" borderId="3" xfId="3" applyNumberFormat="1" applyFont="1" applyBorder="1"/>
    <xf numFmtId="0" fontId="12" fillId="0" borderId="3" xfId="3" applyFont="1" applyBorder="1" applyAlignment="1">
      <alignment horizontal="center"/>
    </xf>
    <xf numFmtId="166" fontId="12" fillId="0" borderId="3" xfId="3" applyNumberFormat="1" applyFont="1" applyBorder="1" applyAlignment="1">
      <alignment horizontal="center"/>
    </xf>
    <xf numFmtId="0" fontId="17" fillId="0" borderId="8" xfId="3" applyFont="1" applyBorder="1" applyAlignment="1">
      <alignment horizontal="left" wrapText="1"/>
    </xf>
    <xf numFmtId="0" fontId="12" fillId="0" borderId="3" xfId="3" applyFont="1" applyBorder="1"/>
    <xf numFmtId="168" fontId="12" fillId="0" borderId="3" xfId="3" applyNumberFormat="1" applyFont="1" applyBorder="1"/>
    <xf numFmtId="0" fontId="12" fillId="5" borderId="3" xfId="3" applyFont="1" applyFill="1" applyBorder="1" applyAlignment="1">
      <alignment horizontal="center"/>
    </xf>
    <xf numFmtId="168" fontId="12" fillId="0" borderId="3" xfId="3" applyNumberFormat="1" applyFont="1" applyBorder="1" applyAlignment="1">
      <alignment horizontal="right"/>
    </xf>
    <xf numFmtId="168" fontId="13" fillId="0" borderId="3" xfId="3" applyNumberFormat="1" applyFont="1" applyBorder="1" applyAlignment="1">
      <alignment horizontal="right"/>
    </xf>
    <xf numFmtId="0" fontId="18" fillId="0" borderId="0" xfId="3" applyFont="1" applyAlignment="1">
      <alignment horizontal="right"/>
    </xf>
    <xf numFmtId="0" fontId="19" fillId="0" borderId="0" xfId="3" applyFont="1"/>
    <xf numFmtId="166" fontId="13" fillId="6" borderId="9" xfId="3" applyNumberFormat="1" applyFont="1" applyFill="1" applyBorder="1" applyAlignment="1">
      <alignment horizontal="center"/>
    </xf>
    <xf numFmtId="0" fontId="15" fillId="0" borderId="8" xfId="3" applyFont="1" applyBorder="1" applyAlignment="1">
      <alignment horizontal="left" wrapText="1"/>
    </xf>
    <xf numFmtId="168" fontId="12" fillId="7" borderId="3" xfId="3" applyNumberFormat="1" applyFont="1" applyFill="1" applyBorder="1"/>
    <xf numFmtId="168" fontId="13" fillId="8" borderId="3" xfId="3" applyNumberFormat="1" applyFont="1" applyFill="1" applyBorder="1"/>
    <xf numFmtId="0" fontId="13" fillId="0" borderId="7" xfId="3" applyFont="1" applyBorder="1" applyAlignment="1">
      <alignment horizontal="center"/>
    </xf>
    <xf numFmtId="0" fontId="12" fillId="0" borderId="0" xfId="3" applyFont="1" applyAlignment="1"/>
    <xf numFmtId="0" fontId="13" fillId="0" borderId="0" xfId="3" applyFont="1" applyAlignment="1"/>
    <xf numFmtId="0" fontId="20" fillId="0" borderId="8" xfId="3" applyFont="1" applyBorder="1" applyAlignment="1">
      <alignment horizontal="left" wrapText="1"/>
    </xf>
    <xf numFmtId="169" fontId="21" fillId="0" borderId="3" xfId="3" applyNumberFormat="1" applyFont="1" applyBorder="1" applyAlignment="1">
      <alignment horizontal="right"/>
    </xf>
    <xf numFmtId="0" fontId="13" fillId="0" borderId="8" xfId="3" applyFont="1" applyBorder="1" applyAlignment="1"/>
    <xf numFmtId="0" fontId="12" fillId="0" borderId="9" xfId="3" applyFont="1" applyBorder="1" applyAlignment="1">
      <alignment horizontal="right"/>
    </xf>
    <xf numFmtId="167" fontId="12" fillId="0" borderId="9" xfId="3" applyNumberFormat="1" applyFont="1" applyBorder="1" applyAlignment="1">
      <alignment horizontal="right"/>
    </xf>
    <xf numFmtId="0" fontId="12" fillId="9" borderId="9" xfId="3" applyFont="1" applyFill="1" applyBorder="1" applyAlignment="1">
      <alignment horizontal="right"/>
    </xf>
    <xf numFmtId="167" fontId="12" fillId="0" borderId="0" xfId="3" applyNumberFormat="1" applyFont="1" applyAlignment="1">
      <alignment horizontal="right"/>
    </xf>
    <xf numFmtId="0" fontId="12" fillId="0" borderId="0" xfId="3" applyFont="1" applyAlignment="1">
      <alignment horizontal="left"/>
    </xf>
    <xf numFmtId="0" fontId="13" fillId="5" borderId="8" xfId="3" applyFont="1" applyFill="1" applyBorder="1" applyAlignment="1"/>
    <xf numFmtId="0" fontId="13" fillId="0" borderId="3" xfId="3" applyFont="1" applyBorder="1" applyAlignment="1">
      <alignment horizontal="left"/>
    </xf>
    <xf numFmtId="170" fontId="12" fillId="0" borderId="0" xfId="3" applyNumberFormat="1" applyFont="1"/>
    <xf numFmtId="167" fontId="12" fillId="0" borderId="6" xfId="3" applyNumberFormat="1" applyFont="1" applyBorder="1" applyAlignment="1">
      <alignment horizontal="right"/>
    </xf>
    <xf numFmtId="0" fontId="13" fillId="10" borderId="3" xfId="3" applyFont="1" applyFill="1" applyBorder="1" applyAlignment="1">
      <alignment horizontal="left"/>
    </xf>
    <xf numFmtId="168" fontId="13" fillId="10" borderId="3" xfId="3" applyNumberFormat="1" applyFont="1" applyFill="1" applyBorder="1" applyAlignment="1">
      <alignment horizontal="right"/>
    </xf>
    <xf numFmtId="166" fontId="8" fillId="0" borderId="0" xfId="3" applyNumberFormat="1" applyAlignment="1">
      <alignment horizontal="left"/>
    </xf>
    <xf numFmtId="167" fontId="13" fillId="6" borderId="9" xfId="3" applyNumberFormat="1" applyFont="1" applyFill="1" applyBorder="1" applyAlignment="1">
      <alignment horizontal="right"/>
    </xf>
    <xf numFmtId="0" fontId="12" fillId="0" borderId="9" xfId="3" applyFont="1" applyBorder="1" applyAlignment="1"/>
    <xf numFmtId="167" fontId="13" fillId="0" borderId="0" xfId="3" applyNumberFormat="1" applyFont="1" applyAlignment="1">
      <alignment horizontal="right"/>
    </xf>
    <xf numFmtId="0" fontId="13" fillId="11" borderId="0" xfId="3" applyFont="1" applyFill="1"/>
    <xf numFmtId="171" fontId="13" fillId="11" borderId="0" xfId="3" applyNumberFormat="1" applyFont="1" applyFill="1"/>
    <xf numFmtId="0" fontId="13" fillId="5" borderId="3" xfId="3" applyFont="1" applyFill="1" applyBorder="1" applyAlignment="1">
      <alignment horizontal="left"/>
    </xf>
    <xf numFmtId="2" fontId="13" fillId="5" borderId="3" xfId="3" applyNumberFormat="1" applyFont="1" applyFill="1" applyBorder="1"/>
    <xf numFmtId="0" fontId="23" fillId="5" borderId="8" xfId="3" applyFont="1" applyFill="1" applyBorder="1" applyAlignment="1"/>
    <xf numFmtId="0" fontId="22" fillId="5" borderId="8" xfId="3" applyFont="1" applyFill="1" applyBorder="1" applyAlignment="1"/>
    <xf numFmtId="0" fontId="16" fillId="0" borderId="0" xfId="3" applyFont="1"/>
    <xf numFmtId="0" fontId="23" fillId="0" borderId="0" xfId="3" applyFont="1"/>
    <xf numFmtId="0" fontId="16" fillId="0" borderId="3" xfId="3" applyFont="1" applyBorder="1"/>
    <xf numFmtId="41" fontId="12" fillId="0" borderId="3" xfId="2" applyFont="1" applyBorder="1"/>
    <xf numFmtId="0" fontId="23" fillId="0" borderId="3" xfId="3" applyFont="1" applyBorder="1"/>
    <xf numFmtId="41" fontId="23" fillId="0" borderId="3" xfId="2" applyFont="1" applyBorder="1"/>
    <xf numFmtId="0" fontId="13" fillId="0" borderId="10" xfId="3" applyFont="1" applyBorder="1" applyAlignment="1">
      <alignment horizontal="center"/>
    </xf>
    <xf numFmtId="0" fontId="23" fillId="0" borderId="0" xfId="3" applyFont="1" applyBorder="1"/>
    <xf numFmtId="41" fontId="23" fillId="0" borderId="0" xfId="2" applyFont="1" applyBorder="1"/>
    <xf numFmtId="0" fontId="16" fillId="0" borderId="0" xfId="3" applyFont="1" applyBorder="1"/>
    <xf numFmtId="41" fontId="16" fillId="0" borderId="0" xfId="2" applyFont="1" applyBorder="1"/>
    <xf numFmtId="166" fontId="16" fillId="4" borderId="0" xfId="3" applyNumberFormat="1" applyFont="1" applyFill="1"/>
    <xf numFmtId="41" fontId="3" fillId="0" borderId="0" xfId="2" applyFont="1"/>
    <xf numFmtId="41" fontId="16" fillId="0" borderId="0" xfId="2" applyFont="1"/>
    <xf numFmtId="41" fontId="13" fillId="0" borderId="10" xfId="2" applyFont="1" applyBorder="1" applyAlignment="1">
      <alignment horizontal="center"/>
    </xf>
    <xf numFmtId="0" fontId="16" fillId="0" borderId="6" xfId="3" applyFont="1" applyBorder="1"/>
    <xf numFmtId="0" fontId="25" fillId="2" borderId="1" xfId="0" applyFont="1" applyFill="1" applyBorder="1" applyAlignment="1"/>
    <xf numFmtId="165" fontId="26" fillId="2" borderId="1" xfId="0" applyNumberFormat="1" applyFont="1" applyFill="1" applyBorder="1"/>
    <xf numFmtId="0" fontId="1" fillId="12" borderId="1" xfId="0" applyFont="1" applyFill="1" applyBorder="1" applyAlignment="1"/>
    <xf numFmtId="1" fontId="2" fillId="12" borderId="1" xfId="1" applyNumberFormat="1" applyFont="1" applyFill="1" applyBorder="1" applyAlignment="1"/>
    <xf numFmtId="41" fontId="26" fillId="2" borderId="1" xfId="2" applyFont="1" applyFill="1" applyBorder="1" applyAlignment="1"/>
    <xf numFmtId="0" fontId="25" fillId="13" borderId="1" xfId="0" applyFont="1" applyFill="1" applyBorder="1" applyAlignment="1"/>
    <xf numFmtId="165" fontId="26" fillId="13" borderId="1" xfId="0" applyNumberFormat="1" applyFont="1" applyFill="1" applyBorder="1"/>
    <xf numFmtId="165" fontId="26" fillId="14" borderId="1" xfId="0" applyNumberFormat="1" applyFont="1" applyFill="1" applyBorder="1"/>
    <xf numFmtId="165" fontId="2" fillId="14" borderId="1" xfId="0" applyNumberFormat="1" applyFont="1" applyFill="1" applyBorder="1" applyAlignment="1"/>
    <xf numFmtId="0" fontId="24" fillId="14" borderId="1" xfId="0" applyFont="1" applyFill="1" applyBorder="1" applyAlignment="1"/>
    <xf numFmtId="165" fontId="28" fillId="14" borderId="1" xfId="0" applyNumberFormat="1" applyFont="1" applyFill="1" applyBorder="1" applyAlignment="1"/>
    <xf numFmtId="165" fontId="28" fillId="14" borderId="1" xfId="0" applyNumberFormat="1" applyFont="1" applyFill="1" applyBorder="1"/>
    <xf numFmtId="165" fontId="1" fillId="0" borderId="1" xfId="0" applyNumberFormat="1" applyFont="1" applyBorder="1"/>
    <xf numFmtId="0" fontId="1" fillId="0" borderId="11" xfId="0" applyFont="1" applyBorder="1" applyAlignment="1">
      <alignment horizontal="center"/>
    </xf>
    <xf numFmtId="1" fontId="2" fillId="0" borderId="11" xfId="1" applyNumberFormat="1" applyFont="1" applyBorder="1" applyAlignment="1"/>
    <xf numFmtId="1" fontId="2" fillId="12" borderId="11" xfId="1" applyNumberFormat="1" applyFont="1" applyFill="1" applyBorder="1" applyAlignment="1"/>
    <xf numFmtId="41" fontId="26" fillId="2" borderId="11" xfId="2" applyFont="1" applyFill="1" applyBorder="1" applyAlignment="1"/>
    <xf numFmtId="165" fontId="26" fillId="2" borderId="11" xfId="0" applyNumberFormat="1" applyFont="1" applyFill="1" applyBorder="1"/>
    <xf numFmtId="165" fontId="28" fillId="14" borderId="11" xfId="0" applyNumberFormat="1" applyFont="1" applyFill="1" applyBorder="1" applyAlignment="1"/>
    <xf numFmtId="165" fontId="28" fillId="14" borderId="11" xfId="0" applyNumberFormat="1" applyFont="1" applyFill="1" applyBorder="1"/>
    <xf numFmtId="165" fontId="26" fillId="13" borderId="11" xfId="0" applyNumberFormat="1" applyFont="1" applyFill="1" applyBorder="1"/>
    <xf numFmtId="0" fontId="1" fillId="0" borderId="13" xfId="0" applyFont="1" applyFill="1" applyBorder="1" applyAlignment="1">
      <alignment horizontal="center"/>
    </xf>
    <xf numFmtId="0" fontId="27" fillId="0" borderId="0" xfId="0" applyFont="1" applyAlignment="1"/>
    <xf numFmtId="41" fontId="24" fillId="15" borderId="14" xfId="2" applyFont="1" applyFill="1" applyBorder="1" applyAlignment="1"/>
    <xf numFmtId="165" fontId="24" fillId="15" borderId="14" xfId="2" applyNumberFormat="1" applyFont="1" applyFill="1" applyBorder="1" applyAlignment="1"/>
    <xf numFmtId="0" fontId="19" fillId="0" borderId="0" xfId="0" applyFont="1" applyAlignment="1"/>
    <xf numFmtId="165" fontId="24" fillId="15" borderId="12" xfId="2" applyNumberFormat="1" applyFont="1" applyFill="1" applyBorder="1" applyAlignment="1"/>
    <xf numFmtId="41" fontId="24" fillId="15" borderId="16" xfId="2" applyFont="1" applyFill="1" applyBorder="1" applyAlignment="1"/>
    <xf numFmtId="165" fontId="24" fillId="15" borderId="13" xfId="2" applyNumberFormat="1" applyFont="1" applyFill="1" applyBorder="1" applyAlignment="1"/>
    <xf numFmtId="165" fontId="24" fillId="15" borderId="15" xfId="2" applyNumberFormat="1" applyFont="1" applyFill="1" applyBorder="1" applyAlignment="1"/>
    <xf numFmtId="0" fontId="23" fillId="0" borderId="0" xfId="3" applyFont="1" applyAlignment="1">
      <alignment horizontal="center"/>
    </xf>
    <xf numFmtId="166" fontId="16" fillId="0" borderId="0" xfId="3" applyNumberFormat="1" applyFont="1"/>
    <xf numFmtId="166" fontId="16" fillId="0" borderId="6" xfId="3" applyNumberFormat="1" applyFont="1" applyBorder="1"/>
    <xf numFmtId="166" fontId="23" fillId="0" borderId="0" xfId="3" applyNumberFormat="1" applyFont="1"/>
    <xf numFmtId="165" fontId="1" fillId="0" borderId="1" xfId="0" applyNumberFormat="1" applyFont="1" applyBorder="1" applyAlignment="1">
      <alignment horizontal="center"/>
    </xf>
    <xf numFmtId="165" fontId="2" fillId="0" borderId="1" xfId="2" applyNumberFormat="1" applyFont="1" applyBorder="1"/>
    <xf numFmtId="0" fontId="17" fillId="0" borderId="8" xfId="3" quotePrefix="1" applyFont="1" applyBorder="1" applyAlignment="1">
      <alignment horizontal="left" wrapText="1"/>
    </xf>
    <xf numFmtId="0" fontId="29" fillId="0" borderId="2" xfId="0" applyFont="1" applyBorder="1" applyAlignment="1">
      <alignment horizontal="center" wrapText="1"/>
    </xf>
    <xf numFmtId="0" fontId="26" fillId="0" borderId="1" xfId="0" applyFont="1" applyBorder="1"/>
    <xf numFmtId="165" fontId="26" fillId="0" borderId="1" xfId="2" applyNumberFormat="1" applyFont="1" applyBorder="1"/>
    <xf numFmtId="0" fontId="30" fillId="0" borderId="2" xfId="0" applyFont="1" applyBorder="1" applyAlignment="1">
      <alignment horizontal="center" wrapText="1"/>
    </xf>
    <xf numFmtId="0" fontId="31" fillId="0" borderId="1" xfId="0" applyFont="1" applyBorder="1"/>
    <xf numFmtId="165" fontId="31" fillId="0" borderId="1" xfId="2" applyNumberFormat="1" applyFont="1" applyBorder="1"/>
    <xf numFmtId="0" fontId="1" fillId="16" borderId="0" xfId="0" applyFont="1" applyFill="1" applyBorder="1" applyAlignment="1">
      <alignment horizontal="center"/>
    </xf>
    <xf numFmtId="165" fontId="2" fillId="16" borderId="0" xfId="0" applyNumberFormat="1" applyFont="1" applyFill="1" applyBorder="1" applyAlignment="1">
      <alignment horizontal="right"/>
    </xf>
    <xf numFmtId="9" fontId="2" fillId="16" borderId="0" xfId="0" applyNumberFormat="1" applyFont="1" applyFill="1" applyBorder="1" applyAlignment="1">
      <alignment horizontal="right"/>
    </xf>
    <xf numFmtId="0" fontId="1" fillId="17" borderId="0" xfId="0" applyFont="1" applyFill="1" applyBorder="1" applyAlignment="1">
      <alignment horizontal="center"/>
    </xf>
    <xf numFmtId="165" fontId="2" fillId="17" borderId="0" xfId="0" applyNumberFormat="1" applyFont="1" applyFill="1" applyBorder="1" applyAlignment="1">
      <alignment horizontal="right"/>
    </xf>
    <xf numFmtId="0" fontId="0" fillId="16" borderId="0" xfId="0" applyFont="1" applyFill="1" applyBorder="1" applyAlignment="1"/>
    <xf numFmtId="2" fontId="0" fillId="16" borderId="0" xfId="0" applyNumberFormat="1" applyFont="1" applyFill="1" applyBorder="1" applyAlignment="1"/>
    <xf numFmtId="0" fontId="32" fillId="16" borderId="0" xfId="0" applyFont="1" applyFill="1" applyBorder="1" applyAlignment="1">
      <alignment horizontal="center"/>
    </xf>
    <xf numFmtId="0" fontId="13" fillId="0" borderId="3" xfId="3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22" fillId="4" borderId="0" xfId="3" applyFont="1" applyFill="1"/>
    <xf numFmtId="0" fontId="33" fillId="0" borderId="5" xfId="3" applyFont="1" applyBorder="1" applyAlignment="1">
      <alignment wrapText="1"/>
    </xf>
    <xf numFmtId="0" fontId="34" fillId="0" borderId="0" xfId="0" applyFont="1" applyAlignment="1">
      <alignment horizontal="center"/>
    </xf>
    <xf numFmtId="170" fontId="16" fillId="0" borderId="3" xfId="3" applyNumberFormat="1" applyFont="1" applyBorder="1" applyAlignment="1">
      <alignment horizontal="right"/>
    </xf>
    <xf numFmtId="165" fontId="0" fillId="0" borderId="0" xfId="0" applyNumberFormat="1" applyFont="1" applyAlignment="1"/>
    <xf numFmtId="41" fontId="16" fillId="0" borderId="3" xfId="2" applyFont="1" applyBorder="1"/>
  </cellXfs>
  <cellStyles count="4">
    <cellStyle name="Millares [0]" xfId="2" builtinId="6"/>
    <cellStyle name="Moneda [0]" xfId="1" builtinId="7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1"/>
  <sheetViews>
    <sheetView zoomScaleNormal="100" workbookViewId="0">
      <selection activeCell="D15" sqref="D15"/>
    </sheetView>
  </sheetViews>
  <sheetFormatPr baseColWidth="10" defaultColWidth="14.42578125" defaultRowHeight="12.75"/>
  <cols>
    <col min="1" max="1" width="6.140625" style="23" customWidth="1"/>
    <col min="2" max="2" width="38.5703125" style="23" customWidth="1"/>
    <col min="3" max="16384" width="14.42578125" style="23"/>
  </cols>
  <sheetData>
    <row r="1" spans="1:27" ht="13.5" thickBo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13.5" thickBot="1">
      <c r="A2" s="22"/>
      <c r="B2" s="22"/>
      <c r="C2" s="2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15" customHeight="1" thickBot="1">
      <c r="A3" s="25"/>
      <c r="B3" s="26"/>
      <c r="C3" s="25"/>
      <c r="D3" s="25"/>
      <c r="E3" s="25"/>
      <c r="F3" s="25"/>
      <c r="G3" s="25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15" customHeight="1" thickBot="1">
      <c r="A4" s="25"/>
      <c r="B4" s="25"/>
      <c r="C4" s="25"/>
      <c r="D4" s="25"/>
      <c r="E4" s="25"/>
      <c r="F4" s="25"/>
      <c r="G4" s="25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5" customHeight="1" thickBot="1">
      <c r="A5" s="25" t="s">
        <v>30</v>
      </c>
      <c r="B5" s="27" t="s">
        <v>31</v>
      </c>
      <c r="C5" s="26" t="s">
        <v>42</v>
      </c>
      <c r="D5" s="25"/>
      <c r="E5" s="25"/>
      <c r="F5" s="25"/>
      <c r="G5" s="25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5" customHeight="1" thickBot="1">
      <c r="A6" s="25" t="s">
        <v>32</v>
      </c>
      <c r="B6" s="27" t="s">
        <v>33</v>
      </c>
      <c r="C6" s="28"/>
      <c r="D6" s="25"/>
      <c r="E6" s="25"/>
      <c r="F6" s="25"/>
      <c r="G6" s="2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5" customHeight="1" thickBot="1">
      <c r="A7" s="25" t="s">
        <v>34</v>
      </c>
      <c r="B7" s="27" t="s">
        <v>35</v>
      </c>
      <c r="C7" s="28" t="s">
        <v>36</v>
      </c>
      <c r="D7" s="25"/>
      <c r="E7" s="25"/>
      <c r="F7" s="25"/>
      <c r="G7" s="25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5" customHeight="1" thickBot="1">
      <c r="A8" s="25" t="s">
        <v>37</v>
      </c>
      <c r="B8" s="27" t="s">
        <v>38</v>
      </c>
      <c r="C8" s="28" t="s">
        <v>111</v>
      </c>
      <c r="D8" s="25"/>
      <c r="E8" s="25"/>
      <c r="F8" s="25"/>
      <c r="G8" s="25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15" customHeight="1" thickBot="1">
      <c r="A9" s="25" t="s">
        <v>39</v>
      </c>
      <c r="B9" s="27" t="s">
        <v>40</v>
      </c>
      <c r="C9" s="28" t="s">
        <v>41</v>
      </c>
      <c r="D9" s="25"/>
      <c r="E9" s="25"/>
      <c r="F9" s="25"/>
      <c r="G9" s="25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13.5" thickBo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13.5" thickBot="1">
      <c r="A11" s="22"/>
      <c r="B11" s="22"/>
      <c r="C11" s="22"/>
      <c r="D11" s="15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13.5" thickBo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13.5" thickBo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ht="13.5" thickBo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ht="13.5" thickBo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13.5" thickBo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ht="13.5" thickBo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ht="13.5" thickBo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13.5" thickBo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ht="13.5" thickBo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ht="13.5" thickBo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ht="13.5" thickBo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13.5" thickBo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13.5" thickBo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3.5" thickBo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3.5" thickBo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3.5" thickBo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ht="13.5" thickBo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13.5" thickBo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3.5" thickBo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13.5" thickBo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3.5" thickBo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3.5" thickBo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3.5" thickBo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3.5" thickBo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13.5" thickBo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3.5" thickBo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3.5" thickBo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3.5" thickBo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ht="13.5" thickBo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3.5" thickBo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ht="13.5" thickBo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ht="13.5" thickBo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3.5" thickBo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3.5" thickBo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3.5" thickBo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3.5" thickBo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ht="13.5" thickBo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ht="13.5" thickBo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ht="13.5" thickBo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3.5" thickBo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3.5" thickBo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3.5" thickBo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t="13.5" thickBo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t="13.5" thickBo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ht="13.5" thickBo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ht="13.5" thickBo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3.5" thickBo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t="13.5" thickBo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t="13.5" thickBo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13.5" thickBo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ht="13.5" thickBo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ht="13.5" thickBo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ht="13.5" thickBo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t="13.5" thickBo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t="13.5" thickBo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t="13.5" thickBo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ht="13.5" thickBo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ht="13.5" thickBo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ht="13.5" thickBo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t="13.5" thickBo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t="13.5" thickBo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t="13.5" thickBo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ht="13.5" thickBo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ht="13.5" thickBo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ht="13.5" thickBo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t="13.5" thickBo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t="13.5" thickBo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t="13.5" thickBo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ht="13.5" thickBo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ht="13.5" thickBo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ht="13.5" thickBo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t="13.5" thickBo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t="13.5" thickBo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t="13.5" thickBo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ht="13.5" thickBo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ht="13.5" thickBo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13.5" thickBo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t="13.5" thickBo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t="13.5" thickBo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t="13.5" thickBo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 ht="13.5" thickBo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 ht="13.5" thickBo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 ht="13.5" thickBo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t="13.5" thickBo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t="13.5" thickBo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t="13.5" thickBo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 ht="13.5" thickBo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ht="13.5" thickBo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ht="13.5" thickBo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t="13.5" thickBo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t="13.5" thickBo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t="13.5" thickBo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 ht="13.5" thickBo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 ht="13.5" thickBo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 ht="13.5" thickBo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t="13.5" thickBo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t="13.5" thickBo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t="13.5" thickBo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 ht="13.5" thickBo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 ht="13.5" thickBo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 ht="13.5" thickBo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ht="13.5" thickBo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ht="13.5" thickBo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ht="13.5" thickBo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ht="13.5" thickBo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ht="13.5" thickBo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 ht="13.5" thickBo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ht="13.5" thickBo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ht="13.5" thickBo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ht="13.5" thickBo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ht="13.5" thickBo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 ht="13.5" thickBo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ht="13.5" thickBo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t="13.5" thickBo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t="13.5" thickBo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t="13.5" thickBo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 ht="13.5" thickBo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 ht="13.5" thickBo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 ht="13.5" thickBo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t="13.5" thickBo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t="13.5" thickBo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t="13.5" thickBo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 ht="13.5" thickBo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 ht="13.5" thickBo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 ht="13.5" thickBo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t="13.5" thickBo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3.5" thickBo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t="13.5" thickBo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 ht="13.5" thickBo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 ht="13.5" thickBo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 ht="13.5" thickBo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ht="13.5" thickBo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ht="13.5" thickBo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ht="13.5" thickBo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ht="13.5" thickBo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 ht="13.5" thickBo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 ht="13.5" thickBo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ht="13.5" thickBo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ht="13.5" thickBo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ht="13.5" thickBo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 ht="13.5" thickBo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 ht="13.5" thickBo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 ht="13.5" thickBo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t="13.5" thickBo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t="13.5" thickBo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t="13.5" thickBo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 ht="13.5" thickBo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 ht="13.5" thickBo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 ht="13.5" thickBo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t="13.5" thickBo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t="13.5" thickBo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t="13.5" thickBo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 ht="13.5" thickBo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 ht="13.5" thickBo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 ht="13.5" thickBo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t="13.5" thickBo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3.5" thickBo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3.5" thickBo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 ht="13.5" thickBo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 ht="13.5" thickBo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 ht="13.5" thickBo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t="13.5" thickBo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t="13.5" thickBo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t="13.5" thickBo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ht="13.5" thickBo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 ht="13.5" thickBo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ht="13.5" thickBo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t="13.5" thickBo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t="13.5" thickBo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t="13.5" thickBo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 ht="13.5" thickBo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 ht="13.5" thickBo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ht="13.5" thickBo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ht="13.5" thickBo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t="13.5" thickBo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t="13.5" thickBo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t="13.5" thickBo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13.5" thickBo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 ht="13.5" thickBo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 ht="13.5" thickBo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13.5" thickBo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ht="13.5" thickBo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ht="13.5" thickBo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t="13.5" thickBo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ht="13.5" thickBo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ht="13.5" thickBo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 ht="13.5" thickBo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ht="13.5" thickBo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ht="13.5" thickBo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ht="13.5" thickBo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 ht="13.5" thickBo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ht="13.5" thickBo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ht="13.5" thickBo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t="13.5" thickBo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3.5" thickBo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t="13.5" thickBo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 ht="13.5" thickBo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ht="13.5" thickBo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ht="13.5" thickBo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t="13.5" thickBo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t="13.5" thickBo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t="13.5" thickBo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ht="13.5" thickBo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ht="13.5" thickBo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ht="13.5" thickBo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t="13.5" thickBo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3.5" thickBo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t="13.5" thickBo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 ht="13.5" thickBo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ht="13.5" thickBo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13.5" thickBo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ht="13.5" thickBo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ht="13.5" thickBo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ht="13.5" thickBo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ht="13.5" thickBo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ht="13.5" thickBo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ht="13.5" thickBo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t="13.5" thickBo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3.5" thickBo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t="13.5" thickBo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 ht="13.5" thickBo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ht="13.5" thickBo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ht="13.5" thickBo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t="13.5" thickBo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t="13.5" thickBo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3.5" thickBo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 ht="13.5" thickBo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 ht="13.5" thickBo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ht="13.5" thickBo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t="13.5" thickBo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t="13.5" thickBo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t="13.5" thickBo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3.5" thickBo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 ht="13.5" thickBo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 ht="13.5" thickBo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t="13.5" thickBo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t="13.5" thickBo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t="13.5" thickBo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ht="13.5" thickBo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ht="13.5" thickBo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ht="13.5" thickBo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t="13.5" thickBo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t="13.5" thickBo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t="13.5" thickBo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ht="13.5" thickBo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ht="13.5" thickBo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ht="13.5" thickBo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t="13.5" thickBo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t="13.5" thickBo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t="13.5" thickBo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ht="13.5" thickBo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ht="13.5" thickBo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ht="13.5" thickBo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ht="13.5" thickBo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ht="13.5" thickBo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ht="13.5" thickBo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ht="13.5" thickBo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ht="13.5" thickBo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ht="13.5" thickBo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3.5" thickBo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t="13.5" thickBo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t="13.5" thickBo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ht="13.5" thickBo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ht="13.5" thickBo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ht="13.5" thickBo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t="13.5" thickBo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3.5" thickBo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t="13.5" thickBo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 ht="13.5" thickBo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ht="13.5" thickBo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ht="13.5" thickBo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t="13.5" thickBo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t="13.5" thickBo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t="13.5" thickBo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3.5" thickBo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ht="13.5" thickBo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ht="13.5" thickBo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t="13.5" thickBo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t="13.5" thickBo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t="13.5" thickBo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ht="13.5" thickBo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ht="13.5" thickBo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ht="13.5" thickBo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ht="13.5" thickBo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ht="13.5" thickBo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ht="13.5" thickBo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ht="13.5" thickBo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ht="13.5" thickBo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ht="13.5" thickBo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t="13.5" thickBo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t="13.5" thickBo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t="13.5" thickBo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ht="13.5" thickBo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 ht="13.5" thickBo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 ht="13.5" thickBo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t="13.5" thickBo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t="13.5" thickBo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t="13.5" thickBo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 ht="13.5" thickBo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 ht="13.5" thickBo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 ht="13.5" thickBo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t="13.5" thickBo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t="13.5" thickBo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t="13.5" thickBo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 ht="13.5" thickBo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 ht="13.5" thickBo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 ht="13.5" thickBo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ht="13.5" thickBo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ht="13.5" thickBo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ht="13.5" thickBo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 ht="13.5" thickBo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 ht="13.5" thickBo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 ht="13.5" thickBo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t="13.5" thickBo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t="13.5" thickBo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t="13.5" thickBo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 ht="13.5" thickBo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 ht="13.5" thickBo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 ht="13.5" thickBo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t="13.5" thickBo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t="13.5" thickBo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t="13.5" thickBo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 ht="13.5" thickBo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 ht="13.5" thickBo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 ht="13.5" thickBo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t="13.5" thickBo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t="13.5" thickBo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t="13.5" thickBo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 ht="13.5" thickBo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 ht="13.5" thickBo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 ht="13.5" thickBo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t="13.5" thickBo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t="13.5" thickBo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t="13.5" thickBo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 ht="13.5" thickBo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 ht="13.5" thickBo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 ht="13.5" thickBo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t="13.5" thickBo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t="13.5" thickBo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t="13.5" thickBo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 ht="13.5" thickBo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 ht="13.5" thickBo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 ht="13.5" thickBo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t="13.5" thickBo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t="13.5" thickBo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t="13.5" thickBo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 ht="13.5" thickBo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 ht="13.5" thickBo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 ht="13.5" thickBo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t="13.5" thickBo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t="13.5" thickBo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t="13.5" thickBo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 ht="13.5" thickBo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 ht="13.5" thickBo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 ht="13.5" thickBo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 ht="13.5" thickBo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ht="13.5" thickBo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ht="13.5" thickBo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t="13.5" thickBo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 ht="13.5" thickBo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 ht="13.5" thickBo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 ht="13.5" thickBo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ht="13.5" thickBo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ht="13.5" thickBo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ht="13.5" thickBo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 ht="13.5" thickBo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 ht="13.5" thickBo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 ht="13.5" thickBo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t="13.5" thickBo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t="13.5" thickBo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t="13.5" thickBo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 ht="13.5" thickBo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ht="13.5" thickBo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 ht="13.5" thickBo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t="13.5" thickBo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t="13.5" thickBo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t="13.5" thickBo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 ht="13.5" thickBo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 ht="13.5" thickBo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 ht="13.5" thickBo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t="13.5" thickBo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t="13.5" thickBo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t="13.5" thickBo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 ht="13.5" thickBo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 ht="13.5" thickBo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 ht="13.5" thickBo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t="13.5" thickBo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t="13.5" thickBo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t="13.5" thickBo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 ht="13.5" thickBo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 ht="13.5" thickBo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 ht="13.5" thickBo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t="13.5" thickBo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t="13.5" thickBo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t="13.5" thickBo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 ht="13.5" thickBo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 ht="13.5" thickBo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 ht="13.5" thickBo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t="13.5" thickBo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t="13.5" thickBo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t="13.5" thickBo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 ht="13.5" thickBo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 ht="13.5" thickBo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 ht="13.5" thickBo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t="13.5" thickBo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t="13.5" thickBo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t="13.5" thickBo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 ht="13.5" thickBo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 ht="13.5" thickBo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 ht="13.5" thickBo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ht="13.5" thickBo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ht="13.5" thickBo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ht="13.5" thickBo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 ht="13.5" thickBo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 ht="13.5" thickBo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 ht="13.5" thickBo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t="13.5" thickBo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t="13.5" thickBo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t="13.5" thickBo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 ht="13.5" thickBo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 ht="13.5" thickBo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 ht="13.5" thickBo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t="13.5" thickBo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t="13.5" thickBo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t="13.5" thickBo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 ht="13.5" thickBo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 ht="13.5" thickBo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 ht="13.5" thickBo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t="13.5" thickBo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t="13.5" thickBo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t="13.5" thickBo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 ht="13.5" thickBo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 ht="13.5" thickBo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 ht="13.5" thickBo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t="13.5" thickBo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t="13.5" thickBo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t="13.5" thickBo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 ht="13.5" thickBo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 ht="13.5" thickBo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 ht="13.5" thickBo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 ht="13.5" thickBo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 ht="13.5" thickBo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 ht="13.5" thickBo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 ht="13.5" thickBo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 ht="13.5" thickBo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 ht="13.5" thickBo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 ht="13.5" thickBo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 ht="13.5" thickBo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 ht="13.5" thickBo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 ht="13.5" thickBo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 ht="13.5" thickBo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 ht="13.5" thickBo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 ht="13.5" thickBo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 ht="13.5" thickBo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 ht="13.5" thickBo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 ht="13.5" thickBo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 ht="13.5" thickBo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 ht="13.5" thickBo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 ht="13.5" thickBo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 ht="13.5" thickBo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 ht="13.5" thickBo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 ht="13.5" thickBo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 ht="13.5" thickBo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 ht="13.5" thickBo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 ht="13.5" thickBo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 ht="13.5" thickBo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 ht="13.5" thickBo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 ht="13.5" thickBo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 ht="13.5" thickBo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 ht="13.5" thickBo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ht="13.5" thickBo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ht="13.5" thickBo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 ht="13.5" thickBo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 ht="13.5" thickBo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 ht="13.5" thickBo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 ht="13.5" thickBo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 ht="13.5" thickBo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 ht="13.5" thickBo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 ht="13.5" thickBo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 ht="13.5" thickBo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 ht="13.5" thickBo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 ht="13.5" thickBo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 ht="13.5" thickBo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 ht="13.5" thickBo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 ht="13.5" thickBo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 ht="13.5" thickBo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 ht="13.5" thickBo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 ht="13.5" thickBo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 ht="13.5" thickBo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 ht="13.5" thickBo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 ht="13.5" thickBo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ht="13.5" thickBo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 ht="13.5" thickBo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ht="13.5" thickBo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 ht="13.5" thickBo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 ht="13.5" thickBo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 ht="13.5" thickBo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 ht="13.5" thickBo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 ht="13.5" thickBo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 ht="13.5" thickBo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 ht="13.5" thickBo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 ht="13.5" thickBo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 ht="13.5" thickBo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 ht="13.5" thickBo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 ht="13.5" thickBo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 ht="13.5" thickBo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 ht="13.5" thickBo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 ht="13.5" thickBo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 ht="13.5" thickBo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 ht="13.5" thickBo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 ht="13.5" thickBo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 ht="13.5" thickBo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 ht="13.5" thickBo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 ht="13.5" thickBo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ht="13.5" thickBo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 ht="13.5" thickBo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 ht="13.5" thickBo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 ht="13.5" thickBo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ht="13.5" thickBo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 ht="13.5" thickBo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 ht="13.5" thickBo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 ht="13.5" thickBo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 ht="13.5" thickBo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 ht="13.5" thickBo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 ht="13.5" thickBo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ht="13.5" thickBo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 ht="13.5" thickBo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 ht="13.5" thickBo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 ht="13.5" thickBo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ht="13.5" thickBo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 ht="13.5" thickBo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 ht="13.5" thickBo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 ht="13.5" thickBo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 ht="13.5" thickBo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 ht="13.5" thickBo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 ht="13.5" thickBo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 ht="13.5" thickBo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ht="13.5" thickBo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 ht="13.5" thickBo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 ht="13.5" thickBo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 ht="13.5" thickBo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 ht="13.5" thickBo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 ht="13.5" thickBo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 ht="13.5" thickBo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 ht="13.5" thickBo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ht="13.5" thickBo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 ht="13.5" thickBo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 ht="13.5" thickBo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 ht="13.5" thickBo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 ht="13.5" thickBo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 ht="13.5" thickBo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 ht="13.5" thickBo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 ht="13.5" thickBo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 ht="13.5" thickBo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ht="13.5" thickBo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 ht="13.5" thickBo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 ht="13.5" thickBo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 ht="13.5" thickBo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 ht="13.5" thickBo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 ht="13.5" thickBo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 ht="13.5" thickBo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 ht="13.5" thickBo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 ht="13.5" thickBo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 ht="13.5" thickBo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 ht="13.5" thickBo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 ht="13.5" thickBo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 ht="13.5" thickBo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 ht="13.5" thickBo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 ht="13.5" thickBo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 ht="13.5" thickBo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 ht="13.5" thickBo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 ht="13.5" thickBo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ht="13.5" thickBo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 ht="13.5" thickBo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 ht="13.5" thickBo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 ht="13.5" thickBo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 ht="13.5" thickBo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 ht="13.5" thickBo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 ht="13.5" thickBo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 ht="13.5" thickBo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ht="13.5" thickBo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 ht="13.5" thickBo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 ht="13.5" thickBo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 ht="13.5" thickBo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 ht="13.5" thickBo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 ht="13.5" thickBo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ht="13.5" thickBo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 ht="13.5" thickBo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 ht="13.5" thickBo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 ht="13.5" thickBo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 ht="13.5" thickBo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 ht="13.5" thickBo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 ht="13.5" thickBo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 ht="13.5" thickBo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 ht="13.5" thickBo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 ht="13.5" thickBo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 ht="13.5" thickBo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ht="13.5" thickBo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 ht="13.5" thickBo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ht="13.5" thickBo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ht="13.5" thickBo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 ht="13.5" thickBo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 ht="13.5" thickBo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 ht="13.5" thickBo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 ht="13.5" thickBo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 ht="13.5" thickBo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 ht="13.5" thickBo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 ht="13.5" thickBo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13.5" thickBo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13.5" thickBo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13.5" thickBo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3.5" thickBo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 ht="13.5" thickBo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 ht="13.5" thickBo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 ht="13.5" thickBo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 ht="13.5" thickBo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 ht="13.5" thickBo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ht="13.5" thickBo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ht="13.5" thickBo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 ht="13.5" thickBo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 ht="13.5" thickBo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 ht="13.5" thickBo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 ht="13.5" thickBo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 ht="13.5" thickBo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ht="13.5" thickBo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ht="13.5" thickBo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 ht="13.5" thickBo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 ht="13.5" thickBo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 ht="13.5" thickBo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 ht="13.5" thickBo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ht="13.5" thickBo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 ht="13.5" thickBo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 ht="13.5" thickBo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 ht="13.5" thickBo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 ht="13.5" thickBo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 ht="13.5" thickBo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 ht="13.5" thickBo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ht="13.5" thickBo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 ht="13.5" thickBo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 ht="13.5" thickBo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ht="13.5" thickBo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ht="13.5" thickBo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 ht="13.5" thickBo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ht="13.5" thickBo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 ht="13.5" thickBo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 ht="13.5" thickBo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 ht="13.5" thickBo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 ht="13.5" thickBo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ht="13.5" thickBo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ht="13.5" thickBo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 ht="13.5" thickBo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 ht="13.5" thickBo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ht="13.5" thickBo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 ht="13.5" thickBo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 ht="13.5" thickBo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 ht="13.5" thickBo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 ht="13.5" thickBo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ht="13.5" thickBo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 ht="13.5" thickBo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ht="13.5" thickBo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ht="13.5" thickBo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 ht="13.5" thickBo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 ht="13.5" thickBo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 ht="13.5" thickBo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ht="13.5" thickBo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13.5" thickBo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 ht="13.5" thickBo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 ht="13.5" thickBo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 ht="13.5" thickBo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ht="13.5" thickBo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 ht="13.5" thickBo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 ht="13.5" thickBo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 ht="13.5" thickBo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ht="13.5" thickBo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ht="13.5" thickBo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ht="13.5" thickBo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 ht="13.5" thickBo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 ht="13.5" thickBo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 ht="13.5" thickBo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 ht="13.5" thickBo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ht="13.5" thickBo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 ht="13.5" thickBo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 ht="13.5" thickBo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 ht="13.5" thickBo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 ht="13.5" thickBo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 ht="13.5" thickBo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 ht="13.5" thickBo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ht="13.5" thickBo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 ht="13.5" thickBo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 ht="13.5" thickBo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 ht="13.5" thickBo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ht="13.5" thickBo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 ht="13.5" thickBo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 ht="13.5" thickBo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 ht="13.5" thickBo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 ht="13.5" thickBo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 ht="13.5" thickBo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 ht="13.5" thickBo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 ht="13.5" thickBo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ht="13.5" thickBo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 ht="13.5" thickBo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 ht="13.5" thickBo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ht="13.5" thickBo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 ht="13.5" thickBo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 ht="13.5" thickBo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 ht="13.5" thickBo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ht="13.5" thickBo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 ht="13.5" thickBo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 ht="13.5" thickBo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 ht="13.5" thickBo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 ht="13.5" thickBo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 ht="13.5" thickBo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 ht="13.5" thickBo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 ht="13.5" thickBo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 ht="13.5" thickBo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ht="13.5" thickBo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 ht="13.5" thickBo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 ht="13.5" thickBo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 ht="13.5" thickBo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ht="13.5" thickBo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ht="13.5" thickBo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 ht="13.5" thickBo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 ht="13.5" thickBo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 ht="13.5" thickBo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 ht="13.5" thickBo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ht="13.5" thickBo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 ht="13.5" thickBo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 ht="13.5" thickBo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 ht="13.5" thickBo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 ht="13.5" thickBo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 ht="13.5" thickBo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 ht="13.5" thickBo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 ht="13.5" thickBo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 ht="13.5" thickBo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 ht="13.5" thickBo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ht="13.5" thickBo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 ht="13.5" thickBo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ht="13.5" thickBo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 ht="13.5" thickBo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 ht="13.5" thickBo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 ht="13.5" thickBo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 ht="13.5" thickBo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 ht="13.5" thickBo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 ht="13.5" thickBo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 ht="13.5" thickBo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 ht="13.5" thickBo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 ht="13.5" thickBo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 ht="13.5" thickBo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 ht="13.5" thickBo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 ht="13.5" thickBo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 ht="13.5" thickBo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 ht="13.5" thickBo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 ht="13.5" thickBo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 ht="13.5" thickBo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ht="13.5" thickBo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ht="13.5" thickBo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 ht="13.5" thickBo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 ht="13.5" thickBo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 ht="13.5" thickBo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 ht="13.5" thickBo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 ht="13.5" thickBo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 ht="13.5" thickBo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 ht="13.5" thickBo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 ht="13.5" thickBo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 ht="13.5" thickBo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 ht="13.5" thickBo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 ht="13.5" thickBo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 ht="13.5" thickBo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 ht="13.5" thickBo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 ht="13.5" thickBo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 ht="13.5" thickBo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 ht="13.5" thickBo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 ht="13.5" thickBo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 ht="13.5" thickBo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 ht="13.5" thickBo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ht="13.5" thickBo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 ht="13.5" thickBo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ht="13.5" thickBo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 ht="13.5" thickBo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 ht="13.5" thickBo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 ht="13.5" thickBo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 ht="13.5" thickBo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 ht="13.5" thickBo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 ht="13.5" thickBo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 ht="13.5" thickBo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 ht="13.5" thickBo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ht="13.5" thickBo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 ht="13.5" thickBo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 ht="13.5" thickBo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 ht="13.5" thickBo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 ht="13.5" thickBo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 ht="13.5" thickBo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 ht="13.5" thickBo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 ht="13.5" thickBo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 ht="13.5" thickBo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 ht="13.5" thickBo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ht="13.5" thickBo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 ht="13.5" thickBo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ht="13.5" thickBo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 ht="13.5" thickBo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 ht="13.5" thickBo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 ht="13.5" thickBo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 ht="13.5" thickBo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 ht="13.5" thickBo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ht="13.5" thickBo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 ht="13.5" thickBo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 ht="13.5" thickBo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 ht="13.5" thickBo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 ht="13.5" thickBo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 ht="13.5" thickBo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ht="13.5" thickBo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 ht="13.5" thickBo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 ht="13.5" thickBo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 ht="13.5" thickBo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 ht="13.5" thickBo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 ht="13.5" thickBo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 ht="13.5" thickBo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 ht="13.5" thickBo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ht="13.5" thickBo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 ht="13.5" thickBo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 ht="13.5" thickBo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 ht="13.5" thickBo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 ht="13.5" thickBo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 ht="13.5" thickBo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 ht="13.5" thickBo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 ht="13.5" thickBo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 ht="13.5" thickBo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 ht="13.5" thickBo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ht="13.5" thickBo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 ht="13.5" thickBo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 ht="13.5" thickBo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 ht="13.5" thickBo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 ht="13.5" thickBo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 ht="13.5" thickBo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ht="13.5" thickBo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 ht="13.5" thickBo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 ht="13.5" thickBo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 ht="13.5" thickBo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 ht="13.5" thickBo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 ht="13.5" thickBo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 ht="13.5" thickBo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 ht="13.5" thickBo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ht="13.5" thickBo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ht="13.5" thickBo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 ht="13.5" thickBo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 ht="13.5" thickBo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 ht="13.5" thickBo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 ht="13.5" thickBo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ht="13.5" thickBo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 ht="13.5" thickBo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 ht="13.5" thickBo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 ht="13.5" thickBo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 ht="13.5" thickBo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ht="13.5" thickBo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 ht="13.5" thickBo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 ht="13.5" thickBo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 ht="13.5" thickBo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 ht="13.5" thickBo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 ht="13.5" thickBo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 ht="13.5" thickBo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 ht="13.5" thickBo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 ht="13.5" thickBo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 ht="13.5" thickBo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 ht="13.5" thickBo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 ht="13.5" thickBo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 ht="13.5" thickBo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 ht="13.5" thickBo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 ht="13.5" thickBo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 ht="13.5" thickBo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 ht="13.5" thickBo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ht="13.5" thickBo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 ht="13.5" thickBo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 ht="13.5" thickBo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 ht="13.5" thickBo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 ht="13.5" thickBo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ht="13.5" thickBo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ht="13.5" thickBo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 ht="13.5" thickBo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 ht="13.5" thickBo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 ht="13.5" thickBo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 ht="13.5" thickBo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ht="13.5" thickBo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 ht="13.5" thickBo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 ht="13.5" thickBo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 ht="13.5" thickBo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 ht="13.5" thickBo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 ht="13.5" thickBo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 ht="13.5" thickBo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ht="13.5" thickBo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ht="13.5" thickBo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 ht="13.5" thickBo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 ht="13.5" thickBo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 ht="13.5" thickBo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 ht="13.5" thickBo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ht="13.5" thickBo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 ht="13.5" thickBo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 ht="13.5" thickBo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 ht="13.5" thickBo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ht="13.5" thickBo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 ht="13.5" thickBo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 ht="13.5" thickBo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 ht="13.5" thickBo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 ht="13.5" thickBo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ht="13.5" thickBo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ht="13.5" thickBo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 ht="13.5" thickBo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 ht="13.5" thickBo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 ht="13.5" thickBo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ht="13.5" thickBo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 ht="13.5" thickBo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ht="13.5" thickBo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 ht="13.5" thickBo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 ht="13.5" thickBo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 ht="13.5" thickBo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 ht="13.5" thickBo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ht="13.5" thickBo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 ht="13.5" thickBo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ht="13.5" thickBo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ht="13.5" thickBo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 ht="13.5" thickBo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 ht="13.5" thickBo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 ht="13.5" thickBo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 ht="13.5" thickBo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 ht="13.5" thickBo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 ht="13.5" thickBo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 ht="13.5" thickBo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 ht="13.5" thickBo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 ht="13.5" thickBo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 ht="13.5" thickBo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ht="13.5" thickBo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 ht="13.5" thickBo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 ht="13.5" thickBo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 ht="13.5" thickBo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 ht="13.5" thickBo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ht="13.5" thickBo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 ht="13.5" thickBo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 ht="13.5" thickBo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 ht="13.5" thickBo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 ht="13.5" thickBo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 ht="13.5" thickBo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 ht="13.5" thickBo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 ht="13.5" thickBo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 ht="13.5" thickBo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 ht="13.5" thickBo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 ht="13.5" thickBo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 ht="13.5" thickBo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 ht="13.5" thickBo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 ht="13.5" thickBo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ht="13.5" thickBo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 ht="13.5" thickBo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 ht="13.5" thickBo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 ht="13.5" thickBo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 ht="13.5" thickBo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 ht="13.5" thickBo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ht="13.5" thickBo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 ht="13.5" thickBo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 ht="13.5" thickBo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 ht="13.5" thickBo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 ht="13.5" thickBo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 ht="13.5" thickBo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 ht="13.5" thickBo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 ht="13.5" thickBo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 ht="13.5" thickBo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 ht="13.5" thickBo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 ht="13.5" thickBo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 ht="13.5" thickBo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 ht="13.5" thickBo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 ht="13.5" thickBo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 ht="13.5" thickBo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 ht="13.5" thickBo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 ht="13.5" thickBo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 ht="13.5" thickBo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 ht="13.5" thickBo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 ht="13.5" thickBo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 ht="13.5" thickBo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 ht="13.5" thickBo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 ht="13.5" thickBo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 ht="13.5" thickBo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 ht="13.5" thickBo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 ht="13.5" thickBo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tabSelected="1" zoomScale="85" zoomScaleNormal="85" workbookViewId="0">
      <pane xSplit="1" topLeftCell="B1" activePane="topRight" state="frozen"/>
      <selection pane="topRight" activeCell="F10" sqref="F10"/>
    </sheetView>
  </sheetViews>
  <sheetFormatPr baseColWidth="10" defaultColWidth="14.42578125" defaultRowHeight="12.75"/>
  <cols>
    <col min="1" max="1" width="53" style="23" customWidth="1"/>
    <col min="2" max="2" width="15.5703125" style="23" customWidth="1"/>
    <col min="3" max="4" width="14.42578125" style="23"/>
    <col min="5" max="5" width="16.140625" style="23" customWidth="1"/>
    <col min="6" max="6" width="14.42578125" style="23"/>
    <col min="7" max="7" width="31.28515625" style="23" bestFit="1" customWidth="1"/>
    <col min="8" max="8" width="17.140625" style="23" customWidth="1"/>
    <col min="9" max="9" width="34" style="30" customWidth="1"/>
    <col min="10" max="10" width="14.42578125" style="23"/>
    <col min="11" max="12" width="17.85546875" style="23" bestFit="1" customWidth="1"/>
    <col min="13" max="13" width="17.5703125" style="23" customWidth="1"/>
    <col min="14" max="16384" width="14.42578125" style="23"/>
  </cols>
  <sheetData>
    <row r="2" spans="1:12" ht="15">
      <c r="A2" s="83" t="s">
        <v>99</v>
      </c>
      <c r="B2" s="82"/>
      <c r="C2" s="82"/>
      <c r="D2" s="82"/>
    </row>
    <row r="3" spans="1:12" ht="15" customHeight="1">
      <c r="A3" s="82"/>
      <c r="B3" s="128" t="s">
        <v>43</v>
      </c>
      <c r="C3" s="128" t="s">
        <v>44</v>
      </c>
      <c r="D3" s="128" t="s">
        <v>45</v>
      </c>
      <c r="E3" s="29"/>
      <c r="F3" s="29"/>
      <c r="G3" s="29"/>
    </row>
    <row r="4" spans="1:12" ht="15" customHeight="1">
      <c r="A4" s="82" t="s">
        <v>26</v>
      </c>
      <c r="B4" s="129">
        <f>SUM('Flujo Mensual'!N16:'Flujo Mensual'!N20)</f>
        <v>105696000</v>
      </c>
      <c r="C4" s="129">
        <f>+B4*1.2</f>
        <v>126835200</v>
      </c>
      <c r="D4" s="129">
        <f>+C4*1.2</f>
        <v>152202240</v>
      </c>
      <c r="E4" s="29"/>
      <c r="F4" s="29"/>
      <c r="G4" s="29"/>
    </row>
    <row r="5" spans="1:12" ht="15" customHeight="1">
      <c r="A5" s="97" t="s">
        <v>100</v>
      </c>
      <c r="B5" s="130">
        <f>'Flujo Mensual'!N21</f>
        <v>5281634.2215</v>
      </c>
      <c r="C5" s="130">
        <f>+B5*1.1</f>
        <v>5809797.6436500009</v>
      </c>
      <c r="D5" s="130">
        <f>+C5*1.1</f>
        <v>6390777.4080150016</v>
      </c>
      <c r="E5" s="29"/>
      <c r="F5" s="29"/>
      <c r="G5" s="29"/>
    </row>
    <row r="6" spans="1:12" ht="15" customHeight="1">
      <c r="A6" s="83" t="s">
        <v>46</v>
      </c>
      <c r="B6" s="131">
        <f>+B5+B4</f>
        <v>110977634.22149999</v>
      </c>
      <c r="C6" s="131">
        <f>+C5+C4</f>
        <v>132644997.64365</v>
      </c>
      <c r="D6" s="131">
        <f>+D5+D4</f>
        <v>158593017.40801501</v>
      </c>
      <c r="E6" s="29"/>
      <c r="F6" s="29"/>
      <c r="G6" s="29"/>
    </row>
    <row r="7" spans="1:12" ht="15" customHeight="1">
      <c r="A7" s="29"/>
      <c r="B7" s="29"/>
      <c r="C7" s="29"/>
      <c r="D7" s="29"/>
      <c r="E7" s="29"/>
      <c r="F7" s="29"/>
      <c r="G7" s="29"/>
    </row>
    <row r="8" spans="1:12" ht="15" customHeight="1">
      <c r="A8" s="29"/>
      <c r="B8" s="29"/>
      <c r="C8" s="29"/>
      <c r="D8" s="29"/>
      <c r="E8" s="29"/>
      <c r="F8" s="29"/>
      <c r="G8" s="29"/>
      <c r="L8" s="32"/>
    </row>
    <row r="9" spans="1:12" ht="15" customHeight="1">
      <c r="A9" s="29"/>
      <c r="B9" s="29"/>
      <c r="C9" s="29"/>
      <c r="D9" s="29"/>
      <c r="E9" s="29"/>
      <c r="F9" s="29"/>
      <c r="G9" s="29"/>
      <c r="L9" s="32"/>
    </row>
    <row r="10" spans="1:12" ht="15" customHeight="1">
      <c r="A10" s="83" t="s">
        <v>76</v>
      </c>
      <c r="B10" s="29"/>
      <c r="C10" s="29"/>
      <c r="D10" s="29"/>
      <c r="E10" s="31"/>
      <c r="F10" s="31"/>
      <c r="G10" s="29"/>
    </row>
    <row r="11" spans="1:12" ht="15" customHeight="1">
      <c r="A11" s="44" t="s">
        <v>63</v>
      </c>
      <c r="B11" s="44" t="s">
        <v>64</v>
      </c>
      <c r="C11" s="44" t="s">
        <v>65</v>
      </c>
      <c r="D11" s="44" t="s">
        <v>66</v>
      </c>
      <c r="E11" s="31"/>
      <c r="F11" s="31"/>
      <c r="G11" s="29"/>
    </row>
    <row r="12" spans="1:12" ht="15" customHeight="1">
      <c r="A12" s="84" t="s">
        <v>109</v>
      </c>
      <c r="B12" s="85">
        <v>12</v>
      </c>
      <c r="C12" s="85">
        <v>25000</v>
      </c>
      <c r="D12" s="85">
        <f>B12*C12</f>
        <v>300000</v>
      </c>
      <c r="E12" s="31"/>
      <c r="F12" s="31"/>
      <c r="G12" s="29"/>
    </row>
    <row r="13" spans="1:12" ht="15" customHeight="1">
      <c r="A13" s="44" t="s">
        <v>78</v>
      </c>
      <c r="B13" s="85">
        <v>12</v>
      </c>
      <c r="C13" s="157">
        <f>15000*4</f>
        <v>60000</v>
      </c>
      <c r="D13" s="85">
        <f t="shared" ref="D13:D16" si="0">B13*C13</f>
        <v>720000</v>
      </c>
      <c r="E13" s="31"/>
      <c r="F13" s="31"/>
      <c r="G13" s="29"/>
    </row>
    <row r="14" spans="1:12" ht="15" customHeight="1">
      <c r="A14" s="84" t="s">
        <v>77</v>
      </c>
      <c r="B14" s="85">
        <v>12</v>
      </c>
      <c r="C14" s="85">
        <f>10000*4</f>
        <v>40000</v>
      </c>
      <c r="D14" s="85">
        <f t="shared" si="0"/>
        <v>480000</v>
      </c>
      <c r="E14" s="31"/>
      <c r="F14" s="31"/>
      <c r="G14" s="29"/>
    </row>
    <row r="15" spans="1:12" ht="15" customHeight="1">
      <c r="A15" s="84" t="s">
        <v>110</v>
      </c>
      <c r="B15" s="85">
        <v>12</v>
      </c>
      <c r="C15" s="85">
        <f>5000*4</f>
        <v>20000</v>
      </c>
      <c r="D15" s="85">
        <f t="shared" si="0"/>
        <v>240000</v>
      </c>
      <c r="E15" s="31"/>
      <c r="F15" s="31"/>
      <c r="G15" s="29"/>
    </row>
    <row r="16" spans="1:12" ht="15" customHeight="1">
      <c r="A16" s="84" t="s">
        <v>79</v>
      </c>
      <c r="B16" s="85">
        <v>12</v>
      </c>
      <c r="C16" s="85">
        <v>200000</v>
      </c>
      <c r="D16" s="85">
        <f t="shared" si="0"/>
        <v>2400000</v>
      </c>
      <c r="E16" s="31"/>
      <c r="F16" s="31"/>
      <c r="G16" s="29"/>
    </row>
    <row r="17" spans="1:13" ht="15" customHeight="1">
      <c r="A17" s="84" t="s">
        <v>80</v>
      </c>
      <c r="B17" s="85">
        <v>6</v>
      </c>
      <c r="C17" s="85">
        <v>1000000</v>
      </c>
      <c r="D17" s="85">
        <f>B17*C17</f>
        <v>6000000</v>
      </c>
      <c r="E17" s="31"/>
      <c r="F17" s="31"/>
      <c r="G17" s="29"/>
    </row>
    <row r="18" spans="1:13" ht="15" customHeight="1">
      <c r="A18" s="84"/>
      <c r="B18" s="85"/>
      <c r="C18" s="85"/>
      <c r="D18" s="85">
        <f>B18*C18</f>
        <v>0</v>
      </c>
      <c r="E18" s="31"/>
      <c r="F18" s="31"/>
      <c r="G18" s="29"/>
    </row>
    <row r="19" spans="1:13" ht="15" customHeight="1">
      <c r="A19" s="86" t="s">
        <v>69</v>
      </c>
      <c r="B19" s="87"/>
      <c r="C19" s="87">
        <f>SUM(C12:C18)</f>
        <v>1345000</v>
      </c>
      <c r="D19" s="87">
        <f>SUM(D12:D18)</f>
        <v>10140000</v>
      </c>
      <c r="E19" s="31"/>
      <c r="F19" s="31"/>
      <c r="G19" s="29"/>
    </row>
    <row r="20" spans="1:13" ht="15" customHeight="1">
      <c r="A20" s="89"/>
      <c r="B20" s="90"/>
      <c r="C20" s="90"/>
      <c r="D20" s="90"/>
      <c r="E20" s="31"/>
      <c r="F20" s="31"/>
      <c r="G20" s="29"/>
    </row>
    <row r="21" spans="1:13" ht="15" customHeight="1">
      <c r="A21" s="152" t="s">
        <v>47</v>
      </c>
      <c r="B21" s="90"/>
      <c r="C21" s="90"/>
      <c r="D21" s="90"/>
      <c r="E21" s="31"/>
      <c r="F21" s="31"/>
      <c r="G21" s="29"/>
    </row>
    <row r="22" spans="1:13" ht="15" customHeight="1">
      <c r="A22" s="91" t="s">
        <v>97</v>
      </c>
      <c r="B22" s="92">
        <v>1</v>
      </c>
      <c r="C22" s="92">
        <v>1000000</v>
      </c>
      <c r="D22" s="92">
        <f>B22*C22</f>
        <v>1000000</v>
      </c>
      <c r="E22" s="31"/>
      <c r="F22" s="31"/>
      <c r="G22" s="29"/>
    </row>
    <row r="23" spans="1:13" ht="15" customHeight="1">
      <c r="A23" s="82" t="s">
        <v>98</v>
      </c>
      <c r="B23" s="94">
        <v>5</v>
      </c>
      <c r="C23" s="95">
        <v>1000000</v>
      </c>
      <c r="D23" s="92">
        <f>B23*C23</f>
        <v>5000000</v>
      </c>
      <c r="E23" s="31"/>
      <c r="F23" s="31"/>
      <c r="G23" s="29"/>
    </row>
    <row r="24" spans="1:13" ht="15" customHeight="1">
      <c r="A24" s="33"/>
      <c r="B24" s="93"/>
      <c r="C24" s="93"/>
      <c r="D24" s="93"/>
      <c r="E24" s="31"/>
      <c r="F24" s="31"/>
      <c r="G24" s="29"/>
    </row>
    <row r="25" spans="1:13" ht="15" customHeight="1">
      <c r="A25" s="33"/>
      <c r="D25" s="34">
        <f>SUM(D22:D24)</f>
        <v>6000000</v>
      </c>
      <c r="E25" s="34">
        <f>+D25*1.1</f>
        <v>6600000.0000000009</v>
      </c>
      <c r="F25" s="34">
        <f>+E25*1.1</f>
        <v>7260000.0000000019</v>
      </c>
      <c r="G25" s="29"/>
    </row>
    <row r="26" spans="1:13" ht="15" customHeight="1">
      <c r="A26" s="29"/>
      <c r="B26" s="29"/>
      <c r="C26" s="29"/>
      <c r="D26" s="29" t="s">
        <v>103</v>
      </c>
      <c r="E26" s="31" t="s">
        <v>104</v>
      </c>
      <c r="F26" s="31" t="s">
        <v>105</v>
      </c>
      <c r="G26" s="29"/>
    </row>
    <row r="27" spans="1:13" ht="15" customHeight="1">
      <c r="A27" s="83" t="s">
        <v>73</v>
      </c>
      <c r="B27" s="29"/>
      <c r="C27" s="31"/>
      <c r="D27" s="29"/>
      <c r="E27" s="29"/>
      <c r="F27" s="29"/>
      <c r="G27" s="29"/>
    </row>
    <row r="28" spans="1:13" ht="15" customHeight="1">
      <c r="A28" s="35" t="s">
        <v>48</v>
      </c>
      <c r="B28" s="35" t="s">
        <v>49</v>
      </c>
      <c r="C28" s="35" t="s">
        <v>50</v>
      </c>
      <c r="D28" s="35" t="s">
        <v>51</v>
      </c>
      <c r="E28" s="35" t="s">
        <v>52</v>
      </c>
      <c r="F28" s="35" t="s">
        <v>53</v>
      </c>
      <c r="G28" s="35" t="s">
        <v>107</v>
      </c>
      <c r="I28" s="36" t="s">
        <v>2</v>
      </c>
      <c r="J28" s="37" t="s">
        <v>54</v>
      </c>
      <c r="K28" s="37" t="s">
        <v>43</v>
      </c>
      <c r="L28" s="37" t="s">
        <v>44</v>
      </c>
      <c r="M28" s="37" t="s">
        <v>45</v>
      </c>
    </row>
    <row r="29" spans="1:13" ht="15" customHeight="1">
      <c r="A29" s="38" t="s">
        <v>57</v>
      </c>
      <c r="B29" s="39">
        <v>1000000</v>
      </c>
      <c r="C29" s="40">
        <f t="shared" ref="C29:C34" si="1">+B29*0.07</f>
        <v>70000</v>
      </c>
      <c r="D29" s="40">
        <f t="shared" ref="D29:D34" si="2">+B29*0.12</f>
        <v>120000</v>
      </c>
      <c r="E29" s="40">
        <f t="shared" ref="E29:E34" si="3">+D29+C29+B29</f>
        <v>1190000</v>
      </c>
      <c r="F29" s="41">
        <v>1</v>
      </c>
      <c r="G29" s="42">
        <f t="shared" ref="G29:G34" si="4">+E29*F29*12</f>
        <v>14280000</v>
      </c>
      <c r="I29" s="43" t="s">
        <v>3</v>
      </c>
      <c r="J29" s="44"/>
      <c r="K29" s="45">
        <f>+B6</f>
        <v>110977634.22149999</v>
      </c>
      <c r="L29" s="45">
        <f>+C6</f>
        <v>132644997.64365</v>
      </c>
      <c r="M29" s="45">
        <f>+D6</f>
        <v>158593017.40801501</v>
      </c>
    </row>
    <row r="30" spans="1:13" ht="15" customHeight="1">
      <c r="A30" s="46" t="s">
        <v>58</v>
      </c>
      <c r="B30" s="39">
        <v>1000000</v>
      </c>
      <c r="C30" s="40">
        <f t="shared" si="1"/>
        <v>70000</v>
      </c>
      <c r="D30" s="40">
        <f t="shared" si="2"/>
        <v>120000</v>
      </c>
      <c r="E30" s="40">
        <f t="shared" si="3"/>
        <v>1190000</v>
      </c>
      <c r="F30" s="41">
        <v>1</v>
      </c>
      <c r="G30" s="42">
        <f t="shared" si="4"/>
        <v>14280000</v>
      </c>
      <c r="I30" s="43" t="s">
        <v>55</v>
      </c>
      <c r="J30" s="44"/>
      <c r="K30" s="45">
        <f>+D25</f>
        <v>6000000</v>
      </c>
      <c r="L30" s="45">
        <f>+E25</f>
        <v>6600000.0000000009</v>
      </c>
      <c r="M30" s="45">
        <f>+F25</f>
        <v>7260000.0000000019</v>
      </c>
    </row>
    <row r="31" spans="1:13" ht="15" customHeight="1">
      <c r="A31" s="46" t="s">
        <v>72</v>
      </c>
      <c r="B31" s="39">
        <v>1000000</v>
      </c>
      <c r="C31" s="40">
        <f t="shared" si="1"/>
        <v>70000</v>
      </c>
      <c r="D31" s="40">
        <f t="shared" si="2"/>
        <v>120000</v>
      </c>
      <c r="E31" s="40">
        <f t="shared" si="3"/>
        <v>1190000</v>
      </c>
      <c r="F31" s="41">
        <v>1</v>
      </c>
      <c r="G31" s="42">
        <f t="shared" si="4"/>
        <v>14280000</v>
      </c>
      <c r="I31" s="43" t="s">
        <v>56</v>
      </c>
      <c r="J31" s="44"/>
      <c r="K31" s="47">
        <f>+G35</f>
        <v>45696000</v>
      </c>
      <c r="L31" s="45">
        <f>+G35</f>
        <v>45696000</v>
      </c>
      <c r="M31" s="45">
        <f>+G35</f>
        <v>45696000</v>
      </c>
    </row>
    <row r="32" spans="1:13" ht="15" customHeight="1">
      <c r="A32" s="46" t="s">
        <v>71</v>
      </c>
      <c r="B32" s="39">
        <v>200000</v>
      </c>
      <c r="C32" s="40">
        <f t="shared" si="1"/>
        <v>14000.000000000002</v>
      </c>
      <c r="D32" s="40">
        <f t="shared" si="2"/>
        <v>24000</v>
      </c>
      <c r="E32" s="40">
        <f t="shared" si="3"/>
        <v>238000</v>
      </c>
      <c r="F32" s="41">
        <v>1</v>
      </c>
      <c r="G32" s="42">
        <f t="shared" si="4"/>
        <v>2856000</v>
      </c>
      <c r="I32" s="134" t="s">
        <v>106</v>
      </c>
      <c r="J32" s="44"/>
      <c r="K32" s="47">
        <f>G35</f>
        <v>45696000</v>
      </c>
      <c r="L32" s="45"/>
      <c r="M32" s="45"/>
    </row>
    <row r="33" spans="1:13" ht="15" customHeight="1">
      <c r="A33" s="46"/>
      <c r="B33" s="39"/>
      <c r="C33" s="40">
        <f t="shared" si="1"/>
        <v>0</v>
      </c>
      <c r="D33" s="40">
        <f t="shared" si="2"/>
        <v>0</v>
      </c>
      <c r="E33" s="40">
        <f t="shared" si="3"/>
        <v>0</v>
      </c>
      <c r="F33" s="41">
        <v>1</v>
      </c>
      <c r="G33" s="42">
        <f t="shared" si="4"/>
        <v>0</v>
      </c>
      <c r="I33" s="43" t="s">
        <v>59</v>
      </c>
      <c r="J33" s="44"/>
      <c r="K33" s="47">
        <f>+G45</f>
        <v>1600000</v>
      </c>
      <c r="L33" s="47">
        <f>+G45</f>
        <v>1600000</v>
      </c>
      <c r="M33" s="45">
        <v>0</v>
      </c>
    </row>
    <row r="34" spans="1:13" ht="15" customHeight="1">
      <c r="A34" s="46"/>
      <c r="B34" s="39"/>
      <c r="C34" s="40">
        <f t="shared" si="1"/>
        <v>0</v>
      </c>
      <c r="D34" s="40">
        <f t="shared" si="2"/>
        <v>0</v>
      </c>
      <c r="E34" s="40">
        <f t="shared" si="3"/>
        <v>0</v>
      </c>
      <c r="F34" s="41">
        <v>1</v>
      </c>
      <c r="G34" s="42">
        <f t="shared" si="4"/>
        <v>0</v>
      </c>
      <c r="I34" s="43" t="s">
        <v>5</v>
      </c>
      <c r="J34" s="48">
        <v>15000000</v>
      </c>
      <c r="K34" s="44"/>
      <c r="L34" s="44"/>
      <c r="M34" s="44"/>
    </row>
    <row r="35" spans="1:13" ht="15" customHeight="1">
      <c r="A35" s="49" t="s">
        <v>60</v>
      </c>
      <c r="B35" s="50"/>
      <c r="E35" s="51">
        <f>SUM(E29:E34)</f>
        <v>3808000</v>
      </c>
      <c r="G35" s="51">
        <f>SUM(G29:G34)</f>
        <v>45696000</v>
      </c>
      <c r="I35" s="52" t="s">
        <v>6</v>
      </c>
      <c r="J35" s="44"/>
      <c r="K35" s="53">
        <f>+K29-K30-K31-K33</f>
        <v>57681634.221499994</v>
      </c>
      <c r="L35" s="53">
        <f>+L29-L30-L31-L33</f>
        <v>78748997.643649995</v>
      </c>
      <c r="M35" s="53">
        <f>+M29-M30-M31-M33</f>
        <v>105637017.40801501</v>
      </c>
    </row>
    <row r="36" spans="1:13" ht="15" customHeight="1">
      <c r="A36" s="29"/>
      <c r="B36" s="29"/>
      <c r="C36" s="29"/>
      <c r="D36" s="29"/>
      <c r="E36" s="29"/>
      <c r="F36" s="29"/>
      <c r="G36" s="29"/>
      <c r="I36" s="43" t="s">
        <v>61</v>
      </c>
      <c r="J36" s="45"/>
      <c r="K36" s="45">
        <f>K35*25%</f>
        <v>14420408.555374999</v>
      </c>
      <c r="L36" s="45">
        <f>L35*25%</f>
        <v>19687249.410912499</v>
      </c>
      <c r="M36" s="45">
        <f>M35*25%</f>
        <v>26409254.352003753</v>
      </c>
    </row>
    <row r="37" spans="1:13" ht="15" customHeight="1">
      <c r="A37" s="29"/>
      <c r="B37" s="29"/>
      <c r="C37" s="29"/>
      <c r="D37" s="29"/>
      <c r="E37" s="29"/>
      <c r="F37" s="29"/>
      <c r="G37" s="29"/>
      <c r="I37" s="52" t="s">
        <v>8</v>
      </c>
      <c r="J37" s="44"/>
      <c r="K37" s="54">
        <f>K35-K36</f>
        <v>43261225.666125</v>
      </c>
      <c r="L37" s="54">
        <f>L35-L36</f>
        <v>59061748.232737496</v>
      </c>
      <c r="M37" s="54">
        <f>M35-M36</f>
        <v>79227763.05601126</v>
      </c>
    </row>
    <row r="38" spans="1:13" ht="15" customHeight="1">
      <c r="A38" s="83" t="s">
        <v>75</v>
      </c>
      <c r="B38" s="29"/>
      <c r="C38" s="29"/>
      <c r="D38" s="29"/>
      <c r="E38" s="29"/>
      <c r="F38" s="29"/>
      <c r="G38" s="29"/>
      <c r="I38" s="43" t="s">
        <v>62</v>
      </c>
      <c r="J38" s="44"/>
      <c r="K38" s="47">
        <f>+K33</f>
        <v>1600000</v>
      </c>
      <c r="L38" s="47">
        <f>+L33</f>
        <v>1600000</v>
      </c>
      <c r="M38" s="47">
        <f>+M33</f>
        <v>0</v>
      </c>
    </row>
    <row r="39" spans="1:13" ht="15" customHeight="1">
      <c r="A39" s="37" t="s">
        <v>63</v>
      </c>
      <c r="B39" s="55" t="s">
        <v>64</v>
      </c>
      <c r="C39" s="55" t="s">
        <v>65</v>
      </c>
      <c r="D39" s="55" t="s">
        <v>66</v>
      </c>
      <c r="E39" s="55" t="s">
        <v>67</v>
      </c>
      <c r="F39" s="56"/>
      <c r="G39" s="57" t="s">
        <v>102</v>
      </c>
      <c r="I39" s="58" t="s">
        <v>9</v>
      </c>
      <c r="J39" s="48">
        <f>-D45</f>
        <v>-4821900</v>
      </c>
      <c r="K39" s="59">
        <f>K37+K38</f>
        <v>44861225.666125</v>
      </c>
      <c r="L39" s="59">
        <f>L37+L38</f>
        <v>60661748.232737496</v>
      </c>
      <c r="M39" s="59">
        <f>M37+M38</f>
        <v>79227763.05601126</v>
      </c>
    </row>
    <row r="40" spans="1:13" ht="15" customHeight="1">
      <c r="A40" s="60" t="s">
        <v>68</v>
      </c>
      <c r="B40" s="61">
        <v>4</v>
      </c>
      <c r="C40" s="62">
        <v>1200000</v>
      </c>
      <c r="D40" s="62">
        <f>B40*C40</f>
        <v>4800000</v>
      </c>
      <c r="E40" s="63">
        <v>6</v>
      </c>
      <c r="F40" s="56"/>
      <c r="G40" s="64">
        <f>(D40/72)*24</f>
        <v>1600000</v>
      </c>
      <c r="I40" s="65"/>
      <c r="J40" s="29"/>
      <c r="K40" s="29"/>
      <c r="L40" s="29"/>
      <c r="M40" s="29"/>
    </row>
    <row r="41" spans="1:13" ht="15" customHeight="1">
      <c r="A41" s="80" t="s">
        <v>74</v>
      </c>
      <c r="B41" s="61">
        <v>1</v>
      </c>
      <c r="C41" s="62">
        <v>21900</v>
      </c>
      <c r="D41" s="62">
        <f>B41*C41</f>
        <v>21900</v>
      </c>
      <c r="E41" s="63"/>
      <c r="F41" s="56"/>
      <c r="G41" s="64"/>
      <c r="I41" s="65"/>
      <c r="J41" s="29"/>
      <c r="K41" s="29"/>
      <c r="L41" s="29"/>
      <c r="M41" s="29"/>
    </row>
    <row r="42" spans="1:13" ht="15" customHeight="1">
      <c r="A42" s="81"/>
      <c r="B42" s="61"/>
      <c r="C42" s="62"/>
      <c r="D42" s="62">
        <f t="shared" ref="D42:D44" si="5">B42*C42</f>
        <v>0</v>
      </c>
      <c r="E42" s="63"/>
      <c r="F42" s="56"/>
      <c r="G42" s="64"/>
      <c r="I42" s="67" t="s">
        <v>5</v>
      </c>
      <c r="J42" s="47">
        <v>51000000</v>
      </c>
      <c r="K42" s="29"/>
      <c r="L42" s="29"/>
      <c r="M42" s="68"/>
    </row>
    <row r="43" spans="1:13" ht="15" customHeight="1">
      <c r="A43" s="66"/>
      <c r="B43" s="61"/>
      <c r="C43" s="62"/>
      <c r="D43" s="62">
        <f t="shared" si="5"/>
        <v>0</v>
      </c>
      <c r="E43" s="63"/>
      <c r="F43" s="56"/>
      <c r="G43" s="64"/>
      <c r="I43" s="67" t="s">
        <v>10</v>
      </c>
      <c r="J43" s="155">
        <v>0.3</v>
      </c>
      <c r="K43" s="29"/>
      <c r="L43" s="29"/>
      <c r="M43" s="29"/>
    </row>
    <row r="44" spans="1:13" ht="15" customHeight="1">
      <c r="A44" s="66"/>
      <c r="B44" s="61"/>
      <c r="C44" s="62"/>
      <c r="D44" s="62">
        <f t="shared" si="5"/>
        <v>0</v>
      </c>
      <c r="E44" s="63"/>
      <c r="F44" s="56"/>
      <c r="G44" s="69"/>
      <c r="I44" s="70" t="s">
        <v>11</v>
      </c>
      <c r="J44" s="71">
        <f t="array" ref="J44">NPV(J43,K39:M39)-J42</f>
        <v>55464955.454857185</v>
      </c>
      <c r="K44" s="29"/>
      <c r="L44" s="72"/>
      <c r="M44" s="29"/>
    </row>
    <row r="45" spans="1:13" ht="15" customHeight="1">
      <c r="A45" s="149" t="s">
        <v>69</v>
      </c>
      <c r="B45" s="149"/>
      <c r="C45" s="149"/>
      <c r="D45" s="73">
        <f>SUM(D40:D44)</f>
        <v>4821900</v>
      </c>
      <c r="E45" s="74"/>
      <c r="F45" s="56"/>
      <c r="G45" s="75">
        <f>SUM(G40:G44)</f>
        <v>1600000</v>
      </c>
      <c r="I45" s="65"/>
      <c r="J45" s="29"/>
      <c r="K45" s="29"/>
      <c r="L45" s="29"/>
      <c r="M45" s="29"/>
    </row>
    <row r="46" spans="1:13" ht="15" customHeight="1">
      <c r="A46" s="29"/>
      <c r="B46" s="29"/>
      <c r="C46" s="29"/>
      <c r="D46" s="29"/>
      <c r="E46" s="29"/>
      <c r="F46" s="29"/>
      <c r="G46" s="29"/>
      <c r="I46" s="76" t="s">
        <v>70</v>
      </c>
      <c r="J46" s="77">
        <f>IRR(J39:M39)</f>
        <v>9.6322282218079316</v>
      </c>
      <c r="K46" s="29"/>
      <c r="L46" s="29"/>
      <c r="M46" s="29"/>
    </row>
    <row r="47" spans="1:13" ht="15" customHeight="1">
      <c r="I47" s="65"/>
      <c r="J47" s="29"/>
      <c r="K47" s="29"/>
      <c r="L47" s="29"/>
      <c r="M47" s="29"/>
    </row>
    <row r="49" spans="1:10" ht="15" customHeight="1">
      <c r="A49" s="88"/>
      <c r="B49" s="88"/>
      <c r="C49" s="88"/>
      <c r="D49" s="88"/>
      <c r="E49" s="96"/>
      <c r="F49" s="88"/>
      <c r="I49" s="78" t="s">
        <v>12</v>
      </c>
      <c r="J49" s="79">
        <f>J34/((SUM(K39:M39)/3))</f>
        <v>0.24357142353911945</v>
      </c>
    </row>
    <row r="53" spans="1:10" ht="15" customHeight="1"/>
  </sheetData>
  <mergeCells count="1">
    <mergeCell ref="A45:C45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"/>
  <sheetViews>
    <sheetView topLeftCell="A25" workbookViewId="0">
      <pane xSplit="1" topLeftCell="J1" activePane="topRight" state="frozen"/>
      <selection pane="topRight" activeCell="J43" sqref="J43:N43"/>
    </sheetView>
  </sheetViews>
  <sheetFormatPr baseColWidth="10" defaultColWidth="14.42578125" defaultRowHeight="15.75" customHeight="1"/>
  <cols>
    <col min="1" max="1" width="79.85546875" customWidth="1"/>
    <col min="2" max="2" width="14.85546875" customWidth="1"/>
    <col min="3" max="3" width="12.7109375" customWidth="1"/>
    <col min="4" max="4" width="15.85546875" customWidth="1"/>
    <col min="5" max="5" width="12.42578125" customWidth="1"/>
    <col min="6" max="8" width="13.7109375" customWidth="1"/>
    <col min="9" max="9" width="13.5703125" customWidth="1"/>
    <col min="10" max="10" width="12.5703125" customWidth="1"/>
    <col min="11" max="11" width="14.7109375" customWidth="1"/>
    <col min="12" max="12" width="13" customWidth="1"/>
    <col min="13" max="13" width="14" customWidth="1"/>
    <col min="14" max="14" width="19.140625" customWidth="1"/>
  </cols>
  <sheetData>
    <row r="1" spans="1:26" ht="15.75" customHeight="1">
      <c r="A1" s="150" t="s">
        <v>112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5.75" customHeight="1" thickBot="1">
      <c r="B2" s="1"/>
      <c r="C2" s="1"/>
      <c r="D2" s="1"/>
      <c r="E2" s="1"/>
      <c r="F2" s="1"/>
    </row>
    <row r="3" spans="1:26" ht="15.75" customHeight="1">
      <c r="A3" s="2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111" t="s">
        <v>25</v>
      </c>
      <c r="N3" s="119" t="s">
        <v>96</v>
      </c>
    </row>
    <row r="4" spans="1:26" ht="15.75" customHeight="1">
      <c r="A4" s="4" t="s">
        <v>83</v>
      </c>
      <c r="B4" s="13">
        <v>0</v>
      </c>
      <c r="C4" s="13">
        <f t="shared" ref="C4:F4" si="0">B4*1.1</f>
        <v>0</v>
      </c>
      <c r="D4" s="13">
        <f t="shared" si="0"/>
        <v>0</v>
      </c>
      <c r="E4" s="13">
        <f t="shared" si="0"/>
        <v>0</v>
      </c>
      <c r="F4" s="13">
        <f t="shared" si="0"/>
        <v>0</v>
      </c>
      <c r="G4" s="13">
        <v>0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12">
        <v>1</v>
      </c>
      <c r="N4" s="121"/>
    </row>
    <row r="5" spans="1:26" s="20" customFormat="1" ht="15.75" customHeight="1">
      <c r="A5" s="4" t="s">
        <v>84</v>
      </c>
      <c r="B5" s="13">
        <v>0</v>
      </c>
      <c r="C5" s="13">
        <f t="shared" ref="C5:C6" si="1">B5*1.1</f>
        <v>0</v>
      </c>
      <c r="D5" s="13">
        <f t="shared" ref="D5:D6" si="2">C5*1.1</f>
        <v>0</v>
      </c>
      <c r="E5" s="13">
        <f t="shared" ref="E5:E6" si="3">D5*1.1</f>
        <v>0</v>
      </c>
      <c r="F5" s="13">
        <f t="shared" ref="F5:F6" si="4">E5*1.1</f>
        <v>0</v>
      </c>
      <c r="G5" s="13">
        <f t="shared" ref="G5:G6" si="5">F5*1.1</f>
        <v>0</v>
      </c>
      <c r="H5" s="13">
        <v>1</v>
      </c>
      <c r="I5" s="13">
        <v>1</v>
      </c>
      <c r="J5" s="13">
        <v>1</v>
      </c>
      <c r="K5" s="13">
        <v>2</v>
      </c>
      <c r="L5" s="13">
        <v>2</v>
      </c>
      <c r="M5" s="112">
        <v>2</v>
      </c>
      <c r="N5" s="121"/>
    </row>
    <row r="6" spans="1:26" s="20" customFormat="1" ht="15.75" customHeight="1">
      <c r="A6" s="4" t="s">
        <v>85</v>
      </c>
      <c r="B6" s="13">
        <v>0</v>
      </c>
      <c r="C6" s="13">
        <f t="shared" si="1"/>
        <v>0</v>
      </c>
      <c r="D6" s="13">
        <f t="shared" si="2"/>
        <v>0</v>
      </c>
      <c r="E6" s="13">
        <f t="shared" si="3"/>
        <v>0</v>
      </c>
      <c r="F6" s="13">
        <f t="shared" si="4"/>
        <v>0</v>
      </c>
      <c r="G6" s="13">
        <f t="shared" si="5"/>
        <v>0</v>
      </c>
      <c r="H6" s="13">
        <v>1</v>
      </c>
      <c r="I6" s="13">
        <v>1</v>
      </c>
      <c r="J6" s="13">
        <v>1</v>
      </c>
      <c r="K6" s="13">
        <v>2</v>
      </c>
      <c r="L6" s="13">
        <f t="shared" ref="L6" si="6">K6*1.1</f>
        <v>2.2000000000000002</v>
      </c>
      <c r="M6" s="112">
        <f t="shared" ref="M6" si="7">L6*1.1</f>
        <v>2.4200000000000004</v>
      </c>
      <c r="N6" s="121"/>
    </row>
    <row r="7" spans="1:26" s="20" customFormat="1" ht="15.75" customHeight="1">
      <c r="A7" s="4" t="s">
        <v>86</v>
      </c>
      <c r="B7" s="13">
        <v>0</v>
      </c>
      <c r="C7" s="13">
        <f t="shared" ref="C7:C8" si="8">B7*1.1</f>
        <v>0</v>
      </c>
      <c r="D7" s="13">
        <f t="shared" ref="D7:D8" si="9">C7*1.1</f>
        <v>0</v>
      </c>
      <c r="E7" s="13">
        <f t="shared" ref="E7:E8" si="10">D7*1.1</f>
        <v>0</v>
      </c>
      <c r="F7" s="13">
        <f t="shared" ref="F7:F8" si="11">E7*1.1</f>
        <v>0</v>
      </c>
      <c r="G7" s="13">
        <f t="shared" ref="G7:G8" si="12">F7*1.1</f>
        <v>0</v>
      </c>
      <c r="H7" s="13">
        <v>1</v>
      </c>
      <c r="I7" s="13">
        <f t="shared" ref="I7" si="13">H7*1.3</f>
        <v>1.3</v>
      </c>
      <c r="J7" s="13">
        <v>5</v>
      </c>
      <c r="K7" s="13">
        <v>7</v>
      </c>
      <c r="L7" s="13">
        <v>8</v>
      </c>
      <c r="M7" s="112">
        <v>10</v>
      </c>
      <c r="N7" s="121"/>
    </row>
    <row r="8" spans="1:26" s="20" customFormat="1" ht="15.75" customHeight="1">
      <c r="A8" s="4" t="s">
        <v>87</v>
      </c>
      <c r="B8" s="13">
        <v>0</v>
      </c>
      <c r="C8" s="13">
        <f t="shared" si="8"/>
        <v>0</v>
      </c>
      <c r="D8" s="13">
        <f t="shared" si="9"/>
        <v>0</v>
      </c>
      <c r="E8" s="13">
        <f t="shared" si="10"/>
        <v>0</v>
      </c>
      <c r="F8" s="13">
        <f t="shared" si="11"/>
        <v>0</v>
      </c>
      <c r="G8" s="13">
        <f t="shared" si="12"/>
        <v>0</v>
      </c>
      <c r="H8" s="13">
        <v>0</v>
      </c>
      <c r="I8" s="13">
        <v>0</v>
      </c>
      <c r="J8" s="13">
        <v>0</v>
      </c>
      <c r="K8" s="13">
        <v>1</v>
      </c>
      <c r="L8" s="13">
        <v>1</v>
      </c>
      <c r="M8" s="112">
        <f t="shared" ref="M8" si="14">L8*1.1</f>
        <v>1.1000000000000001</v>
      </c>
      <c r="N8" s="121"/>
    </row>
    <row r="9" spans="1:26" s="17" customFormat="1" ht="15.75" customHeight="1">
      <c r="A9" s="100" t="s">
        <v>81</v>
      </c>
      <c r="B9" s="101">
        <v>0</v>
      </c>
      <c r="C9" s="101">
        <f>B9*1.3</f>
        <v>0</v>
      </c>
      <c r="D9" s="101">
        <f>C9*1.3</f>
        <v>0</v>
      </c>
      <c r="E9" s="101">
        <v>500</v>
      </c>
      <c r="F9" s="101">
        <f>E9*1.3</f>
        <v>650</v>
      </c>
      <c r="G9" s="101">
        <f>F9*1.3</f>
        <v>845</v>
      </c>
      <c r="H9" s="101">
        <f t="shared" ref="H9:M9" si="15">G9*1.3</f>
        <v>1098.5</v>
      </c>
      <c r="I9" s="101">
        <f t="shared" si="15"/>
        <v>1428.05</v>
      </c>
      <c r="J9" s="101">
        <f t="shared" si="15"/>
        <v>1856.4649999999999</v>
      </c>
      <c r="K9" s="101">
        <f t="shared" si="15"/>
        <v>2413.4045000000001</v>
      </c>
      <c r="L9" s="101">
        <f t="shared" si="15"/>
        <v>3137.4258500000001</v>
      </c>
      <c r="M9" s="113">
        <f t="shared" si="15"/>
        <v>4078.6536050000004</v>
      </c>
      <c r="N9" s="121">
        <f>SUM(B9:M9)</f>
        <v>16007.498954999999</v>
      </c>
    </row>
    <row r="10" spans="1:26" s="20" customFormat="1" ht="15.75" customHeight="1">
      <c r="A10" s="98" t="s">
        <v>101</v>
      </c>
      <c r="B10" s="102"/>
      <c r="C10" s="102"/>
      <c r="D10" s="102"/>
      <c r="E10" s="102"/>
      <c r="F10" s="102"/>
      <c r="G10" s="102"/>
      <c r="H10" s="102">
        <f>G9 * 0.1</f>
        <v>84.5</v>
      </c>
      <c r="I10" s="102">
        <f>H10*1.3</f>
        <v>109.85000000000001</v>
      </c>
      <c r="J10" s="102">
        <f t="shared" ref="J10:M10" si="16">I10*1.3</f>
        <v>142.80500000000001</v>
      </c>
      <c r="K10" s="102">
        <f t="shared" si="16"/>
        <v>185.6465</v>
      </c>
      <c r="L10" s="102">
        <f t="shared" si="16"/>
        <v>241.34045</v>
      </c>
      <c r="M10" s="114">
        <f t="shared" si="16"/>
        <v>313.74258500000002</v>
      </c>
      <c r="N10" s="121">
        <f>SUM(B10:M10)</f>
        <v>1077.8845350000001</v>
      </c>
    </row>
    <row r="11" spans="1:26" ht="15.75" customHeight="1">
      <c r="A11" s="98" t="s">
        <v>29</v>
      </c>
      <c r="B11" s="99">
        <v>4900</v>
      </c>
      <c r="C11" s="99">
        <v>4900</v>
      </c>
      <c r="D11" s="99">
        <v>4900</v>
      </c>
      <c r="E11" s="99">
        <v>4900</v>
      </c>
      <c r="F11" s="99">
        <v>4900</v>
      </c>
      <c r="G11" s="99">
        <v>4900</v>
      </c>
      <c r="H11" s="99">
        <v>4900</v>
      </c>
      <c r="I11" s="99">
        <v>4900</v>
      </c>
      <c r="J11" s="99">
        <v>4900</v>
      </c>
      <c r="K11" s="99">
        <v>4900</v>
      </c>
      <c r="L11" s="99">
        <v>4900</v>
      </c>
      <c r="M11" s="115">
        <v>4900</v>
      </c>
      <c r="N11" s="121"/>
    </row>
    <row r="12" spans="1:26" ht="15.75" customHeight="1">
      <c r="A12" s="107" t="s">
        <v>82</v>
      </c>
      <c r="B12" s="106">
        <v>0</v>
      </c>
      <c r="C12" s="106">
        <v>0</v>
      </c>
      <c r="D12" s="106">
        <v>0</v>
      </c>
      <c r="E12" s="106">
        <v>0</v>
      </c>
      <c r="F12" s="106">
        <v>0</v>
      </c>
      <c r="G12" s="106">
        <v>0</v>
      </c>
      <c r="H12" s="108">
        <v>600000</v>
      </c>
      <c r="I12" s="108">
        <v>600000</v>
      </c>
      <c r="J12" s="108">
        <v>600000</v>
      </c>
      <c r="K12" s="108">
        <v>600000</v>
      </c>
      <c r="L12" s="108">
        <v>600000</v>
      </c>
      <c r="M12" s="116">
        <v>600000</v>
      </c>
      <c r="N12" s="121"/>
      <c r="P12" s="120"/>
    </row>
    <row r="13" spans="1:26" s="20" customFormat="1" ht="15.75" customHeight="1">
      <c r="A13" s="107" t="s">
        <v>93</v>
      </c>
      <c r="B13" s="105">
        <v>0</v>
      </c>
      <c r="C13" s="105">
        <v>0</v>
      </c>
      <c r="D13" s="105">
        <v>0</v>
      </c>
      <c r="E13" s="105">
        <v>0</v>
      </c>
      <c r="F13" s="105">
        <v>0</v>
      </c>
      <c r="G13" s="105">
        <v>0</v>
      </c>
      <c r="H13" s="109">
        <v>450000</v>
      </c>
      <c r="I13" s="109">
        <v>450000</v>
      </c>
      <c r="J13" s="109">
        <v>450000</v>
      </c>
      <c r="K13" s="109">
        <v>450000</v>
      </c>
      <c r="L13" s="109">
        <v>450000</v>
      </c>
      <c r="M13" s="117">
        <v>450000</v>
      </c>
      <c r="N13" s="121"/>
    </row>
    <row r="14" spans="1:26" s="20" customFormat="1" ht="15.75" customHeight="1">
      <c r="A14" s="107" t="s">
        <v>91</v>
      </c>
      <c r="B14" s="105">
        <v>0</v>
      </c>
      <c r="C14" s="105">
        <v>0</v>
      </c>
      <c r="D14" s="105">
        <v>0</v>
      </c>
      <c r="E14" s="105">
        <v>0</v>
      </c>
      <c r="F14" s="105">
        <v>0</v>
      </c>
      <c r="G14" s="105">
        <v>0</v>
      </c>
      <c r="H14" s="109">
        <v>300000</v>
      </c>
      <c r="I14" s="109">
        <v>300000</v>
      </c>
      <c r="J14" s="109">
        <v>300000</v>
      </c>
      <c r="K14" s="109">
        <v>300000</v>
      </c>
      <c r="L14" s="109">
        <v>300000</v>
      </c>
      <c r="M14" s="117">
        <v>300000</v>
      </c>
      <c r="N14" s="121"/>
    </row>
    <row r="15" spans="1:26" s="20" customFormat="1" ht="15.75" customHeight="1" thickBot="1">
      <c r="A15" s="107" t="s">
        <v>92</v>
      </c>
      <c r="B15" s="105">
        <v>0</v>
      </c>
      <c r="C15" s="105">
        <v>0</v>
      </c>
      <c r="D15" s="105">
        <v>0</v>
      </c>
      <c r="E15" s="105">
        <v>0</v>
      </c>
      <c r="F15" s="105">
        <v>0</v>
      </c>
      <c r="G15" s="105">
        <v>0</v>
      </c>
      <c r="H15" s="109">
        <v>200000</v>
      </c>
      <c r="I15" s="109">
        <v>200000</v>
      </c>
      <c r="J15" s="109">
        <v>200000</v>
      </c>
      <c r="K15" s="109">
        <v>200000</v>
      </c>
      <c r="L15" s="109">
        <v>200000</v>
      </c>
      <c r="M15" s="117">
        <v>200000</v>
      </c>
      <c r="N15" s="125"/>
    </row>
    <row r="16" spans="1:26" ht="15.75" customHeight="1">
      <c r="A16" s="103" t="s">
        <v>88</v>
      </c>
      <c r="B16" s="104">
        <f t="shared" ref="B16:D17" si="17">B4*B12</f>
        <v>0</v>
      </c>
      <c r="C16" s="104">
        <f t="shared" si="17"/>
        <v>0</v>
      </c>
      <c r="D16" s="104">
        <f t="shared" si="17"/>
        <v>0</v>
      </c>
      <c r="E16" s="104">
        <v>0</v>
      </c>
      <c r="F16" s="104">
        <f>F4*F12</f>
        <v>0</v>
      </c>
      <c r="G16" s="104">
        <f>G4*G12</f>
        <v>0</v>
      </c>
      <c r="H16" s="104">
        <f>(H4*6)*H12</f>
        <v>3600000</v>
      </c>
      <c r="I16" s="104">
        <f t="shared" ref="I16:M19" si="18">(I4*6)*I12</f>
        <v>3600000</v>
      </c>
      <c r="J16" s="104">
        <f t="shared" si="18"/>
        <v>3600000</v>
      </c>
      <c r="K16" s="104">
        <f t="shared" si="18"/>
        <v>3600000</v>
      </c>
      <c r="L16" s="104">
        <f t="shared" si="18"/>
        <v>3600000</v>
      </c>
      <c r="M16" s="118">
        <f t="shared" si="18"/>
        <v>3600000</v>
      </c>
      <c r="N16" s="126">
        <f>SUM(B16:M16)</f>
        <v>21600000</v>
      </c>
    </row>
    <row r="17" spans="1:16" s="20" customFormat="1" ht="15.75" customHeight="1">
      <c r="A17" s="103" t="s">
        <v>89</v>
      </c>
      <c r="B17" s="104">
        <f t="shared" si="17"/>
        <v>0</v>
      </c>
      <c r="C17" s="104">
        <f t="shared" si="17"/>
        <v>0</v>
      </c>
      <c r="D17" s="104">
        <f t="shared" si="17"/>
        <v>0</v>
      </c>
      <c r="E17" s="104">
        <v>0</v>
      </c>
      <c r="F17" s="104">
        <f>F5*F13</f>
        <v>0</v>
      </c>
      <c r="G17" s="104">
        <f>G5*G13</f>
        <v>0</v>
      </c>
      <c r="H17" s="104">
        <f>(H5*6)*H13</f>
        <v>2700000</v>
      </c>
      <c r="I17" s="104">
        <f t="shared" si="18"/>
        <v>2700000</v>
      </c>
      <c r="J17" s="104">
        <f t="shared" si="18"/>
        <v>2700000</v>
      </c>
      <c r="K17" s="104">
        <f t="shared" si="18"/>
        <v>5400000</v>
      </c>
      <c r="L17" s="104">
        <f t="shared" si="18"/>
        <v>5400000</v>
      </c>
      <c r="M17" s="118">
        <f t="shared" si="18"/>
        <v>5400000</v>
      </c>
      <c r="N17" s="122">
        <f t="shared" ref="N17:N22" si="19">SUM(B17:M17)</f>
        <v>24300000</v>
      </c>
    </row>
    <row r="18" spans="1:16" s="20" customFormat="1" ht="15.75" customHeight="1">
      <c r="A18" s="103" t="s">
        <v>90</v>
      </c>
      <c r="B18" s="104">
        <f t="shared" ref="B18:D19" si="20">B5*B13</f>
        <v>0</v>
      </c>
      <c r="C18" s="104">
        <f t="shared" si="20"/>
        <v>0</v>
      </c>
      <c r="D18" s="104">
        <f t="shared" si="20"/>
        <v>0</v>
      </c>
      <c r="E18" s="104">
        <v>0</v>
      </c>
      <c r="F18" s="104">
        <f>F5*F13</f>
        <v>0</v>
      </c>
      <c r="G18" s="104">
        <f>G5*G13</f>
        <v>0</v>
      </c>
      <c r="H18" s="104">
        <f>(H6*6)*H14</f>
        <v>1800000</v>
      </c>
      <c r="I18" s="104">
        <f t="shared" si="18"/>
        <v>1800000</v>
      </c>
      <c r="J18" s="104">
        <f t="shared" si="18"/>
        <v>1800000</v>
      </c>
      <c r="K18" s="104">
        <f t="shared" si="18"/>
        <v>3600000</v>
      </c>
      <c r="L18" s="104">
        <f t="shared" si="18"/>
        <v>3960000.0000000005</v>
      </c>
      <c r="M18" s="118">
        <f t="shared" si="18"/>
        <v>4356000.0000000009</v>
      </c>
      <c r="N18" s="122">
        <f t="shared" si="19"/>
        <v>17316000</v>
      </c>
    </row>
    <row r="19" spans="1:16" s="20" customFormat="1" ht="15.75" customHeight="1">
      <c r="A19" s="103" t="s">
        <v>94</v>
      </c>
      <c r="B19" s="104">
        <f t="shared" si="20"/>
        <v>0</v>
      </c>
      <c r="C19" s="104">
        <f t="shared" si="20"/>
        <v>0</v>
      </c>
      <c r="D19" s="104">
        <f t="shared" si="20"/>
        <v>0</v>
      </c>
      <c r="E19" s="104">
        <v>0</v>
      </c>
      <c r="F19" s="104">
        <f>F6*F14</f>
        <v>0</v>
      </c>
      <c r="G19" s="104">
        <f>G6*G14</f>
        <v>0</v>
      </c>
      <c r="H19" s="104">
        <f>(H7*6)*H15</f>
        <v>1200000</v>
      </c>
      <c r="I19" s="104">
        <f t="shared" si="18"/>
        <v>1560000.0000000002</v>
      </c>
      <c r="J19" s="104">
        <f t="shared" si="18"/>
        <v>6000000</v>
      </c>
      <c r="K19" s="104">
        <f t="shared" si="18"/>
        <v>8400000</v>
      </c>
      <c r="L19" s="104">
        <f t="shared" si="18"/>
        <v>9600000</v>
      </c>
      <c r="M19" s="118">
        <f t="shared" si="18"/>
        <v>12000000</v>
      </c>
      <c r="N19" s="122">
        <f t="shared" si="19"/>
        <v>38760000</v>
      </c>
    </row>
    <row r="20" spans="1:16" s="20" customFormat="1" ht="15.75" customHeight="1" thickBot="1">
      <c r="A20" s="103" t="s">
        <v>95</v>
      </c>
      <c r="B20" s="104"/>
      <c r="C20" s="104"/>
      <c r="D20" s="104"/>
      <c r="E20" s="104"/>
      <c r="F20" s="104"/>
      <c r="G20" s="104"/>
      <c r="H20" s="104">
        <f>(H8*6)*H15</f>
        <v>0</v>
      </c>
      <c r="I20" s="104">
        <f t="shared" ref="I20:M20" si="21">(I8*6)*I15</f>
        <v>0</v>
      </c>
      <c r="J20" s="104">
        <f t="shared" si="21"/>
        <v>0</v>
      </c>
      <c r="K20" s="104">
        <f t="shared" si="21"/>
        <v>1200000</v>
      </c>
      <c r="L20" s="104">
        <f t="shared" si="21"/>
        <v>1200000</v>
      </c>
      <c r="M20" s="118">
        <f t="shared" si="21"/>
        <v>1320000</v>
      </c>
      <c r="N20" s="127">
        <f t="shared" si="19"/>
        <v>3720000</v>
      </c>
    </row>
    <row r="21" spans="1:16" s="17" customFormat="1" ht="15.75" customHeight="1" thickBot="1">
      <c r="A21" s="98" t="s">
        <v>27</v>
      </c>
      <c r="B21" s="99">
        <v>0</v>
      </c>
      <c r="C21" s="99">
        <v>0</v>
      </c>
      <c r="D21" s="99">
        <v>0</v>
      </c>
      <c r="E21" s="99">
        <v>0</v>
      </c>
      <c r="F21" s="99">
        <v>0</v>
      </c>
      <c r="G21" s="99">
        <v>0</v>
      </c>
      <c r="H21" s="99">
        <f t="shared" ref="H21:M21" si="22">H10*H11</f>
        <v>414050</v>
      </c>
      <c r="I21" s="99">
        <f t="shared" si="22"/>
        <v>538265</v>
      </c>
      <c r="J21" s="99">
        <f t="shared" si="22"/>
        <v>699744.5</v>
      </c>
      <c r="K21" s="99">
        <f t="shared" si="22"/>
        <v>909667.85</v>
      </c>
      <c r="L21" s="99">
        <f t="shared" si="22"/>
        <v>1182568.2050000001</v>
      </c>
      <c r="M21" s="115">
        <f t="shared" si="22"/>
        <v>1537338.6665000001</v>
      </c>
      <c r="N21" s="124">
        <f t="shared" si="19"/>
        <v>5281634.2215</v>
      </c>
    </row>
    <row r="22" spans="1:16" ht="15.75" customHeight="1" thickBot="1">
      <c r="A22" s="4" t="s">
        <v>28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f>H16+H21</f>
        <v>4014050</v>
      </c>
      <c r="I22" s="110">
        <f>SUM(I16:I21)</f>
        <v>10198265</v>
      </c>
      <c r="J22" s="110">
        <f t="shared" ref="J22:M22" si="23">SUM(J16:J21)</f>
        <v>14799744.5</v>
      </c>
      <c r="K22" s="110">
        <f t="shared" si="23"/>
        <v>23109667.850000001</v>
      </c>
      <c r="L22" s="110">
        <f t="shared" si="23"/>
        <v>24942568.204999998</v>
      </c>
      <c r="M22" s="110">
        <f t="shared" si="23"/>
        <v>28213338.666499998</v>
      </c>
      <c r="N22" s="124">
        <f t="shared" si="19"/>
        <v>105277634.22150001</v>
      </c>
    </row>
    <row r="24" spans="1:16" ht="15.75" customHeight="1">
      <c r="B24" s="10"/>
    </row>
    <row r="25" spans="1:16" ht="15.75" customHeight="1">
      <c r="A25" s="18"/>
      <c r="B25" s="11"/>
    </row>
    <row r="26" spans="1:16" ht="15.75" customHeight="1">
      <c r="A26" s="18"/>
      <c r="B26" s="10"/>
      <c r="C26" s="12"/>
    </row>
    <row r="27" spans="1:16" ht="15.75" customHeight="1">
      <c r="A27" s="16"/>
      <c r="B27" s="10"/>
    </row>
    <row r="28" spans="1:16" ht="15.75" customHeight="1">
      <c r="A28" s="123"/>
      <c r="B28" s="10"/>
    </row>
    <row r="29" spans="1:16" ht="15.75" customHeight="1">
      <c r="A29" s="154" t="s">
        <v>43</v>
      </c>
      <c r="B29" s="12"/>
    </row>
    <row r="31" spans="1:16" ht="15.75" customHeight="1">
      <c r="A31" s="7" t="s">
        <v>2</v>
      </c>
      <c r="B31" s="6" t="s">
        <v>18</v>
      </c>
      <c r="C31" s="132">
        <f>B22</f>
        <v>0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19</v>
      </c>
      <c r="I31" s="6" t="s">
        <v>20</v>
      </c>
      <c r="J31" s="6" t="s">
        <v>21</v>
      </c>
      <c r="K31" s="6" t="s">
        <v>22</v>
      </c>
      <c r="L31" s="6" t="s">
        <v>23</v>
      </c>
      <c r="M31" s="6" t="s">
        <v>24</v>
      </c>
      <c r="N31" s="6" t="s">
        <v>25</v>
      </c>
    </row>
    <row r="32" spans="1:16" ht="15.75" customHeight="1">
      <c r="A32" s="135" t="s">
        <v>3</v>
      </c>
      <c r="B32" s="136"/>
      <c r="C32" s="137">
        <f>B22</f>
        <v>0</v>
      </c>
      <c r="D32" s="137">
        <f t="shared" ref="D32:N32" si="24">C22</f>
        <v>0</v>
      </c>
      <c r="E32" s="137">
        <f t="shared" si="24"/>
        <v>0</v>
      </c>
      <c r="F32" s="137">
        <f t="shared" si="24"/>
        <v>0</v>
      </c>
      <c r="G32" s="137">
        <f t="shared" si="24"/>
        <v>0</v>
      </c>
      <c r="H32" s="137">
        <f t="shared" si="24"/>
        <v>0</v>
      </c>
      <c r="I32" s="137">
        <f t="shared" si="24"/>
        <v>4014050</v>
      </c>
      <c r="J32" s="137">
        <f t="shared" si="24"/>
        <v>10198265</v>
      </c>
      <c r="K32" s="137">
        <f t="shared" si="24"/>
        <v>14799744.5</v>
      </c>
      <c r="L32" s="137">
        <f t="shared" si="24"/>
        <v>23109667.850000001</v>
      </c>
      <c r="M32" s="137">
        <f t="shared" si="24"/>
        <v>24942568.204999998</v>
      </c>
      <c r="N32" s="137">
        <f t="shared" si="24"/>
        <v>28213338.666499998</v>
      </c>
      <c r="P32" s="19"/>
    </row>
    <row r="33" spans="1:14" ht="15.75" customHeight="1">
      <c r="A33" s="138" t="s">
        <v>0</v>
      </c>
      <c r="B33" s="139"/>
      <c r="C33" s="140">
        <f t="shared" ref="C33:H33" si="25">B22</f>
        <v>0</v>
      </c>
      <c r="D33" s="140">
        <f t="shared" si="25"/>
        <v>0</v>
      </c>
      <c r="E33" s="140">
        <f t="shared" si="25"/>
        <v>0</v>
      </c>
      <c r="F33" s="140">
        <f t="shared" si="25"/>
        <v>0</v>
      </c>
      <c r="G33" s="140">
        <f t="shared" si="25"/>
        <v>0</v>
      </c>
      <c r="H33" s="140">
        <f t="shared" si="25"/>
        <v>0</v>
      </c>
      <c r="I33" s="140">
        <f>'Flujo Anual '!D25/6</f>
        <v>1000000</v>
      </c>
      <c r="J33" s="140">
        <f>'Flujo Anual '!D25/6</f>
        <v>1000000</v>
      </c>
      <c r="K33" s="140">
        <f>'Flujo Anual '!D25/6</f>
        <v>1000000</v>
      </c>
      <c r="L33" s="140">
        <f>'Flujo Anual '!D25/6</f>
        <v>1000000</v>
      </c>
      <c r="M33" s="140">
        <f>'Flujo Anual '!D25/6</f>
        <v>1000000</v>
      </c>
      <c r="N33" s="140">
        <f>'Flujo Anual '!D25/6</f>
        <v>1000000</v>
      </c>
    </row>
    <row r="34" spans="1:14" ht="15.75" customHeight="1">
      <c r="A34" s="138" t="s">
        <v>4</v>
      </c>
      <c r="B34" s="139"/>
      <c r="C34" s="140">
        <f>D34</f>
        <v>10140000</v>
      </c>
      <c r="D34" s="140">
        <f>'Flujo Anual '!D19</f>
        <v>10140000</v>
      </c>
      <c r="E34" s="140">
        <f>'Flujo Anual '!D19</f>
        <v>10140000</v>
      </c>
      <c r="F34" s="140">
        <f>'Flujo Anual '!D19</f>
        <v>10140000</v>
      </c>
      <c r="G34" s="140">
        <f>'Flujo Anual '!D19</f>
        <v>10140000</v>
      </c>
      <c r="H34" s="140">
        <f>'Flujo Anual '!D19</f>
        <v>10140000</v>
      </c>
      <c r="I34" s="140">
        <f>'Flujo Anual '!D19</f>
        <v>10140000</v>
      </c>
      <c r="J34" s="140">
        <f>'Flujo Anual '!D19</f>
        <v>10140000</v>
      </c>
      <c r="K34" s="140">
        <f>'Flujo Anual '!D19</f>
        <v>10140000</v>
      </c>
      <c r="L34" s="140">
        <f>'Flujo Anual '!D19</f>
        <v>10140000</v>
      </c>
      <c r="M34" s="140">
        <f>'Flujo Anual '!D19</f>
        <v>10140000</v>
      </c>
      <c r="N34" s="140">
        <f>'Flujo Anual '!D19</f>
        <v>10140000</v>
      </c>
    </row>
    <row r="35" spans="1:14" s="21" customFormat="1" ht="15.75" customHeight="1">
      <c r="A35" s="138" t="s">
        <v>108</v>
      </c>
      <c r="B35" s="139"/>
      <c r="C35" s="140">
        <f>'Flujo Anual '!E35</f>
        <v>3808000</v>
      </c>
      <c r="D35" s="140">
        <f>'Flujo Anual '!E35</f>
        <v>3808000</v>
      </c>
      <c r="E35" s="140">
        <f>'Flujo Anual '!E35</f>
        <v>3808000</v>
      </c>
      <c r="F35" s="140">
        <f>'Flujo Anual '!E35</f>
        <v>3808000</v>
      </c>
      <c r="G35" s="140">
        <f>'Flujo Anual '!E35</f>
        <v>3808000</v>
      </c>
      <c r="H35" s="140">
        <f>'Flujo Anual '!E35</f>
        <v>3808000</v>
      </c>
      <c r="I35" s="140">
        <f>'Flujo Anual '!E35</f>
        <v>3808000</v>
      </c>
      <c r="J35" s="140">
        <f>'Flujo Anual '!E35</f>
        <v>3808000</v>
      </c>
      <c r="K35" s="140">
        <f>'Flujo Anual '!E35</f>
        <v>3808000</v>
      </c>
      <c r="L35" s="140">
        <f>'Flujo Anual '!E35</f>
        <v>3808000</v>
      </c>
      <c r="M35" s="140">
        <f>'Flujo Anual '!E35</f>
        <v>3808000</v>
      </c>
      <c r="N35" s="140">
        <f>'Flujo Anual '!E35</f>
        <v>3808000</v>
      </c>
    </row>
    <row r="36" spans="1:14" ht="15.75" customHeight="1">
      <c r="A36" s="135" t="s">
        <v>1</v>
      </c>
      <c r="B36" s="136"/>
      <c r="C36" s="137">
        <f>('Flujo Anual '!D40/72)</f>
        <v>66666.666666666672</v>
      </c>
      <c r="D36" s="137">
        <f>('Flujo Anual '!D40/72)</f>
        <v>66666.666666666672</v>
      </c>
      <c r="E36" s="137">
        <f>('Flujo Anual '!D40/72)</f>
        <v>66666.666666666672</v>
      </c>
      <c r="F36" s="137">
        <f>('Flujo Anual '!D40/72)</f>
        <v>66666.666666666672</v>
      </c>
      <c r="G36" s="137">
        <f>('Flujo Anual '!D40/72)</f>
        <v>66666.666666666672</v>
      </c>
      <c r="H36" s="137">
        <f>('Flujo Anual '!D40/72)</f>
        <v>66666.666666666672</v>
      </c>
      <c r="I36" s="137">
        <f>('Flujo Anual '!D40/72)</f>
        <v>66666.666666666672</v>
      </c>
      <c r="J36" s="137">
        <f>('Flujo Anual '!D40/72)</f>
        <v>66666.666666666672</v>
      </c>
      <c r="K36" s="137">
        <f>('Flujo Anual '!D40/72)</f>
        <v>66666.666666666672</v>
      </c>
      <c r="L36" s="137">
        <f>('Flujo Anual '!D40/72)</f>
        <v>66666.666666666672</v>
      </c>
      <c r="M36" s="137">
        <f>('Flujo Anual '!D40/72)</f>
        <v>66666.666666666672</v>
      </c>
      <c r="N36" s="137">
        <f>('Flujo Anual '!D40/72)</f>
        <v>66666.666666666672</v>
      </c>
    </row>
    <row r="37" spans="1:14" ht="15.75" customHeight="1">
      <c r="A37" s="8" t="s">
        <v>5</v>
      </c>
      <c r="B37" s="5">
        <v>51000000</v>
      </c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</row>
    <row r="38" spans="1:14" ht="15.75" customHeight="1">
      <c r="A38" s="9" t="s">
        <v>6</v>
      </c>
      <c r="B38" s="2"/>
      <c r="C38" s="133">
        <f>C32-(C33+C34+C36)</f>
        <v>-10206666.666666666</v>
      </c>
      <c r="D38" s="133">
        <f t="shared" ref="D38:N38" si="26">D32-(D33+D34+D36)</f>
        <v>-10206666.666666666</v>
      </c>
      <c r="E38" s="133">
        <f t="shared" si="26"/>
        <v>-10206666.666666666</v>
      </c>
      <c r="F38" s="133">
        <f t="shared" si="26"/>
        <v>-10206666.666666666</v>
      </c>
      <c r="G38" s="133">
        <f t="shared" si="26"/>
        <v>-10206666.666666666</v>
      </c>
      <c r="H38" s="133">
        <f t="shared" si="26"/>
        <v>-10206666.666666666</v>
      </c>
      <c r="I38" s="133">
        <f t="shared" si="26"/>
        <v>-7192616.666666666</v>
      </c>
      <c r="J38" s="133">
        <f t="shared" si="26"/>
        <v>-1008401.666666666</v>
      </c>
      <c r="K38" s="133">
        <f t="shared" si="26"/>
        <v>3593077.833333334</v>
      </c>
      <c r="L38" s="133">
        <f t="shared" si="26"/>
        <v>11903001.183333335</v>
      </c>
      <c r="M38" s="133">
        <f t="shared" si="26"/>
        <v>13735901.538333332</v>
      </c>
      <c r="N38" s="133">
        <f t="shared" si="26"/>
        <v>17006671.999833331</v>
      </c>
    </row>
    <row r="39" spans="1:14" ht="15.75" customHeight="1">
      <c r="A39" s="8" t="s">
        <v>7</v>
      </c>
      <c r="B39" s="5"/>
      <c r="C39" s="133">
        <f t="shared" ref="C39:E39" si="27">C38*25%</f>
        <v>-2551666.6666666665</v>
      </c>
      <c r="D39" s="133">
        <f t="shared" si="27"/>
        <v>-2551666.6666666665</v>
      </c>
      <c r="E39" s="133">
        <f t="shared" si="27"/>
        <v>-2551666.6666666665</v>
      </c>
      <c r="F39" s="133">
        <f t="shared" ref="F39:N39" si="28">F38*25%</f>
        <v>-2551666.6666666665</v>
      </c>
      <c r="G39" s="133">
        <f t="shared" si="28"/>
        <v>-2551666.6666666665</v>
      </c>
      <c r="H39" s="133">
        <f t="shared" si="28"/>
        <v>-2551666.6666666665</v>
      </c>
      <c r="I39" s="133">
        <f t="shared" si="28"/>
        <v>-1798154.1666666665</v>
      </c>
      <c r="J39" s="133">
        <f t="shared" si="28"/>
        <v>-252100.41666666651</v>
      </c>
      <c r="K39" s="133">
        <f t="shared" si="28"/>
        <v>898269.45833333349</v>
      </c>
      <c r="L39" s="133">
        <f t="shared" si="28"/>
        <v>2975750.2958333339</v>
      </c>
      <c r="M39" s="133">
        <f t="shared" si="28"/>
        <v>3433975.384583333</v>
      </c>
      <c r="N39" s="133">
        <f t="shared" si="28"/>
        <v>4251667.9999583326</v>
      </c>
    </row>
    <row r="40" spans="1:14" ht="15.75" customHeight="1">
      <c r="A40" s="9" t="s">
        <v>8</v>
      </c>
      <c r="B40" s="2"/>
      <c r="C40" s="133">
        <f t="shared" ref="C40:E40" si="29">C38-C39</f>
        <v>-7655000</v>
      </c>
      <c r="D40" s="133">
        <f t="shared" si="29"/>
        <v>-7655000</v>
      </c>
      <c r="E40" s="133">
        <f t="shared" si="29"/>
        <v>-7655000</v>
      </c>
      <c r="F40" s="133">
        <f t="shared" ref="F40:N40" si="30">F38-F39</f>
        <v>-7655000</v>
      </c>
      <c r="G40" s="133">
        <f t="shared" si="30"/>
        <v>-7655000</v>
      </c>
      <c r="H40" s="133">
        <f t="shared" si="30"/>
        <v>-7655000</v>
      </c>
      <c r="I40" s="133">
        <f t="shared" si="30"/>
        <v>-5394462.5</v>
      </c>
      <c r="J40" s="133">
        <f t="shared" si="30"/>
        <v>-756301.24999999953</v>
      </c>
      <c r="K40" s="133">
        <f t="shared" si="30"/>
        <v>2694808.3750000005</v>
      </c>
      <c r="L40" s="133">
        <f t="shared" si="30"/>
        <v>8927250.8875000011</v>
      </c>
      <c r="M40" s="133">
        <f t="shared" si="30"/>
        <v>10301926.153749999</v>
      </c>
      <c r="N40" s="133">
        <f t="shared" si="30"/>
        <v>12755003.999874998</v>
      </c>
    </row>
    <row r="41" spans="1:14" ht="15.75" customHeight="1">
      <c r="A41" s="8" t="s">
        <v>1</v>
      </c>
      <c r="B41" s="2"/>
      <c r="C41" s="133">
        <f t="shared" ref="C41:E41" si="31">C36</f>
        <v>66666.666666666672</v>
      </c>
      <c r="D41" s="133">
        <f t="shared" si="31"/>
        <v>66666.666666666672</v>
      </c>
      <c r="E41" s="133">
        <f t="shared" si="31"/>
        <v>66666.666666666672</v>
      </c>
      <c r="F41" s="133">
        <f t="shared" ref="F41:N41" si="32">F36</f>
        <v>66666.666666666672</v>
      </c>
      <c r="G41" s="133">
        <f t="shared" si="32"/>
        <v>66666.666666666672</v>
      </c>
      <c r="H41" s="133">
        <f t="shared" si="32"/>
        <v>66666.666666666672</v>
      </c>
      <c r="I41" s="133">
        <f t="shared" si="32"/>
        <v>66666.666666666672</v>
      </c>
      <c r="J41" s="133">
        <f t="shared" si="32"/>
        <v>66666.666666666672</v>
      </c>
      <c r="K41" s="133">
        <f t="shared" si="32"/>
        <v>66666.666666666672</v>
      </c>
      <c r="L41" s="133">
        <f t="shared" si="32"/>
        <v>66666.666666666672</v>
      </c>
      <c r="M41" s="133">
        <f t="shared" si="32"/>
        <v>66666.666666666672</v>
      </c>
      <c r="N41" s="133">
        <f t="shared" si="32"/>
        <v>66666.666666666672</v>
      </c>
    </row>
    <row r="42" spans="1:14" ht="15.75" customHeight="1">
      <c r="A42" s="9" t="s">
        <v>9</v>
      </c>
      <c r="B42" s="2"/>
      <c r="C42" s="133">
        <f>C40+C41</f>
        <v>-7588333.333333333</v>
      </c>
      <c r="D42" s="133">
        <f t="shared" ref="D42:E42" si="33">D40+D41</f>
        <v>-7588333.333333333</v>
      </c>
      <c r="E42" s="133">
        <f t="shared" si="33"/>
        <v>-7588333.333333333</v>
      </c>
      <c r="F42" s="133">
        <f t="shared" ref="F42:N42" si="34">F40+F41</f>
        <v>-7588333.333333333</v>
      </c>
      <c r="G42" s="133">
        <f t="shared" si="34"/>
        <v>-7588333.333333333</v>
      </c>
      <c r="H42" s="133">
        <f t="shared" si="34"/>
        <v>-7588333.333333333</v>
      </c>
      <c r="I42" s="133">
        <f t="shared" si="34"/>
        <v>-5327795.833333333</v>
      </c>
      <c r="J42" s="133">
        <f t="shared" si="34"/>
        <v>-689634.58333333291</v>
      </c>
      <c r="K42" s="133">
        <f t="shared" si="34"/>
        <v>2761475.041666667</v>
      </c>
      <c r="L42" s="133">
        <f t="shared" si="34"/>
        <v>8993917.5541666672</v>
      </c>
      <c r="M42" s="133">
        <f t="shared" si="34"/>
        <v>10368592.820416665</v>
      </c>
      <c r="N42" s="133">
        <f t="shared" si="34"/>
        <v>12821670.666541664</v>
      </c>
    </row>
    <row r="43" spans="1:14" ht="15.75" customHeight="1">
      <c r="A43" s="15"/>
      <c r="B43" s="15"/>
      <c r="C43" s="15"/>
      <c r="D43" s="15"/>
      <c r="E43" s="15"/>
      <c r="J43" s="156">
        <f>J42*10/100</f>
        <v>-68963.458333333299</v>
      </c>
      <c r="K43" s="156">
        <f t="shared" ref="K43:N43" si="35">K42*10/100</f>
        <v>276147.50416666671</v>
      </c>
      <c r="L43" s="156">
        <f t="shared" si="35"/>
        <v>899391.75541666674</v>
      </c>
      <c r="M43" s="156">
        <f t="shared" si="35"/>
        <v>1036859.2820416666</v>
      </c>
      <c r="N43" s="156">
        <f t="shared" si="35"/>
        <v>1282167.0666541664</v>
      </c>
    </row>
    <row r="44" spans="1:14" ht="15.75" customHeight="1">
      <c r="A44" s="15"/>
      <c r="B44" s="15"/>
      <c r="C44" s="15"/>
      <c r="D44" s="15"/>
      <c r="E44" s="15"/>
    </row>
    <row r="45" spans="1:14" ht="15.75" customHeight="1">
      <c r="A45" s="141"/>
      <c r="B45" s="142"/>
      <c r="C45" s="15"/>
      <c r="D45" s="15"/>
      <c r="E45" s="14"/>
    </row>
    <row r="46" spans="1:14" ht="15.75" customHeight="1">
      <c r="A46" s="141"/>
      <c r="B46" s="143"/>
      <c r="C46" s="15"/>
      <c r="D46" s="15"/>
      <c r="E46" s="15"/>
    </row>
    <row r="47" spans="1:14" ht="15.75" customHeight="1">
      <c r="A47" s="144"/>
      <c r="B47" s="145"/>
      <c r="C47" s="15"/>
      <c r="D47" s="15"/>
      <c r="E47" s="15"/>
    </row>
    <row r="48" spans="1:14" ht="15.75" customHeight="1">
      <c r="A48" s="146"/>
      <c r="B48" s="146"/>
      <c r="C48" s="15"/>
      <c r="D48" s="15"/>
      <c r="E48" s="15"/>
    </row>
    <row r="49" spans="1:5" ht="15.75" customHeight="1">
      <c r="A49" s="148"/>
      <c r="B49" s="147"/>
      <c r="C49" s="15"/>
      <c r="D49" s="15"/>
      <c r="E49" s="15"/>
    </row>
  </sheetData>
  <mergeCells count="1">
    <mergeCell ref="A1:Z1"/>
  </mergeCells>
  <pageMargins left="0.7" right="0.7" top="0.75" bottom="0.75" header="0.3" footer="0.3"/>
  <pageSetup paperSize="9" orientation="portrait" horizontalDpi="0" verticalDpi="0" r:id="rId1"/>
  <ignoredErrors>
    <ignoredError sqref="H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Mercado</vt:lpstr>
      <vt:lpstr>Flujo Anual </vt:lpstr>
      <vt:lpstr>Flujo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Anto2.0</dc:creator>
  <cp:lastModifiedBy>Anto2.0</cp:lastModifiedBy>
  <dcterms:created xsi:type="dcterms:W3CDTF">2022-08-22T16:34:20Z</dcterms:created>
  <dcterms:modified xsi:type="dcterms:W3CDTF">2022-08-30T01:33:41Z</dcterms:modified>
</cp:coreProperties>
</file>