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EPE\ciclo 2022- 1\finanzas\semana 5\"/>
    </mc:Choice>
  </mc:AlternateContent>
  <xr:revisionPtr revIDLastSave="0" documentId="13_ncr:1_{C54E8724-A4FE-449B-8E54-A4DFECD01422}" xr6:coauthVersionLast="45" xr6:coauthVersionMax="47" xr10:uidLastSave="{00000000-0000-0000-0000-000000000000}"/>
  <bookViews>
    <workbookView xWindow="-120" yWindow="-120" windowWidth="20730" windowHeight="11310" firstSheet="1" activeTab="12" xr2:uid="{75366B7B-F819-4597-A544-40BBDF240BCA}"/>
  </bookViews>
  <sheets>
    <sheet name="TF" sheetId="13" r:id="rId1"/>
    <sheet name="1" sheetId="2" r:id="rId2"/>
    <sheet name="2" sheetId="6" r:id="rId3"/>
    <sheet name="3" sheetId="7" r:id="rId4"/>
    <sheet name="4" sheetId="8" r:id="rId5"/>
    <sheet name="5" sheetId="9" r:id="rId6"/>
    <sheet name="6" sheetId="3" r:id="rId7"/>
    <sheet name="7" sheetId="10" r:id="rId8"/>
    <sheet name="8" sheetId="4" r:id="rId9"/>
    <sheet name="9" sheetId="5" r:id="rId10"/>
    <sheet name="10" sheetId="11" r:id="rId11"/>
    <sheet name="11" sheetId="1" r:id="rId12"/>
    <sheet name="12" sheetId="12" r:id="rId13"/>
    <sheet name="TA4 1ERA VERSION " sheetId="14" r:id="rId1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0" i="12" l="1"/>
  <c r="G38" i="12"/>
  <c r="E39" i="12"/>
  <c r="J40" i="12"/>
  <c r="J38" i="12"/>
  <c r="D38" i="12"/>
  <c r="E34" i="12"/>
  <c r="E33" i="12"/>
  <c r="E32" i="12"/>
  <c r="J25" i="12"/>
  <c r="J24" i="12"/>
  <c r="K18" i="12"/>
  <c r="I18" i="12"/>
  <c r="I19" i="12"/>
  <c r="E51" i="11"/>
  <c r="G89" i="1"/>
  <c r="H80" i="1"/>
  <c r="H78" i="1"/>
  <c r="H88" i="1"/>
  <c r="F88" i="1"/>
  <c r="F71" i="1"/>
  <c r="H62" i="1"/>
  <c r="D57" i="1"/>
  <c r="F44" i="1"/>
  <c r="E29" i="1"/>
  <c r="C23" i="11"/>
  <c r="F49" i="11"/>
  <c r="C46" i="11"/>
  <c r="E44" i="11"/>
  <c r="E36" i="11"/>
  <c r="E32" i="11"/>
  <c r="D26" i="11"/>
  <c r="D27" i="11"/>
  <c r="C21" i="11"/>
  <c r="E22" i="14" l="1"/>
  <c r="G82" i="14" l="1"/>
  <c r="H81" i="14"/>
  <c r="F81" i="14"/>
  <c r="H73" i="14"/>
  <c r="H62" i="14"/>
  <c r="F64" i="14"/>
  <c r="H71" i="14"/>
  <c r="F56" i="14"/>
  <c r="D50" i="14"/>
  <c r="F48" i="14"/>
  <c r="E42" i="14"/>
  <c r="E41" i="14"/>
  <c r="F37" i="14"/>
  <c r="C15" i="14"/>
  <c r="F52" i="14"/>
  <c r="F55" i="14"/>
  <c r="F15" i="14"/>
  <c r="G36" i="14"/>
  <c r="G33" i="14"/>
  <c r="H30" i="14"/>
  <c r="H55" i="14" l="1"/>
  <c r="F58" i="14" s="1"/>
  <c r="F61" i="14" s="1"/>
  <c r="J8" i="12"/>
  <c r="J10" i="12" s="1"/>
  <c r="J15" i="12" s="1"/>
  <c r="J14" i="12"/>
  <c r="J13" i="12"/>
  <c r="J9" i="12"/>
  <c r="E15" i="12"/>
  <c r="E13" i="12"/>
  <c r="E11" i="12"/>
  <c r="E10" i="12"/>
  <c r="E9" i="12"/>
  <c r="E8" i="12"/>
  <c r="L88" i="1"/>
  <c r="J88" i="1"/>
  <c r="C24" i="1"/>
  <c r="H69" i="1"/>
  <c r="F63" i="1"/>
  <c r="F59" i="1"/>
  <c r="F55" i="1"/>
  <c r="F62" i="1" s="1"/>
  <c r="F65" i="1" s="1"/>
  <c r="F68" i="1" s="1"/>
  <c r="F22" i="1"/>
  <c r="G43" i="1"/>
  <c r="G40" i="1"/>
  <c r="C22" i="1" s="1"/>
  <c r="H37" i="1"/>
  <c r="E35" i="11"/>
  <c r="E31" i="11"/>
  <c r="F31" i="11"/>
  <c r="J46" i="6"/>
  <c r="F46" i="6"/>
  <c r="F42" i="6"/>
  <c r="J12" i="6"/>
  <c r="F16" i="6"/>
  <c r="H125" i="2"/>
  <c r="F125" i="2"/>
  <c r="H120" i="2"/>
  <c r="F120" i="2"/>
  <c r="D120" i="2"/>
  <c r="D112" i="2"/>
  <c r="D110" i="2"/>
  <c r="D109" i="2"/>
  <c r="D101" i="2"/>
  <c r="D99" i="2"/>
  <c r="D85" i="2"/>
  <c r="F83" i="2"/>
  <c r="D83" i="2"/>
  <c r="G80" i="2"/>
  <c r="D77" i="2"/>
  <c r="D68" i="2"/>
  <c r="G66" i="2"/>
  <c r="D66" i="2"/>
  <c r="F19" i="2"/>
  <c r="F21" i="2"/>
  <c r="H53" i="2"/>
  <c r="I52" i="2"/>
  <c r="E52" i="2"/>
  <c r="E55" i="2" s="1"/>
  <c r="E57" i="2" s="1"/>
  <c r="I46" i="2"/>
  <c r="F47" i="2"/>
  <c r="G46" i="2"/>
  <c r="E46" i="2"/>
  <c r="K21" i="2"/>
  <c r="K20" i="2"/>
  <c r="F18" i="2"/>
  <c r="F20" i="2"/>
  <c r="K18" i="2"/>
  <c r="K19" i="2"/>
  <c r="F37" i="2"/>
  <c r="F38" i="2"/>
  <c r="F36" i="2"/>
  <c r="D38" i="2"/>
  <c r="D37" i="2" s="1"/>
  <c r="I70" i="14" l="1"/>
  <c r="H15" i="14" s="1"/>
  <c r="C17" i="14" s="1"/>
  <c r="I77" i="1"/>
  <c r="H22" i="1" s="1"/>
  <c r="F35" i="11"/>
  <c r="F21" i="11" s="1"/>
  <c r="H21" i="11"/>
  <c r="D11" i="12"/>
  <c r="D15" i="12" s="1"/>
  <c r="I10" i="12"/>
  <c r="I15" i="12" s="1"/>
  <c r="J81" i="14" l="1"/>
  <c r="L81" i="14" s="1"/>
  <c r="I12" i="6" l="1"/>
  <c r="D12" i="6"/>
  <c r="J21" i="2" l="1"/>
  <c r="E2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G9" authorId="0" shapeId="0" xr:uid="{711A110C-8CE7-4942-B505-4697429B508F}">
      <text>
        <r>
          <rPr>
            <b/>
            <sz val="9"/>
            <color indexed="81"/>
            <rFont val="Tahoma"/>
            <family val="2"/>
          </rPr>
          <t>Quien no figure en la Caratula tendrá cero (asume que no colaboró en hacer el trabajo).</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E49" authorId="0" shapeId="0" xr:uid="{4EFF9561-E1B5-4111-8986-8DCDB015DA34}">
      <text>
        <r>
          <rPr>
            <b/>
            <sz val="9"/>
            <color indexed="81"/>
            <rFont val="Tahoma"/>
            <family val="2"/>
          </rPr>
          <t xml:space="preserve">Estoy redondeando hacia arriba (0.84 * 2)
</t>
        </r>
        <r>
          <rPr>
            <sz val="9"/>
            <color indexed="81"/>
            <rFont val="Tahoma"/>
            <family val="2"/>
          </rPr>
          <t xml:space="preserve">
</t>
        </r>
      </text>
    </comment>
  </commentList>
</comments>
</file>

<file path=xl/sharedStrings.xml><?xml version="1.0" encoding="utf-8"?>
<sst xmlns="http://schemas.openxmlformats.org/spreadsheetml/2006/main" count="561" uniqueCount="278">
  <si>
    <t xml:space="preserve"> </t>
  </si>
  <si>
    <t>a)</t>
  </si>
  <si>
    <t>¿Cuál es el monto de financiamiento externo adicional que requerirá la empresa para el año 2020?</t>
  </si>
  <si>
    <t>b)</t>
  </si>
  <si>
    <t>FER=</t>
  </si>
  <si>
    <t>-</t>
  </si>
  <si>
    <t>pasivos</t>
  </si>
  <si>
    <t>retenidas</t>
  </si>
  <si>
    <t>Ventas 2021=</t>
  </si>
  <si>
    <t>Ventas 2022=</t>
  </si>
  <si>
    <t>=</t>
  </si>
  <si>
    <t>ROA=</t>
  </si>
  <si>
    <t>Utilidad neta</t>
  </si>
  <si>
    <t>Margen de utilidad neta 2021=</t>
  </si>
  <si>
    <t>Utilidad neta 2022</t>
  </si>
  <si>
    <t>Utilidades retenidas=</t>
  </si>
  <si>
    <t>FER</t>
  </si>
  <si>
    <t>De mantenerse las demás variables sin cambio ¿cuál será la nueva tasa de distribución de dividendos para que no se requieran fondos adicionales? (respuesta con un solo decimal)</t>
  </si>
  <si>
    <t>Asimismo, se tiene estimado que, ante un aumento en las ventas, los activos totales se incrementarán en 100% y los pasivos espontáneos se incrementarán en 25%. Para financiar parcialmente las necesidades futuras se ha planteado que la empresa emita nuevas acciones por S/. 150,000. La gerencia general ha solicitado que se mantenga el mismo margen de utilidad neta del 2021 y que la tasa de dividendos sea de 70%.</t>
  </si>
  <si>
    <t xml:space="preserve">La gerencia financiera de la empresa Industrias Alimentarias S.A.C. desea estimar cuál será la necesidad de financiamiento externo requerido para el año 2022, dado que la gerencia comercial ha determinado que las ventas anuales se incrementarán en S/. 500,000, respecto de los S/. 3 millones que se alcanzaron en el 2021. Por otro lado, se conoce que los activos totales en el 2021 fueron de S/. 2.6 millones y que el ROA obtenido fue del 21%. </t>
  </si>
  <si>
    <t>La gerencia financiera de la empresa "ABC S.A.C." se encontraba revisando los últimos acuerdos que se adoptaron en el pasado comité ejecutivo, lo que implica alcanzar para el cierre del año 2022 los siguientes objetivos y tareas siguientes:</t>
  </si>
  <si>
    <t>Duplicar el ratio de prueba ácida respecto al año 2021</t>
  </si>
  <si>
    <t>Mantener el nivel de saldo de efectivo y de los otros pasivos.</t>
  </si>
  <si>
    <t>Por otro lado, se contaba con información financiera histórica de cierre del año 2021, como se muestra a continuación</t>
  </si>
  <si>
    <t>Estado de Situación Financiera al 31/12/2021</t>
  </si>
  <si>
    <t>Efectivo</t>
  </si>
  <si>
    <t>Cuentas por cobrar</t>
  </si>
  <si>
    <t>Inventarios</t>
  </si>
  <si>
    <t>Activo corriente</t>
  </si>
  <si>
    <t>Cuentas por pagar</t>
  </si>
  <si>
    <t>Préstamos bancarios</t>
  </si>
  <si>
    <t>Otros pasivos</t>
  </si>
  <si>
    <t>Pasivo corriente</t>
  </si>
  <si>
    <t>a</t>
  </si>
  <si>
    <t>b</t>
  </si>
  <si>
    <t>c</t>
  </si>
  <si>
    <t>d</t>
  </si>
  <si>
    <t>e</t>
  </si>
  <si>
    <t>Calcular el ciclo operativo del año 2021</t>
  </si>
  <si>
    <t>Calcular el ciclo de conversión de efectivo del año 2021</t>
  </si>
  <si>
    <t>Calcular el ciclo operativo del año 2022</t>
  </si>
  <si>
    <t>Calcular el ciclo de conversión de efectivo del año 2022</t>
  </si>
  <si>
    <t>¿Cuánto es el aumento y/o disminución en el ciclo de conversión de efectivo que afrontará la empresa?</t>
  </si>
  <si>
    <t>(utilice 360 días por año).</t>
  </si>
  <si>
    <t>CO=</t>
  </si>
  <si>
    <t>Si en el financiamiento externo requerido hay un valor positivo, quiere decir que, con base en sus planes:</t>
  </si>
  <si>
    <t>La empresa no generará mas financiamiento interno suficiente para soportar el crecimiento proyectado de sus activos</t>
  </si>
  <si>
    <t>La empresa generará el financiamiento interno suficiente para soportar el incremento proyectado de sus pasivos.</t>
  </si>
  <si>
    <t>La empresa no generará mas financiamiento interno del que necesita para dar soporte al crecimiento proyectado de sus pasivos.</t>
  </si>
  <si>
    <t>Todas las opciones son correctas</t>
  </si>
  <si>
    <t>Crear valor para los propietarios.</t>
  </si>
  <si>
    <t>Generar perdidas para los propietarios.</t>
  </si>
  <si>
    <t>Crear valor para los proveedores de materia prima.</t>
  </si>
  <si>
    <t>Incrementar los inventarios y los pasivos.</t>
  </si>
  <si>
    <t>Uno de los supuestos sobre el nivel de algunas de las cuentas incluidas en el balance general proforma al aplicar el método crítico es:</t>
  </si>
  <si>
    <t xml:space="preserve">	Los valores negociables permanecerán sin cambio respecto a su nivel actual.</t>
  </si>
  <si>
    <t>En promedio, las cuentas por cobrar representan más o menos 60 días de ventas</t>
  </si>
  <si>
    <t>Es deseable un saldo de efectivo máximo</t>
  </si>
  <si>
    <t>Las compras representarán aproximadamente 60 por ciento de las ventas anuales</t>
  </si>
  <si>
    <t>La gerencia general de la empresa ABC S.A.C. se encuentra interesada en analizar la evolución de su manejo de efectivo, por lo que encargó a la gerencia financiera adoptar algunas medidas que permitan monitorear dicho indicador. Se sabe que los estados financieros al 31/12/19 presentaron, en resumen, la estructura siguiente:</t>
  </si>
  <si>
    <t>Estado de Situación Financiera al 31/12/2019</t>
  </si>
  <si>
    <t>Ventas</t>
  </si>
  <si>
    <t>Costo de ventas</t>
  </si>
  <si>
    <t>Utilidad bruta</t>
  </si>
  <si>
    <t xml:space="preserve">Alcanzar un nivel de prueba ácida de </t>
  </si>
  <si>
    <t>Disminuir los pasivos bancarios en 10% y no variar el saldo de salarios y tributos por pagar.</t>
  </si>
  <si>
    <t>Mantener el mismo nivel de activos corrientes.</t>
  </si>
  <si>
    <t>Reducir el nivel de efectivo en 30%</t>
  </si>
  <si>
    <t>Aumentar las cuentas por pagar en 25%.</t>
  </si>
  <si>
    <t>Aumentar las ventas en 20%.</t>
  </si>
  <si>
    <t>Mantener el margen de utilidad bruta.</t>
  </si>
  <si>
    <t>*360</t>
  </si>
  <si>
    <t>+</t>
  </si>
  <si>
    <t>CCE=</t>
  </si>
  <si>
    <t>salarios y tributos por pagar</t>
  </si>
  <si>
    <t xml:space="preserve">	Permite desarrollar el Estado de Resultados Proforma, pronosticando las ventas y expresa sus rubros en porcentaje a partir de las ventas que se proyectaron.</t>
  </si>
  <si>
    <t>Metodo de procentaje de ventas</t>
  </si>
  <si>
    <t>Metodo de pronostico de ventas</t>
  </si>
  <si>
    <t>Metodo de pronostico del Estado de Situación</t>
  </si>
  <si>
    <t>Metodo de cambios en el patrimonio neto.</t>
  </si>
  <si>
    <t>Un metodo simplificado para preparar el balance proforma es :</t>
  </si>
  <si>
    <t>Calcula solo algunas cuentas como porcentaje estricto de las compras.</t>
  </si>
  <si>
    <t>Calcula los porcentajes de las cuentas tomando como base el costo de ventas.</t>
  </si>
  <si>
    <t>Calcula los porcentajes de las cuentas tomando como base los gastos financieros.</t>
  </si>
  <si>
    <t>Calcular todas las cuentas incluidas en él como un porcentaje estricto de las ventas.</t>
  </si>
  <si>
    <t>Calcula los valores de ciertas cuentas del balance general y usa el FER como cifra de ajuste.</t>
  </si>
  <si>
    <t>Metodo critico.</t>
  </si>
  <si>
    <t>Solo positivo</t>
  </si>
  <si>
    <t>Solo negativo</t>
  </si>
  <si>
    <t>Positivo o negativo</t>
  </si>
  <si>
    <t>Solo cero.</t>
  </si>
  <si>
    <t>Aumentar en un 50% el nivel de ventas respecto del año 2021.</t>
  </si>
  <si>
    <t>Aumentar el margen de utilidad bruta a 60%</t>
  </si>
  <si>
    <t>Se debe amortizar el nivel de préstamos bancarios en  20,000 soles menos</t>
  </si>
  <si>
    <t>Las cuentas por pagar deberán representar el 5% de las ventas proyectadas</t>
  </si>
  <si>
    <t>El nivel de inventarios aumentará en un 20%</t>
  </si>
  <si>
    <t>Asimismo, las ventas del año 2021 fueron por 1.6 millones de soles y se obtuvo un margen de utilidad bruta del 40%</t>
  </si>
  <si>
    <t>Para tal efecto, se ha considerado que se podrá alcanzar un margen de utilidad neta de 10% y que la tasa de retención de utilidades será de 16%.</t>
  </si>
  <si>
    <t>¿Cuál es el monto de financiamiento externo adicional que requerirá la empresa para el año 2021?</t>
  </si>
  <si>
    <t>de pasivos</t>
  </si>
  <si>
    <t>Ventas año 2020=</t>
  </si>
  <si>
    <t>Cía Industrial S.A. nos ha encargado preparar un Estado de Situación Financiera proforma para el año 2021, para lo cual nos han hecho entrega de la información siguiente:</t>
  </si>
  <si>
    <t>Estado de Situación Financiera al 31.12.2020</t>
  </si>
  <si>
    <t>Total Pasivo Corriente</t>
  </si>
  <si>
    <t>Total activo corriente</t>
  </si>
  <si>
    <t>Activos fijos netos</t>
  </si>
  <si>
    <t>Pasivo Largo Plazo</t>
  </si>
  <si>
    <t>Patrimonio</t>
  </si>
  <si>
    <t>Total activos</t>
  </si>
  <si>
    <t>Total Pasivo y Patrimonio</t>
  </si>
  <si>
    <t>Si se conoce que se presentarán los siguientes cambios para el período 2021:</t>
  </si>
  <si>
    <t>El Efectivo crecerá en S/4,000</t>
  </si>
  <si>
    <t>Las Cuentas por Cobrar crecerán en S/11,400</t>
  </si>
  <si>
    <t>El Inventario disminuiría en S/2,600</t>
  </si>
  <si>
    <t>Se adquirirá activos fijos por S/14,000 y la depreciación del período será de S/150</t>
  </si>
  <si>
    <t>Las Cuentas por Pagar disminuirán en 3%</t>
  </si>
  <si>
    <t>El crecimiento de los Préstamos Bancarios de corto plazo será de 3%</t>
  </si>
  <si>
    <t>Se amortizará Pasivos de Largo Plazo por S/14,600</t>
  </si>
  <si>
    <t>Luego de realizar sus cálculos y proyecciones respectivas para el 2021 usted nos informa que:</t>
  </si>
  <si>
    <t>El Total de Activos será: </t>
  </si>
  <si>
    <t>El Total Pasivo y Patrimonio será:</t>
  </si>
  <si>
    <t>Por lo tanto, el FER será: </t>
  </si>
  <si>
    <t>Patrimonio 2021=</t>
  </si>
  <si>
    <t>Tienen que ser grupos de 4 alumnos, máximo!</t>
  </si>
  <si>
    <t>Información sobre el trabajo final</t>
  </si>
  <si>
    <t>1)</t>
  </si>
  <si>
    <t>2)</t>
  </si>
  <si>
    <t>La entrega del Trabajo Final (word/PDF  + Excel con todas las resoluciones a las preguntas)</t>
  </si>
  <si>
    <t>fecha de entrega=Semana 9</t>
  </si>
  <si>
    <t xml:space="preserve">Fecha de entrega= </t>
  </si>
  <si>
    <t>Semana 6</t>
  </si>
  <si>
    <t>3)</t>
  </si>
  <si>
    <t>Exposición= Semana 10</t>
  </si>
  <si>
    <t>50% de la nota va ser el Trabajo Final (word/PDF  + Excel)</t>
  </si>
  <si>
    <t>Nota para todos los miembros del grupo (Carátula : nombre de los integrantes que han hecho el trabajo)</t>
  </si>
  <si>
    <t>50% de la nota es una Exposición individual</t>
  </si>
  <si>
    <t>Semana 9</t>
  </si>
  <si>
    <t>Semana 10</t>
  </si>
  <si>
    <t>De acuerdo a la lectura de sus Trabajos Finales se les hará una</t>
  </si>
  <si>
    <t>pregunta individual a cada miembro del equipo.</t>
  </si>
  <si>
    <t>Desarrollo</t>
  </si>
  <si>
    <t>Prueba acida año 2020=</t>
  </si>
  <si>
    <t>Activo corriente- inventarios</t>
  </si>
  <si>
    <t>pasivos corriente</t>
  </si>
  <si>
    <t>Duplicar el ratio del 2021 para sacar data 2022=</t>
  </si>
  <si>
    <t xml:space="preserve">activo corriente - </t>
  </si>
  <si>
    <t>activo corriente</t>
  </si>
  <si>
    <t xml:space="preserve">PPI </t>
  </si>
  <si>
    <t>PPC</t>
  </si>
  <si>
    <t>Inventario</t>
  </si>
  <si>
    <t>costo de ventas</t>
  </si>
  <si>
    <t>cuentas por cobrar</t>
  </si>
  <si>
    <t>ventas</t>
  </si>
  <si>
    <t>días</t>
  </si>
  <si>
    <t>PPP</t>
  </si>
  <si>
    <t>CO</t>
  </si>
  <si>
    <t>PPP=</t>
  </si>
  <si>
    <t>cuentas por pagar</t>
  </si>
  <si>
    <t xml:space="preserve">en mi respuesta pongo </t>
  </si>
  <si>
    <t>DÍAS</t>
  </si>
  <si>
    <t>La diferencia entre el CCE 2022- CCE 2021</t>
  </si>
  <si>
    <t>CCE 2021=</t>
  </si>
  <si>
    <t>CCE 2022=</t>
  </si>
  <si>
    <t>Diferencia</t>
  </si>
  <si>
    <t>mejor resultado</t>
  </si>
  <si>
    <r>
      <rPr>
        <sz val="11"/>
        <color rgb="FFFF0000"/>
        <rFont val="Calibri"/>
        <family val="2"/>
        <scheme val="minor"/>
      </rPr>
      <t>por ningun motiv</t>
    </r>
    <r>
      <rPr>
        <sz val="11"/>
        <color theme="1"/>
        <rFont val="Calibri"/>
        <family val="2"/>
        <scheme val="minor"/>
      </rPr>
      <t>o pongan este dato en NEGATIVO</t>
    </r>
  </si>
  <si>
    <t>se anularía su resultado</t>
  </si>
  <si>
    <t xml:space="preserve">CCE= Es el tiempo en que demora en regresar la inversion + la ganancia obtenida, a los bolsillos del accionista </t>
  </si>
  <si>
    <t>Si demora más tiempo, significa que es más lenta la recuperación.</t>
  </si>
  <si>
    <t>Empeora</t>
  </si>
  <si>
    <t>Mi rotación es más</t>
  </si>
  <si>
    <t>lenta</t>
  </si>
  <si>
    <t>Cobro más lentamente</t>
  </si>
  <si>
    <t>Se mantiene igual</t>
  </si>
  <si>
    <t>pago a los proveedores</t>
  </si>
  <si>
    <t>Se mantiene le tiempo de</t>
  </si>
  <si>
    <t>En esta empresa el CO se ha deteriorado respecto al año anterior.</t>
  </si>
  <si>
    <t xml:space="preserve">	En el metodo critico para elaborar un balance general proforma, el monto del FER necesario para equilibrar el estado financiero puede ser un valor :</t>
  </si>
  <si>
    <t>El administrador financiero emplea herramientas como presupuesto de caja y los estados financieros proforma para :</t>
  </si>
  <si>
    <t>Se solicita lo siguiente</t>
  </si>
  <si>
    <t>Hallar el CO del año 2019</t>
  </si>
  <si>
    <t>Hallar el CCE del año 2019</t>
  </si>
  <si>
    <t>Hallar el PPI del año 2019</t>
  </si>
  <si>
    <t>Hallar el PPC del año 2019</t>
  </si>
  <si>
    <t>Hallar el PPP del año 2019</t>
  </si>
  <si>
    <t>Hallar el PPI del año 2020</t>
  </si>
  <si>
    <t>Hallar el PPC del año 2020</t>
  </si>
  <si>
    <t>Hallar el PPP del año 2020</t>
  </si>
  <si>
    <t>Hallar el CO del año 2020</t>
  </si>
  <si>
    <t>Hallar la diferencia entre el CCE de ambos periodos (2020 y 2019)</t>
  </si>
  <si>
    <t>Sin comas, sin puntos y sin decimales</t>
  </si>
  <si>
    <t>Se refiere al periodo 2020 ¿Cuentas info suficiente ahorita? No-dejar para después</t>
  </si>
  <si>
    <t xml:space="preserve">En el año 2020 se pide: </t>
  </si>
  <si>
    <t xml:space="preserve">Prueba ácida= </t>
  </si>
  <si>
    <t>AC - inventarios</t>
  </si>
  <si>
    <t>PC</t>
  </si>
  <si>
    <t>inventario</t>
  </si>
  <si>
    <r>
      <rPr>
        <sz val="11"/>
        <color rgb="FFFF0000"/>
        <rFont val="Calibri"/>
        <family val="2"/>
        <scheme val="minor"/>
      </rPr>
      <t>Alcanzar</t>
    </r>
    <r>
      <rPr>
        <sz val="11"/>
        <color theme="1"/>
        <rFont val="Calibri"/>
        <family val="2"/>
        <scheme val="minor"/>
      </rPr>
      <t xml:space="preserve"> un nivel de prueba ácida de </t>
    </r>
  </si>
  <si>
    <t xml:space="preserve">Datos están en días </t>
  </si>
  <si>
    <t>Primero hallar el CCE 2020=</t>
  </si>
  <si>
    <t xml:space="preserve">   </t>
  </si>
  <si>
    <t>Activos</t>
  </si>
  <si>
    <t>patrimonio</t>
  </si>
  <si>
    <t>crecimiento</t>
  </si>
  <si>
    <t xml:space="preserve">en activos </t>
  </si>
  <si>
    <t>año 2023</t>
  </si>
  <si>
    <t>pasivos espontáneos</t>
  </si>
  <si>
    <t>inversión</t>
  </si>
  <si>
    <t>forma de financimiento</t>
  </si>
  <si>
    <t>aporte de capital + utilidades retenidas</t>
  </si>
  <si>
    <t xml:space="preserve">Aporte </t>
  </si>
  <si>
    <t>accionistas</t>
  </si>
  <si>
    <t>de  capital</t>
  </si>
  <si>
    <t>aumento necesario</t>
  </si>
  <si>
    <t>de activos (% de mi delta de vtas)</t>
  </si>
  <si>
    <t>(% de mi delta de</t>
  </si>
  <si>
    <t>ventas)</t>
  </si>
  <si>
    <t>aumento de mis</t>
  </si>
  <si>
    <t>utilidades</t>
  </si>
  <si>
    <t>aporte de accionistas</t>
  </si>
  <si>
    <t>Corporación ABC S.A.C. viene estimando sus necesidades de recursos externos durante el año 2021, dado que tiene previsto incrementar sus ventas en 24% respecto al año 2020, en el cual ascendieron a US$ 1.500,000</t>
  </si>
  <si>
    <t>Se sabe que al aumentar las ventas de la empresa se requieren 41% más de activos totales y se generarían pasivos espontáneos del orden del 22%. Adicionalmente, los accionistas han presupuestado hacer un aporte adicional de capital por US$ 20,000</t>
  </si>
  <si>
    <t>Año 2021=</t>
  </si>
  <si>
    <t xml:space="preserve">incremento del </t>
  </si>
  <si>
    <t>Diferencia (delta de ventas)</t>
  </si>
  <si>
    <t>Aumento necesario de activos=</t>
  </si>
  <si>
    <t>de que? Del Delta de ventas</t>
  </si>
  <si>
    <t>pasivos espontáneos=</t>
  </si>
  <si>
    <t>(dato del problema)</t>
  </si>
  <si>
    <t>Margen de utilidad neta=</t>
  </si>
  <si>
    <t>utilidad neta</t>
  </si>
  <si>
    <t>Utilidad neta 2021</t>
  </si>
  <si>
    <t>Ventas 2021</t>
  </si>
  <si>
    <t xml:space="preserve">tasa de retención de utilidades= </t>
  </si>
  <si>
    <t>de mi utilidad neta</t>
  </si>
  <si>
    <t>Necesito financiarse esta cantidad para cubrir el crecimiento de activos del año 2021</t>
  </si>
  <si>
    <t>Delta de ventas</t>
  </si>
  <si>
    <t>Activos totales=</t>
  </si>
  <si>
    <t xml:space="preserve">Nos piden que se mantenga el mismo margen de utilidad neta del 2021 </t>
  </si>
  <si>
    <t xml:space="preserve">=&gt; </t>
  </si>
  <si>
    <t>Primero hallar el margen de utilidad neta</t>
  </si>
  <si>
    <t>Activo total</t>
  </si>
  <si>
    <t>Margen de utilidad neta 2022=</t>
  </si>
  <si>
    <t>Ventas 2022</t>
  </si>
  <si>
    <t>70% de la utilidad neta se reparte con dividendos</t>
  </si>
  <si>
    <t>Retengo el 30%</t>
  </si>
  <si>
    <t>30% de toda la utilidad neta 2022</t>
  </si>
  <si>
    <t>Reparte</t>
  </si>
  <si>
    <t>Cantidad que tengo que financiarme para cubrir mis inversiones del proximo año</t>
  </si>
  <si>
    <t>Nueva tasa de distribución de dividendos=</t>
  </si>
  <si>
    <t>Lo que reparto - FER</t>
  </si>
  <si>
    <t>Utilidades totales</t>
  </si>
  <si>
    <t xml:space="preserve">en el examen  </t>
  </si>
  <si>
    <t>un decimal</t>
  </si>
  <si>
    <t>Activo fijo 2021=</t>
  </si>
  <si>
    <t>activo fijo 2020 + aumento del 2021 - depreciación 2021</t>
  </si>
  <si>
    <t xml:space="preserve"> +  14000</t>
  </si>
  <si>
    <t>Patrimonio  2020  + utilidades 2021 - reparte de dividendos 2021</t>
  </si>
  <si>
    <t>Ventas año 2021=</t>
  </si>
  <si>
    <t>El margen neto</t>
  </si>
  <si>
    <t>Utilidad neta 2021=</t>
  </si>
  <si>
    <t>+ 51900</t>
  </si>
  <si>
    <t>Se conoce que las Ventas 2021 serán de S/432,500, el margen neto será de 12% y la tasa de reparto de dividendos será del 58%.</t>
  </si>
  <si>
    <t>Tasa de reparto</t>
  </si>
  <si>
    <t>Monto de reparto</t>
  </si>
  <si>
    <t>total incremento de activos - (incremento de pasivos + incremento del patrimonio)</t>
  </si>
  <si>
    <t>La gerencia financiera de la empresa Industrias Alimentarias S.A.C. desea estimar cuál será la necesidad de financiamiento externo requerido para el año 2022, dado que la gerencia comercial ha determinado que las ventas anuales se incrementarán en S/. 600,000, respecto de los S/. 3.6 millones que se alcanzaron en el 2021. Por otro lado, se conoce que los activos totales en el 2021 fueron de S/. 2.8 millones y que el ROA obtenido fue del 12%.</t>
  </si>
  <si>
    <t>Asimismo, se tiene estimado que, ante un aumento en las ventas, los activos totales se incrementarán en 100% y los pasivos espontáneos se incrementarán en 30%. Para financiar parcialmente las necesidades futuras se ha planteado que la empresa emita nuevas acciones por S/. 180,000. La gerencia general ha solicitado que se mantenga el mismo margen de utilidad neta del 2021 y que la tasa de dividendos sea de 65%.</t>
  </si>
  <si>
    <t>Preguntas:</t>
  </si>
  <si>
    <t>a) ¿Cuál es el monto de financiamiento externo adicional que requerirá la empresa para el año 2020?</t>
  </si>
  <si>
    <t>b) De mantenerse las demás variables sin cambio ¿cuál será la nueva tasa de distribución de dividendos para que no se requieran fondos adicionales? (respuesta con un solo decimal).</t>
  </si>
  <si>
    <t>65% de la utilidad neta se reparte con dividendos</t>
  </si>
  <si>
    <t>Retengo el 35%</t>
  </si>
  <si>
    <t>35% de toda la utilidad neta 2022</t>
  </si>
  <si>
    <t xml:space="preserve">aumento necesario de pasivos </t>
  </si>
  <si>
    <t xml:space="preserve">(% de mi delta de ventas </t>
  </si>
  <si>
    <t>EN PORCENTAJE</t>
  </si>
  <si>
    <t xml:space="preserve">E PORCENTAJE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</si>
</sst>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
  </numFmts>
  <fonts count="20">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u val="singleAccounting"/>
      <sz val="11"/>
      <color theme="1"/>
      <name val="Calibri"/>
      <family val="2"/>
      <scheme val="minor"/>
    </font>
    <font>
      <b/>
      <u/>
      <sz val="11"/>
      <color theme="1"/>
      <name val="Calibri"/>
      <family val="2"/>
      <scheme val="minor"/>
    </font>
    <font>
      <sz val="10"/>
      <color rgb="FF000000"/>
      <name val="Arial"/>
      <family val="2"/>
    </font>
    <font>
      <sz val="10"/>
      <color rgb="FF000000"/>
      <name val="Open Sans"/>
      <family val="2"/>
    </font>
    <font>
      <sz val="10"/>
      <color theme="1"/>
      <name val="Open Sans"/>
      <family val="2"/>
    </font>
    <font>
      <b/>
      <sz val="10"/>
      <color rgb="FF000000"/>
      <name val="Arial"/>
      <family val="2"/>
    </font>
    <font>
      <b/>
      <sz val="11"/>
      <color rgb="FFFF0000"/>
      <name val="Calibri"/>
      <family val="2"/>
      <scheme val="minor"/>
    </font>
    <font>
      <sz val="11"/>
      <color rgb="FF000000"/>
      <name val="Times New Roman"/>
      <family val="1"/>
    </font>
    <font>
      <sz val="11"/>
      <color rgb="FF262626"/>
      <name val="Arial"/>
      <family val="2"/>
    </font>
    <font>
      <sz val="9"/>
      <color indexed="81"/>
      <name val="Tahoma"/>
      <family val="2"/>
    </font>
    <font>
      <b/>
      <sz val="9"/>
      <color indexed="81"/>
      <name val="Tahoma"/>
      <family val="2"/>
    </font>
    <font>
      <u/>
      <sz val="11"/>
      <color rgb="FFFF0000"/>
      <name val="Calibri"/>
      <family val="2"/>
      <scheme val="minor"/>
    </font>
    <font>
      <b/>
      <sz val="28"/>
      <color rgb="FFFF0000"/>
      <name val="Calibri"/>
      <family val="2"/>
      <scheme val="minor"/>
    </font>
    <font>
      <b/>
      <sz val="16"/>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theme="5" tint="0.39997558519241921"/>
        <bgColor indexed="64"/>
      </patternFill>
    </fill>
    <fill>
      <patternFill patternType="solid">
        <fgColor rgb="FF00B0F0"/>
        <bgColor indexed="64"/>
      </patternFill>
    </fill>
    <fill>
      <patternFill patternType="solid">
        <fgColor rgb="FFFF0000"/>
        <bgColor indexed="64"/>
      </patternFill>
    </fill>
    <fill>
      <patternFill patternType="solid">
        <fgColor rgb="FF002060"/>
        <bgColor indexed="64"/>
      </patternFill>
    </fill>
    <fill>
      <patternFill patternType="solid">
        <fgColor rgb="FF00B050"/>
        <bgColor indexed="64"/>
      </patternFill>
    </fill>
    <fill>
      <patternFill patternType="solid">
        <fgColor rgb="FFFFC000"/>
        <bgColor indexed="64"/>
      </patternFill>
    </fill>
    <fill>
      <patternFill patternType="solid">
        <fgColor rgb="FF00FFFF"/>
        <bgColor indexed="64"/>
      </patternFill>
    </fill>
    <fill>
      <patternFill patternType="solid">
        <fgColor rgb="FFFF66FF"/>
        <bgColor indexed="64"/>
      </patternFill>
    </fill>
  </fills>
  <borders count="15">
    <border>
      <left/>
      <right/>
      <top/>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style="thin">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02">
    <xf numFmtId="0" fontId="0" fillId="0" borderId="0" xfId="0"/>
    <xf numFmtId="0" fontId="0" fillId="0" borderId="0" xfId="0" applyAlignment="1">
      <alignment horizontal="right"/>
    </xf>
    <xf numFmtId="43" fontId="0" fillId="0" borderId="0" xfId="1" applyFont="1"/>
    <xf numFmtId="164" fontId="0" fillId="0" borderId="0" xfId="1" applyNumberFormat="1" applyFont="1"/>
    <xf numFmtId="164" fontId="0" fillId="0" borderId="0" xfId="0" applyNumberFormat="1"/>
    <xf numFmtId="9" fontId="0" fillId="0" borderId="0" xfId="0" applyNumberFormat="1"/>
    <xf numFmtId="43" fontId="0" fillId="0" borderId="0" xfId="0" applyNumberFormat="1"/>
    <xf numFmtId="0" fontId="5" fillId="0" borderId="0" xfId="0" applyFont="1"/>
    <xf numFmtId="0" fontId="0" fillId="0" borderId="1" xfId="0" applyBorder="1"/>
    <xf numFmtId="9" fontId="0" fillId="0" borderId="0" xfId="2" applyFont="1"/>
    <xf numFmtId="10" fontId="0" fillId="0" borderId="0" xfId="0" applyNumberFormat="1"/>
    <xf numFmtId="43" fontId="0" fillId="0" borderId="1" xfId="0" applyNumberFormat="1" applyBorder="1"/>
    <xf numFmtId="0" fontId="0" fillId="2" borderId="0" xfId="0" applyFill="1"/>
    <xf numFmtId="0" fontId="3" fillId="0" borderId="0" xfId="0" applyFont="1"/>
    <xf numFmtId="0" fontId="7" fillId="0" borderId="0" xfId="0" applyFont="1"/>
    <xf numFmtId="43" fontId="5" fillId="0" borderId="0" xfId="1" applyFont="1"/>
    <xf numFmtId="0" fontId="8" fillId="0" borderId="0" xfId="0" applyFont="1"/>
    <xf numFmtId="0" fontId="9" fillId="0" borderId="0" xfId="0" applyFont="1"/>
    <xf numFmtId="0" fontId="0" fillId="3" borderId="0" xfId="0" applyFill="1" applyAlignment="1">
      <alignment vertical="center" wrapText="1"/>
    </xf>
    <xf numFmtId="0" fontId="10" fillId="0" borderId="0" xfId="0" applyFont="1" applyAlignment="1">
      <alignment vertical="center"/>
    </xf>
    <xf numFmtId="0" fontId="11" fillId="0" borderId="0" xfId="0" applyFont="1"/>
    <xf numFmtId="43" fontId="0" fillId="0" borderId="0" xfId="0" applyNumberFormat="1" applyBorder="1"/>
    <xf numFmtId="0" fontId="0" fillId="0" borderId="0" xfId="0" applyBorder="1"/>
    <xf numFmtId="43" fontId="6" fillId="0" borderId="0" xfId="0" applyNumberFormat="1" applyFont="1"/>
    <xf numFmtId="43" fontId="0" fillId="2" borderId="0" xfId="0" applyNumberFormat="1" applyFill="1"/>
    <xf numFmtId="0" fontId="12" fillId="0" borderId="0" xfId="0" applyFont="1"/>
    <xf numFmtId="0" fontId="12" fillId="2" borderId="0" xfId="0" applyFont="1" applyFill="1"/>
    <xf numFmtId="43" fontId="12" fillId="0" borderId="0" xfId="0" applyNumberFormat="1" applyFont="1"/>
    <xf numFmtId="43" fontId="0" fillId="0" borderId="0" xfId="1" applyFont="1" applyAlignment="1">
      <alignment horizontal="right"/>
    </xf>
    <xf numFmtId="43" fontId="0" fillId="0" borderId="1" xfId="1" applyFont="1" applyBorder="1" applyAlignment="1">
      <alignment horizontal="right"/>
    </xf>
    <xf numFmtId="43" fontId="0" fillId="0" borderId="1" xfId="1" applyFont="1" applyBorder="1" applyAlignment="1">
      <alignment wrapText="1"/>
    </xf>
    <xf numFmtId="0" fontId="0" fillId="2" borderId="1" xfId="0" applyFill="1" applyBorder="1"/>
    <xf numFmtId="0" fontId="13" fillId="0" borderId="0" xfId="0" applyFont="1"/>
    <xf numFmtId="0" fontId="2" fillId="0" borderId="0" xfId="0" applyFont="1"/>
    <xf numFmtId="164" fontId="5" fillId="0" borderId="0" xfId="1" applyNumberFormat="1" applyFont="1"/>
    <xf numFmtId="0" fontId="17" fillId="0" borderId="0" xfId="0" applyFont="1"/>
    <xf numFmtId="164" fontId="17" fillId="0" borderId="0" xfId="1" applyNumberFormat="1" applyFont="1"/>
    <xf numFmtId="164" fontId="0" fillId="2" borderId="0" xfId="1" applyNumberFormat="1" applyFont="1" applyFill="1"/>
    <xf numFmtId="164" fontId="5" fillId="2" borderId="0" xfId="1" applyNumberFormat="1" applyFont="1" applyFill="1"/>
    <xf numFmtId="164" fontId="0" fillId="0" borderId="1" xfId="0" applyNumberFormat="1" applyBorder="1"/>
    <xf numFmtId="0" fontId="0" fillId="4" borderId="0" xfId="0" applyFill="1"/>
    <xf numFmtId="0" fontId="0" fillId="5" borderId="0" xfId="0" applyFill="1"/>
    <xf numFmtId="0" fontId="0" fillId="6" borderId="0" xfId="0" applyFill="1"/>
    <xf numFmtId="43" fontId="0" fillId="2" borderId="0" xfId="1" applyFont="1" applyFill="1"/>
    <xf numFmtId="43" fontId="5" fillId="2" borderId="0" xfId="1" applyFont="1" applyFill="1"/>
    <xf numFmtId="43" fontId="2" fillId="0" borderId="1" xfId="1" applyFont="1" applyBorder="1"/>
    <xf numFmtId="43" fontId="2" fillId="2" borderId="1" xfId="1" applyFont="1" applyFill="1" applyBorder="1"/>
    <xf numFmtId="0" fontId="0" fillId="0" borderId="0" xfId="0" applyFill="1" applyBorder="1"/>
    <xf numFmtId="43" fontId="0" fillId="0" borderId="0" xfId="1" applyFont="1" applyBorder="1"/>
    <xf numFmtId="0" fontId="2" fillId="0" borderId="0"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5" borderId="8" xfId="0" applyFill="1" applyBorder="1"/>
    <xf numFmtId="0" fontId="0" fillId="5" borderId="9" xfId="0" applyFill="1" applyBorder="1"/>
    <xf numFmtId="0" fontId="0" fillId="5" borderId="10" xfId="0" applyFill="1" applyBorder="1"/>
    <xf numFmtId="0" fontId="0" fillId="6" borderId="8" xfId="0" applyFill="1" applyBorder="1"/>
    <xf numFmtId="0" fontId="0" fillId="6" borderId="9" xfId="0" applyFill="1" applyBorder="1"/>
    <xf numFmtId="0" fontId="0" fillId="6" borderId="10" xfId="0" applyFill="1" applyBorder="1"/>
    <xf numFmtId="0" fontId="0" fillId="4" borderId="5" xfId="0" applyFill="1" applyBorder="1"/>
    <xf numFmtId="0" fontId="0" fillId="4" borderId="7" xfId="0" applyFill="1" applyBorder="1"/>
    <xf numFmtId="0" fontId="4" fillId="7" borderId="0" xfId="0" applyFont="1" applyFill="1"/>
    <xf numFmtId="0" fontId="4" fillId="8" borderId="0" xfId="0" applyFont="1" applyFill="1"/>
    <xf numFmtId="0" fontId="0" fillId="10" borderId="0" xfId="0" applyFill="1"/>
    <xf numFmtId="0" fontId="4" fillId="7" borderId="0" xfId="0" applyFont="1" applyFill="1" applyBorder="1"/>
    <xf numFmtId="0" fontId="4" fillId="9" borderId="0" xfId="0" applyFont="1" applyFill="1" applyAlignment="1">
      <alignment horizontal="left" wrapText="1"/>
    </xf>
    <xf numFmtId="0" fontId="19" fillId="0" borderId="0" xfId="0" applyFont="1"/>
    <xf numFmtId="0" fontId="18" fillId="0" borderId="0" xfId="0" applyFont="1" applyAlignment="1"/>
    <xf numFmtId="0" fontId="0" fillId="0" borderId="11" xfId="0" applyBorder="1"/>
    <xf numFmtId="0" fontId="0" fillId="0" borderId="12" xfId="0" applyBorder="1"/>
    <xf numFmtId="43" fontId="0" fillId="10" borderId="0" xfId="0" applyNumberFormat="1" applyFill="1"/>
    <xf numFmtId="43" fontId="12" fillId="0" borderId="0" xfId="1" applyFont="1"/>
    <xf numFmtId="0" fontId="0" fillId="2" borderId="0" xfId="0" applyFill="1" applyBorder="1"/>
    <xf numFmtId="0" fontId="0" fillId="0" borderId="0" xfId="0" quotePrefix="1"/>
    <xf numFmtId="10" fontId="0" fillId="2" borderId="0" xfId="2" applyNumberFormat="1" applyFont="1" applyFill="1"/>
    <xf numFmtId="0" fontId="2" fillId="0" borderId="0" xfId="0" quotePrefix="1" applyFont="1"/>
    <xf numFmtId="10" fontId="3" fillId="10" borderId="0" xfId="2" applyNumberFormat="1" applyFont="1" applyFill="1"/>
    <xf numFmtId="165" fontId="12" fillId="0" borderId="0" xfId="0" applyNumberFormat="1" applyFont="1"/>
    <xf numFmtId="43" fontId="0" fillId="2" borderId="1" xfId="1" applyFont="1" applyFill="1" applyBorder="1" applyAlignment="1">
      <alignment wrapText="1"/>
    </xf>
    <xf numFmtId="43" fontId="0" fillId="2" borderId="0" xfId="1" applyFont="1" applyFill="1" applyAlignment="1">
      <alignment horizontal="right"/>
    </xf>
    <xf numFmtId="43" fontId="0" fillId="2" borderId="1" xfId="1" applyFont="1" applyFill="1" applyBorder="1" applyAlignment="1">
      <alignment horizontal="right"/>
    </xf>
    <xf numFmtId="0" fontId="0" fillId="11" borderId="0" xfId="0" applyFill="1"/>
    <xf numFmtId="43" fontId="0" fillId="11" borderId="0" xfId="0" applyNumberFormat="1" applyFill="1"/>
    <xf numFmtId="43" fontId="0" fillId="11" borderId="0" xfId="1" applyFont="1" applyFill="1"/>
    <xf numFmtId="0" fontId="0" fillId="12" borderId="1" xfId="0" applyFill="1" applyBorder="1"/>
    <xf numFmtId="43" fontId="0" fillId="12" borderId="1" xfId="1" applyFont="1" applyFill="1" applyBorder="1" applyAlignment="1">
      <alignment horizontal="right"/>
    </xf>
    <xf numFmtId="0" fontId="0" fillId="12" borderId="0" xfId="0" applyFill="1"/>
    <xf numFmtId="0" fontId="0" fillId="12" borderId="0" xfId="0" quotePrefix="1" applyFill="1"/>
    <xf numFmtId="0" fontId="14" fillId="12" borderId="0" xfId="0" applyFont="1" applyFill="1"/>
    <xf numFmtId="43" fontId="0" fillId="12" borderId="0" xfId="0" applyNumberFormat="1" applyFill="1"/>
    <xf numFmtId="43" fontId="12" fillId="2" borderId="0" xfId="0" applyNumberFormat="1" applyFont="1" applyFill="1"/>
    <xf numFmtId="0" fontId="0" fillId="0" borderId="0" xfId="0" applyAlignment="1"/>
    <xf numFmtId="0" fontId="0" fillId="0" borderId="0" xfId="0" applyAlignment="1">
      <alignment horizontal="left"/>
    </xf>
    <xf numFmtId="0" fontId="0" fillId="0" borderId="0" xfId="0" applyAlignment="1">
      <alignment horizontal="left" wrapText="1"/>
    </xf>
    <xf numFmtId="0" fontId="0" fillId="0" borderId="0" xfId="0" applyAlignment="1">
      <alignment horizontal="left" vertical="top" wrapText="1"/>
    </xf>
    <xf numFmtId="0" fontId="12" fillId="0" borderId="0" xfId="0" applyFont="1" applyAlignment="1">
      <alignment horizontal="center"/>
    </xf>
    <xf numFmtId="0" fontId="0" fillId="0" borderId="0" xfId="0" applyAlignment="1">
      <alignment horizontal="center"/>
    </xf>
    <xf numFmtId="0" fontId="0" fillId="0" borderId="13" xfId="0" applyBorder="1"/>
    <xf numFmtId="0" fontId="0" fillId="0" borderId="14" xfId="0" applyBorder="1"/>
  </cellXfs>
  <cellStyles count="3">
    <cellStyle name="Millares" xfId="1" builtinId="3"/>
    <cellStyle name="Normal" xfId="0" builtinId="0"/>
    <cellStyle name="Porcentaje" xfId="2" builtinId="5"/>
  </cellStyles>
  <dxfs count="0"/>
  <tableStyles count="0" defaultTableStyle="TableStyleMedium2" defaultPivotStyle="PivotStyleLight16"/>
  <colors>
    <mruColors>
      <color rgb="FFFF66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95250</xdr:colOff>
      <xdr:row>22</xdr:row>
      <xdr:rowOff>111125</xdr:rowOff>
    </xdr:from>
    <xdr:to>
      <xdr:col>10</xdr:col>
      <xdr:colOff>420688</xdr:colOff>
      <xdr:row>22</xdr:row>
      <xdr:rowOff>166688</xdr:rowOff>
    </xdr:to>
    <xdr:cxnSp macro="">
      <xdr:nvCxnSpPr>
        <xdr:cNvPr id="3" name="Conector recto 2">
          <a:extLst>
            <a:ext uri="{FF2B5EF4-FFF2-40B4-BE49-F238E27FC236}">
              <a16:creationId xmlns:a16="http://schemas.microsoft.com/office/drawing/2014/main" id="{597BC4E3-06FC-41E8-90D2-48C94D8DB183}"/>
            </a:ext>
          </a:extLst>
        </xdr:cNvPr>
        <xdr:cNvCxnSpPr/>
      </xdr:nvCxnSpPr>
      <xdr:spPr>
        <a:xfrm>
          <a:off x="857250" y="4302125"/>
          <a:ext cx="7056438" cy="555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15875</xdr:colOff>
      <xdr:row>5</xdr:row>
      <xdr:rowOff>111125</xdr:rowOff>
    </xdr:from>
    <xdr:to>
      <xdr:col>6</xdr:col>
      <xdr:colOff>142875</xdr:colOff>
      <xdr:row>5</xdr:row>
      <xdr:rowOff>111125</xdr:rowOff>
    </xdr:to>
    <xdr:cxnSp macro="">
      <xdr:nvCxnSpPr>
        <xdr:cNvPr id="5" name="Conector recto 4">
          <a:extLst>
            <a:ext uri="{FF2B5EF4-FFF2-40B4-BE49-F238E27FC236}">
              <a16:creationId xmlns:a16="http://schemas.microsoft.com/office/drawing/2014/main" id="{64196C5F-E446-428B-BB6B-CEB1460C5CB0}"/>
            </a:ext>
          </a:extLst>
        </xdr:cNvPr>
        <xdr:cNvCxnSpPr/>
      </xdr:nvCxnSpPr>
      <xdr:spPr>
        <a:xfrm>
          <a:off x="1055688" y="1063625"/>
          <a:ext cx="42386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96837</xdr:colOff>
      <xdr:row>7</xdr:row>
      <xdr:rowOff>144462</xdr:rowOff>
    </xdr:from>
    <xdr:to>
      <xdr:col>6</xdr:col>
      <xdr:colOff>223837</xdr:colOff>
      <xdr:row>7</xdr:row>
      <xdr:rowOff>144462</xdr:rowOff>
    </xdr:to>
    <xdr:cxnSp macro="">
      <xdr:nvCxnSpPr>
        <xdr:cNvPr id="6" name="Conector recto 5">
          <a:extLst>
            <a:ext uri="{FF2B5EF4-FFF2-40B4-BE49-F238E27FC236}">
              <a16:creationId xmlns:a16="http://schemas.microsoft.com/office/drawing/2014/main" id="{463D34EC-13C8-4F30-B0DA-424658734335}"/>
            </a:ext>
          </a:extLst>
        </xdr:cNvPr>
        <xdr:cNvCxnSpPr/>
      </xdr:nvCxnSpPr>
      <xdr:spPr>
        <a:xfrm>
          <a:off x="1136650" y="1477962"/>
          <a:ext cx="42386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249237</xdr:colOff>
      <xdr:row>8</xdr:row>
      <xdr:rowOff>106362</xdr:rowOff>
    </xdr:from>
    <xdr:to>
      <xdr:col>6</xdr:col>
      <xdr:colOff>376237</xdr:colOff>
      <xdr:row>8</xdr:row>
      <xdr:rowOff>106362</xdr:rowOff>
    </xdr:to>
    <xdr:cxnSp macro="">
      <xdr:nvCxnSpPr>
        <xdr:cNvPr id="7" name="Conector recto 6">
          <a:extLst>
            <a:ext uri="{FF2B5EF4-FFF2-40B4-BE49-F238E27FC236}">
              <a16:creationId xmlns:a16="http://schemas.microsoft.com/office/drawing/2014/main" id="{1D6EEB39-0C7D-4E3F-A41A-F433046C51DD}"/>
            </a:ext>
          </a:extLst>
        </xdr:cNvPr>
        <xdr:cNvCxnSpPr/>
      </xdr:nvCxnSpPr>
      <xdr:spPr>
        <a:xfrm>
          <a:off x="1289050" y="1630362"/>
          <a:ext cx="42386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187324</xdr:colOff>
      <xdr:row>9</xdr:row>
      <xdr:rowOff>123825</xdr:rowOff>
    </xdr:from>
    <xdr:to>
      <xdr:col>6</xdr:col>
      <xdr:colOff>314324</xdr:colOff>
      <xdr:row>9</xdr:row>
      <xdr:rowOff>123825</xdr:rowOff>
    </xdr:to>
    <xdr:cxnSp macro="">
      <xdr:nvCxnSpPr>
        <xdr:cNvPr id="8" name="Conector recto 7">
          <a:extLst>
            <a:ext uri="{FF2B5EF4-FFF2-40B4-BE49-F238E27FC236}">
              <a16:creationId xmlns:a16="http://schemas.microsoft.com/office/drawing/2014/main" id="{164068EA-14CE-4078-A1EF-A28D36CB622C}"/>
            </a:ext>
          </a:extLst>
        </xdr:cNvPr>
        <xdr:cNvCxnSpPr/>
      </xdr:nvCxnSpPr>
      <xdr:spPr>
        <a:xfrm>
          <a:off x="1227137" y="1838325"/>
          <a:ext cx="42386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339724</xdr:colOff>
      <xdr:row>10</xdr:row>
      <xdr:rowOff>85725</xdr:rowOff>
    </xdr:from>
    <xdr:to>
      <xdr:col>6</xdr:col>
      <xdr:colOff>466724</xdr:colOff>
      <xdr:row>10</xdr:row>
      <xdr:rowOff>85725</xdr:rowOff>
    </xdr:to>
    <xdr:cxnSp macro="">
      <xdr:nvCxnSpPr>
        <xdr:cNvPr id="9" name="Conector recto 8">
          <a:extLst>
            <a:ext uri="{FF2B5EF4-FFF2-40B4-BE49-F238E27FC236}">
              <a16:creationId xmlns:a16="http://schemas.microsoft.com/office/drawing/2014/main" id="{1B118D7C-BE61-4572-8980-65EF11087BFC}"/>
            </a:ext>
          </a:extLst>
        </xdr:cNvPr>
        <xdr:cNvCxnSpPr/>
      </xdr:nvCxnSpPr>
      <xdr:spPr>
        <a:xfrm>
          <a:off x="1379537" y="1990725"/>
          <a:ext cx="4532312"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492124</xdr:colOff>
      <xdr:row>11</xdr:row>
      <xdr:rowOff>47625</xdr:rowOff>
    </xdr:from>
    <xdr:to>
      <xdr:col>6</xdr:col>
      <xdr:colOff>619124</xdr:colOff>
      <xdr:row>11</xdr:row>
      <xdr:rowOff>47625</xdr:rowOff>
    </xdr:to>
    <xdr:cxnSp macro="">
      <xdr:nvCxnSpPr>
        <xdr:cNvPr id="10" name="Conector recto 9">
          <a:extLst>
            <a:ext uri="{FF2B5EF4-FFF2-40B4-BE49-F238E27FC236}">
              <a16:creationId xmlns:a16="http://schemas.microsoft.com/office/drawing/2014/main" id="{6BED90D1-3647-4008-A772-C85869F3F2D5}"/>
            </a:ext>
          </a:extLst>
        </xdr:cNvPr>
        <xdr:cNvCxnSpPr/>
      </xdr:nvCxnSpPr>
      <xdr:spPr>
        <a:xfrm>
          <a:off x="1531937" y="2143125"/>
          <a:ext cx="4532312"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714375</xdr:colOff>
      <xdr:row>18</xdr:row>
      <xdr:rowOff>76200</xdr:rowOff>
    </xdr:from>
    <xdr:to>
      <xdr:col>7</xdr:col>
      <xdr:colOff>400050</xdr:colOff>
      <xdr:row>18</xdr:row>
      <xdr:rowOff>104775</xdr:rowOff>
    </xdr:to>
    <xdr:cxnSp macro="">
      <xdr:nvCxnSpPr>
        <xdr:cNvPr id="3" name="Conector recto 2">
          <a:extLst>
            <a:ext uri="{FF2B5EF4-FFF2-40B4-BE49-F238E27FC236}">
              <a16:creationId xmlns:a16="http://schemas.microsoft.com/office/drawing/2014/main" id="{5B82EED3-3779-43D9-B9AE-7DA864EB327C}"/>
            </a:ext>
          </a:extLst>
        </xdr:cNvPr>
        <xdr:cNvCxnSpPr/>
      </xdr:nvCxnSpPr>
      <xdr:spPr>
        <a:xfrm flipV="1">
          <a:off x="714375" y="3505200"/>
          <a:ext cx="5591175" cy="285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619125</xdr:colOff>
      <xdr:row>19</xdr:row>
      <xdr:rowOff>76200</xdr:rowOff>
    </xdr:from>
    <xdr:to>
      <xdr:col>7</xdr:col>
      <xdr:colOff>304800</xdr:colOff>
      <xdr:row>19</xdr:row>
      <xdr:rowOff>104775</xdr:rowOff>
    </xdr:to>
    <xdr:cxnSp macro="">
      <xdr:nvCxnSpPr>
        <xdr:cNvPr id="4" name="Conector recto 3">
          <a:extLst>
            <a:ext uri="{FF2B5EF4-FFF2-40B4-BE49-F238E27FC236}">
              <a16:creationId xmlns:a16="http://schemas.microsoft.com/office/drawing/2014/main" id="{4FFAF141-3251-4597-9C77-511BB9B02F32}"/>
            </a:ext>
          </a:extLst>
        </xdr:cNvPr>
        <xdr:cNvCxnSpPr/>
      </xdr:nvCxnSpPr>
      <xdr:spPr>
        <a:xfrm flipV="1">
          <a:off x="619125" y="3695700"/>
          <a:ext cx="5591175" cy="285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714375</xdr:colOff>
      <xdr:row>20</xdr:row>
      <xdr:rowOff>114300</xdr:rowOff>
    </xdr:from>
    <xdr:to>
      <xdr:col>7</xdr:col>
      <xdr:colOff>400050</xdr:colOff>
      <xdr:row>20</xdr:row>
      <xdr:rowOff>142875</xdr:rowOff>
    </xdr:to>
    <xdr:cxnSp macro="">
      <xdr:nvCxnSpPr>
        <xdr:cNvPr id="5" name="Conector recto 4">
          <a:extLst>
            <a:ext uri="{FF2B5EF4-FFF2-40B4-BE49-F238E27FC236}">
              <a16:creationId xmlns:a16="http://schemas.microsoft.com/office/drawing/2014/main" id="{DC5C7883-8B8C-44C2-9DC1-A2A5A462BC74}"/>
            </a:ext>
          </a:extLst>
        </xdr:cNvPr>
        <xdr:cNvCxnSpPr/>
      </xdr:nvCxnSpPr>
      <xdr:spPr>
        <a:xfrm flipV="1">
          <a:off x="714375" y="3924300"/>
          <a:ext cx="5591175" cy="285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104775</xdr:colOff>
      <xdr:row>21</xdr:row>
      <xdr:rowOff>76200</xdr:rowOff>
    </xdr:from>
    <xdr:to>
      <xdr:col>7</xdr:col>
      <xdr:colOff>552450</xdr:colOff>
      <xdr:row>21</xdr:row>
      <xdr:rowOff>104775</xdr:rowOff>
    </xdr:to>
    <xdr:cxnSp macro="">
      <xdr:nvCxnSpPr>
        <xdr:cNvPr id="6" name="Conector recto 5">
          <a:extLst>
            <a:ext uri="{FF2B5EF4-FFF2-40B4-BE49-F238E27FC236}">
              <a16:creationId xmlns:a16="http://schemas.microsoft.com/office/drawing/2014/main" id="{A907F3DF-9528-4385-A4BD-0D1233C1CC79}"/>
            </a:ext>
          </a:extLst>
        </xdr:cNvPr>
        <xdr:cNvCxnSpPr/>
      </xdr:nvCxnSpPr>
      <xdr:spPr>
        <a:xfrm flipV="1">
          <a:off x="866775" y="4076700"/>
          <a:ext cx="5591175" cy="285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22</xdr:row>
      <xdr:rowOff>38100</xdr:rowOff>
    </xdr:from>
    <xdr:to>
      <xdr:col>7</xdr:col>
      <xdr:colOff>704850</xdr:colOff>
      <xdr:row>22</xdr:row>
      <xdr:rowOff>66675</xdr:rowOff>
    </xdr:to>
    <xdr:cxnSp macro="">
      <xdr:nvCxnSpPr>
        <xdr:cNvPr id="7" name="Conector recto 6">
          <a:extLst>
            <a:ext uri="{FF2B5EF4-FFF2-40B4-BE49-F238E27FC236}">
              <a16:creationId xmlns:a16="http://schemas.microsoft.com/office/drawing/2014/main" id="{442979E6-4C4A-4D35-923D-1E54B3A81778}"/>
            </a:ext>
          </a:extLst>
        </xdr:cNvPr>
        <xdr:cNvCxnSpPr/>
      </xdr:nvCxnSpPr>
      <xdr:spPr>
        <a:xfrm flipV="1">
          <a:off x="1019175" y="4229100"/>
          <a:ext cx="5591175" cy="285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409575</xdr:colOff>
      <xdr:row>23</xdr:row>
      <xdr:rowOff>0</xdr:rowOff>
    </xdr:from>
    <xdr:to>
      <xdr:col>7</xdr:col>
      <xdr:colOff>857250</xdr:colOff>
      <xdr:row>23</xdr:row>
      <xdr:rowOff>28575</xdr:rowOff>
    </xdr:to>
    <xdr:cxnSp macro="">
      <xdr:nvCxnSpPr>
        <xdr:cNvPr id="8" name="Conector recto 7">
          <a:extLst>
            <a:ext uri="{FF2B5EF4-FFF2-40B4-BE49-F238E27FC236}">
              <a16:creationId xmlns:a16="http://schemas.microsoft.com/office/drawing/2014/main" id="{23C78B58-89FB-40D9-8874-94E1C0EF9E30}"/>
            </a:ext>
          </a:extLst>
        </xdr:cNvPr>
        <xdr:cNvCxnSpPr/>
      </xdr:nvCxnSpPr>
      <xdr:spPr>
        <a:xfrm flipV="1">
          <a:off x="1171575" y="4381500"/>
          <a:ext cx="5934075" cy="285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738187</xdr:colOff>
      <xdr:row>9</xdr:row>
      <xdr:rowOff>33211</xdr:rowOff>
    </xdr:from>
    <xdr:to>
      <xdr:col>6</xdr:col>
      <xdr:colOff>77932</xdr:colOff>
      <xdr:row>13</xdr:row>
      <xdr:rowOff>66676</xdr:rowOff>
    </xdr:to>
    <xdr:pic>
      <xdr:nvPicPr>
        <xdr:cNvPr id="6" name="Imagen 5">
          <a:extLst>
            <a:ext uri="{FF2B5EF4-FFF2-40B4-BE49-F238E27FC236}">
              <a16:creationId xmlns:a16="http://schemas.microsoft.com/office/drawing/2014/main" id="{F00E4208-5343-474B-B9FF-DFEF0AC3DC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0187" y="1771524"/>
          <a:ext cx="5865813" cy="13907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547688</xdr:colOff>
      <xdr:row>9</xdr:row>
      <xdr:rowOff>33914</xdr:rowOff>
    </xdr:from>
    <xdr:to>
      <xdr:col>10</xdr:col>
      <xdr:colOff>642937</xdr:colOff>
      <xdr:row>14</xdr:row>
      <xdr:rowOff>33915</xdr:rowOff>
    </xdr:to>
    <xdr:sp macro="" textlink="">
      <xdr:nvSpPr>
        <xdr:cNvPr id="7" name="Rectángulo 6">
          <a:extLst>
            <a:ext uri="{FF2B5EF4-FFF2-40B4-BE49-F238E27FC236}">
              <a16:creationId xmlns:a16="http://schemas.microsoft.com/office/drawing/2014/main" id="{DB7D06C9-7A9F-49A4-875A-243E95095483}"/>
            </a:ext>
          </a:extLst>
        </xdr:cNvPr>
        <xdr:cNvSpPr/>
      </xdr:nvSpPr>
      <xdr:spPr>
        <a:xfrm>
          <a:off x="1309688" y="1774391"/>
          <a:ext cx="9247908" cy="1549979"/>
        </a:xfrm>
        <a:prstGeom prst="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xdr:col>
      <xdr:colOff>111125</xdr:colOff>
      <xdr:row>1</xdr:row>
      <xdr:rowOff>127000</xdr:rowOff>
    </xdr:from>
    <xdr:to>
      <xdr:col>11</xdr:col>
      <xdr:colOff>666750</xdr:colOff>
      <xdr:row>1</xdr:row>
      <xdr:rowOff>127000</xdr:rowOff>
    </xdr:to>
    <xdr:cxnSp macro="">
      <xdr:nvCxnSpPr>
        <xdr:cNvPr id="9" name="Conector recto 8">
          <a:extLst>
            <a:ext uri="{FF2B5EF4-FFF2-40B4-BE49-F238E27FC236}">
              <a16:creationId xmlns:a16="http://schemas.microsoft.com/office/drawing/2014/main" id="{41AEBAA1-346A-44FA-8CBB-F54DD55E107E}"/>
            </a:ext>
          </a:extLst>
        </xdr:cNvPr>
        <xdr:cNvCxnSpPr/>
      </xdr:nvCxnSpPr>
      <xdr:spPr>
        <a:xfrm>
          <a:off x="873125" y="325438"/>
          <a:ext cx="988218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263525</xdr:colOff>
      <xdr:row>2</xdr:row>
      <xdr:rowOff>88900</xdr:rowOff>
    </xdr:from>
    <xdr:to>
      <xdr:col>12</xdr:col>
      <xdr:colOff>57150</xdr:colOff>
      <xdr:row>2</xdr:row>
      <xdr:rowOff>88900</xdr:rowOff>
    </xdr:to>
    <xdr:cxnSp macro="">
      <xdr:nvCxnSpPr>
        <xdr:cNvPr id="10" name="Conector recto 9">
          <a:extLst>
            <a:ext uri="{FF2B5EF4-FFF2-40B4-BE49-F238E27FC236}">
              <a16:creationId xmlns:a16="http://schemas.microsoft.com/office/drawing/2014/main" id="{0A2D2C35-EED1-46D8-B4CC-5588ABFEEFB7}"/>
            </a:ext>
          </a:extLst>
        </xdr:cNvPr>
        <xdr:cNvCxnSpPr/>
      </xdr:nvCxnSpPr>
      <xdr:spPr>
        <a:xfrm>
          <a:off x="1025525" y="477838"/>
          <a:ext cx="988218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540616</xdr:colOff>
      <xdr:row>3</xdr:row>
      <xdr:rowOff>36224</xdr:rowOff>
    </xdr:from>
    <xdr:to>
      <xdr:col>11</xdr:col>
      <xdr:colOff>334241</xdr:colOff>
      <xdr:row>3</xdr:row>
      <xdr:rowOff>36224</xdr:rowOff>
    </xdr:to>
    <xdr:cxnSp macro="">
      <xdr:nvCxnSpPr>
        <xdr:cNvPr id="11" name="Conector recto 10">
          <a:extLst>
            <a:ext uri="{FF2B5EF4-FFF2-40B4-BE49-F238E27FC236}">
              <a16:creationId xmlns:a16="http://schemas.microsoft.com/office/drawing/2014/main" id="{A9674382-6BDC-48A9-9B70-E80B9E21488C}"/>
            </a:ext>
          </a:extLst>
        </xdr:cNvPr>
        <xdr:cNvCxnSpPr/>
      </xdr:nvCxnSpPr>
      <xdr:spPr>
        <a:xfrm>
          <a:off x="540616" y="616383"/>
          <a:ext cx="9881466"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718993</xdr:colOff>
      <xdr:row>4</xdr:row>
      <xdr:rowOff>197283</xdr:rowOff>
    </xdr:from>
    <xdr:to>
      <xdr:col>11</xdr:col>
      <xdr:colOff>512618</xdr:colOff>
      <xdr:row>4</xdr:row>
      <xdr:rowOff>197283</xdr:rowOff>
    </xdr:to>
    <xdr:cxnSp macro="">
      <xdr:nvCxnSpPr>
        <xdr:cNvPr id="12" name="Conector recto 11">
          <a:extLst>
            <a:ext uri="{FF2B5EF4-FFF2-40B4-BE49-F238E27FC236}">
              <a16:creationId xmlns:a16="http://schemas.microsoft.com/office/drawing/2014/main" id="{8A208AAF-CB70-4ACE-84CF-A5884169D0F4}"/>
            </a:ext>
          </a:extLst>
        </xdr:cNvPr>
        <xdr:cNvCxnSpPr/>
      </xdr:nvCxnSpPr>
      <xdr:spPr>
        <a:xfrm>
          <a:off x="718993" y="967942"/>
          <a:ext cx="10470284"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568325</xdr:colOff>
      <xdr:row>6</xdr:row>
      <xdr:rowOff>37955</xdr:rowOff>
    </xdr:from>
    <xdr:to>
      <xdr:col>11</xdr:col>
      <xdr:colOff>361950</xdr:colOff>
      <xdr:row>6</xdr:row>
      <xdr:rowOff>37955</xdr:rowOff>
    </xdr:to>
    <xdr:cxnSp macro="">
      <xdr:nvCxnSpPr>
        <xdr:cNvPr id="13" name="Conector recto 12">
          <a:extLst>
            <a:ext uri="{FF2B5EF4-FFF2-40B4-BE49-F238E27FC236}">
              <a16:creationId xmlns:a16="http://schemas.microsoft.com/office/drawing/2014/main" id="{494D9CA2-DC4B-42C4-9BDE-06193EA07882}"/>
            </a:ext>
          </a:extLst>
        </xdr:cNvPr>
        <xdr:cNvCxnSpPr/>
      </xdr:nvCxnSpPr>
      <xdr:spPr>
        <a:xfrm>
          <a:off x="568325" y="1198273"/>
          <a:ext cx="10470284"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43296</xdr:colOff>
      <xdr:row>2</xdr:row>
      <xdr:rowOff>173182</xdr:rowOff>
    </xdr:from>
    <xdr:to>
      <xdr:col>10</xdr:col>
      <xdr:colOff>545523</xdr:colOff>
      <xdr:row>2</xdr:row>
      <xdr:rowOff>173182</xdr:rowOff>
    </xdr:to>
    <xdr:cxnSp macro="">
      <xdr:nvCxnSpPr>
        <xdr:cNvPr id="3" name="Conector recto 2">
          <a:extLst>
            <a:ext uri="{FF2B5EF4-FFF2-40B4-BE49-F238E27FC236}">
              <a16:creationId xmlns:a16="http://schemas.microsoft.com/office/drawing/2014/main" id="{861A8FF9-52C5-40D3-B281-60402283F53A}"/>
            </a:ext>
          </a:extLst>
        </xdr:cNvPr>
        <xdr:cNvCxnSpPr/>
      </xdr:nvCxnSpPr>
      <xdr:spPr>
        <a:xfrm>
          <a:off x="805296" y="554182"/>
          <a:ext cx="7550727"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663287</xdr:colOff>
      <xdr:row>3</xdr:row>
      <xdr:rowOff>161060</xdr:rowOff>
    </xdr:from>
    <xdr:to>
      <xdr:col>10</xdr:col>
      <xdr:colOff>403514</xdr:colOff>
      <xdr:row>3</xdr:row>
      <xdr:rowOff>161060</xdr:rowOff>
    </xdr:to>
    <xdr:cxnSp macro="">
      <xdr:nvCxnSpPr>
        <xdr:cNvPr id="4" name="Conector recto 3">
          <a:extLst>
            <a:ext uri="{FF2B5EF4-FFF2-40B4-BE49-F238E27FC236}">
              <a16:creationId xmlns:a16="http://schemas.microsoft.com/office/drawing/2014/main" id="{4F4C0BED-FE14-417F-9DC0-5D9AD826712F}"/>
            </a:ext>
          </a:extLst>
        </xdr:cNvPr>
        <xdr:cNvCxnSpPr/>
      </xdr:nvCxnSpPr>
      <xdr:spPr>
        <a:xfrm>
          <a:off x="663287" y="732560"/>
          <a:ext cx="77152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53687</xdr:colOff>
      <xdr:row>4</xdr:row>
      <xdr:rowOff>122960</xdr:rowOff>
    </xdr:from>
    <xdr:to>
      <xdr:col>10</xdr:col>
      <xdr:colOff>555914</xdr:colOff>
      <xdr:row>4</xdr:row>
      <xdr:rowOff>122960</xdr:rowOff>
    </xdr:to>
    <xdr:cxnSp macro="">
      <xdr:nvCxnSpPr>
        <xdr:cNvPr id="5" name="Conector recto 4">
          <a:extLst>
            <a:ext uri="{FF2B5EF4-FFF2-40B4-BE49-F238E27FC236}">
              <a16:creationId xmlns:a16="http://schemas.microsoft.com/office/drawing/2014/main" id="{1DFB884E-531F-4D79-81F5-DA62BA6C8C82}"/>
            </a:ext>
          </a:extLst>
        </xdr:cNvPr>
        <xdr:cNvCxnSpPr/>
      </xdr:nvCxnSpPr>
      <xdr:spPr>
        <a:xfrm>
          <a:off x="815687" y="884960"/>
          <a:ext cx="77152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84859</xdr:colOff>
      <xdr:row>7</xdr:row>
      <xdr:rowOff>6928</xdr:rowOff>
    </xdr:from>
    <xdr:to>
      <xdr:col>10</xdr:col>
      <xdr:colOff>587086</xdr:colOff>
      <xdr:row>7</xdr:row>
      <xdr:rowOff>6928</xdr:rowOff>
    </xdr:to>
    <xdr:cxnSp macro="">
      <xdr:nvCxnSpPr>
        <xdr:cNvPr id="6" name="Conector recto 5">
          <a:extLst>
            <a:ext uri="{FF2B5EF4-FFF2-40B4-BE49-F238E27FC236}">
              <a16:creationId xmlns:a16="http://schemas.microsoft.com/office/drawing/2014/main" id="{2BB2BB3A-1F16-4FC9-BEB2-C680887E03C6}"/>
            </a:ext>
          </a:extLst>
        </xdr:cNvPr>
        <xdr:cNvCxnSpPr/>
      </xdr:nvCxnSpPr>
      <xdr:spPr>
        <a:xfrm>
          <a:off x="846859" y="1340428"/>
          <a:ext cx="77152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237259</xdr:colOff>
      <xdr:row>7</xdr:row>
      <xdr:rowOff>159328</xdr:rowOff>
    </xdr:from>
    <xdr:to>
      <xdr:col>10</xdr:col>
      <xdr:colOff>739486</xdr:colOff>
      <xdr:row>7</xdr:row>
      <xdr:rowOff>159328</xdr:rowOff>
    </xdr:to>
    <xdr:cxnSp macro="">
      <xdr:nvCxnSpPr>
        <xdr:cNvPr id="7" name="Conector recto 6">
          <a:extLst>
            <a:ext uri="{FF2B5EF4-FFF2-40B4-BE49-F238E27FC236}">
              <a16:creationId xmlns:a16="http://schemas.microsoft.com/office/drawing/2014/main" id="{8DFB1035-613C-4DA9-B703-6D42C3DE8C9E}"/>
            </a:ext>
          </a:extLst>
        </xdr:cNvPr>
        <xdr:cNvCxnSpPr/>
      </xdr:nvCxnSpPr>
      <xdr:spPr>
        <a:xfrm>
          <a:off x="999259" y="1492828"/>
          <a:ext cx="77152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380999</xdr:colOff>
      <xdr:row>8</xdr:row>
      <xdr:rowOff>181841</xdr:rowOff>
    </xdr:from>
    <xdr:to>
      <xdr:col>11</xdr:col>
      <xdr:colOff>121226</xdr:colOff>
      <xdr:row>8</xdr:row>
      <xdr:rowOff>181841</xdr:rowOff>
    </xdr:to>
    <xdr:cxnSp macro="">
      <xdr:nvCxnSpPr>
        <xdr:cNvPr id="8" name="Conector recto 7">
          <a:extLst>
            <a:ext uri="{FF2B5EF4-FFF2-40B4-BE49-F238E27FC236}">
              <a16:creationId xmlns:a16="http://schemas.microsoft.com/office/drawing/2014/main" id="{DEC0B2AD-3E97-48C1-8E25-577D6EBB1B43}"/>
            </a:ext>
          </a:extLst>
        </xdr:cNvPr>
        <xdr:cNvCxnSpPr/>
      </xdr:nvCxnSpPr>
      <xdr:spPr>
        <a:xfrm>
          <a:off x="1142999" y="1705841"/>
          <a:ext cx="7862454"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406977</xdr:colOff>
      <xdr:row>72</xdr:row>
      <xdr:rowOff>25978</xdr:rowOff>
    </xdr:from>
    <xdr:to>
      <xdr:col>3</xdr:col>
      <xdr:colOff>623455</xdr:colOff>
      <xdr:row>78</xdr:row>
      <xdr:rowOff>95250</xdr:rowOff>
    </xdr:to>
    <xdr:sp macro="" textlink="">
      <xdr:nvSpPr>
        <xdr:cNvPr id="9" name="Elipse 8">
          <a:extLst>
            <a:ext uri="{FF2B5EF4-FFF2-40B4-BE49-F238E27FC236}">
              <a16:creationId xmlns:a16="http://schemas.microsoft.com/office/drawing/2014/main" id="{47AB8216-FC5F-4D9F-AAF6-292962033616}"/>
            </a:ext>
          </a:extLst>
        </xdr:cNvPr>
        <xdr:cNvSpPr/>
      </xdr:nvSpPr>
      <xdr:spPr>
        <a:xfrm>
          <a:off x="1168977" y="13594773"/>
          <a:ext cx="1740478" cy="121227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a:t>70% se</a:t>
          </a:r>
        </a:p>
        <a:p>
          <a:pPr algn="l"/>
          <a:r>
            <a:rPr lang="es-PE" sz="1100"/>
            <a:t>reparte</a:t>
          </a:r>
        </a:p>
      </xdr:txBody>
    </xdr:sp>
    <xdr:clientData/>
  </xdr:twoCellAnchor>
  <xdr:twoCellAnchor>
    <xdr:from>
      <xdr:col>2</xdr:col>
      <xdr:colOff>515216</xdr:colOff>
      <xdr:row>72</xdr:row>
      <xdr:rowOff>25978</xdr:rowOff>
    </xdr:from>
    <xdr:to>
      <xdr:col>2</xdr:col>
      <xdr:colOff>528205</xdr:colOff>
      <xdr:row>75</xdr:row>
      <xdr:rowOff>43296</xdr:rowOff>
    </xdr:to>
    <xdr:cxnSp macro="">
      <xdr:nvCxnSpPr>
        <xdr:cNvPr id="11" name="Conector recto 10">
          <a:extLst>
            <a:ext uri="{FF2B5EF4-FFF2-40B4-BE49-F238E27FC236}">
              <a16:creationId xmlns:a16="http://schemas.microsoft.com/office/drawing/2014/main" id="{194C329D-7B26-44D5-B8B6-0C0C0080E285}"/>
            </a:ext>
          </a:extLst>
        </xdr:cNvPr>
        <xdr:cNvCxnSpPr>
          <a:stCxn id="9" idx="0"/>
        </xdr:cNvCxnSpPr>
      </xdr:nvCxnSpPr>
      <xdr:spPr>
        <a:xfrm>
          <a:off x="2039216" y="13594773"/>
          <a:ext cx="12989" cy="588818"/>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545523</xdr:colOff>
      <xdr:row>75</xdr:row>
      <xdr:rowOff>34637</xdr:rowOff>
    </xdr:from>
    <xdr:to>
      <xdr:col>3</xdr:col>
      <xdr:colOff>623455</xdr:colOff>
      <xdr:row>75</xdr:row>
      <xdr:rowOff>60614</xdr:rowOff>
    </xdr:to>
    <xdr:cxnSp macro="">
      <xdr:nvCxnSpPr>
        <xdr:cNvPr id="13" name="Conector recto 12">
          <a:extLst>
            <a:ext uri="{FF2B5EF4-FFF2-40B4-BE49-F238E27FC236}">
              <a16:creationId xmlns:a16="http://schemas.microsoft.com/office/drawing/2014/main" id="{0FED36EA-66C3-4EC4-83CC-7C11BAEDD6EE}"/>
            </a:ext>
          </a:extLst>
        </xdr:cNvPr>
        <xdr:cNvCxnSpPr>
          <a:endCxn id="9" idx="6"/>
        </xdr:cNvCxnSpPr>
      </xdr:nvCxnSpPr>
      <xdr:spPr>
        <a:xfrm>
          <a:off x="2069523" y="14174932"/>
          <a:ext cx="839932" cy="2597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8659</xdr:colOff>
      <xdr:row>73</xdr:row>
      <xdr:rowOff>95250</xdr:rowOff>
    </xdr:from>
    <xdr:ext cx="1031180" cy="264560"/>
    <xdr:sp macro="" textlink="">
      <xdr:nvSpPr>
        <xdr:cNvPr id="15" name="CuadroTexto 14">
          <a:extLst>
            <a:ext uri="{FF2B5EF4-FFF2-40B4-BE49-F238E27FC236}">
              <a16:creationId xmlns:a16="http://schemas.microsoft.com/office/drawing/2014/main" id="{21DA1F88-064C-4B8B-BDCA-A3BBAC303E23}"/>
            </a:ext>
          </a:extLst>
        </xdr:cNvPr>
        <xdr:cNvSpPr txBox="1"/>
      </xdr:nvSpPr>
      <xdr:spPr>
        <a:xfrm>
          <a:off x="2294659" y="13854545"/>
          <a:ext cx="10311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PE" sz="1100"/>
            <a:t>30% se retiene</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0</xdr:col>
      <xdr:colOff>692727</xdr:colOff>
      <xdr:row>19</xdr:row>
      <xdr:rowOff>121227</xdr:rowOff>
    </xdr:from>
    <xdr:to>
      <xdr:col>3</xdr:col>
      <xdr:colOff>675409</xdr:colOff>
      <xdr:row>19</xdr:row>
      <xdr:rowOff>147205</xdr:rowOff>
    </xdr:to>
    <xdr:cxnSp macro="">
      <xdr:nvCxnSpPr>
        <xdr:cNvPr id="10" name="Conector recto 9">
          <a:extLst>
            <a:ext uri="{FF2B5EF4-FFF2-40B4-BE49-F238E27FC236}">
              <a16:creationId xmlns:a16="http://schemas.microsoft.com/office/drawing/2014/main" id="{ADB3D3CF-25DB-4BA1-A16E-468B6736CE10}"/>
            </a:ext>
          </a:extLst>
        </xdr:cNvPr>
        <xdr:cNvCxnSpPr/>
      </xdr:nvCxnSpPr>
      <xdr:spPr>
        <a:xfrm flipV="1">
          <a:off x="692727" y="3740727"/>
          <a:ext cx="2268682" cy="2597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83127</xdr:colOff>
      <xdr:row>20</xdr:row>
      <xdr:rowOff>109105</xdr:rowOff>
    </xdr:from>
    <xdr:to>
      <xdr:col>4</xdr:col>
      <xdr:colOff>476250</xdr:colOff>
      <xdr:row>20</xdr:row>
      <xdr:rowOff>155864</xdr:rowOff>
    </xdr:to>
    <xdr:cxnSp macro="">
      <xdr:nvCxnSpPr>
        <xdr:cNvPr id="11" name="Conector recto 10">
          <a:extLst>
            <a:ext uri="{FF2B5EF4-FFF2-40B4-BE49-F238E27FC236}">
              <a16:creationId xmlns:a16="http://schemas.microsoft.com/office/drawing/2014/main" id="{C01BD46F-3788-4B99-9E1A-233A7207EB7B}"/>
            </a:ext>
          </a:extLst>
        </xdr:cNvPr>
        <xdr:cNvCxnSpPr/>
      </xdr:nvCxnSpPr>
      <xdr:spPr>
        <a:xfrm>
          <a:off x="845127" y="3919105"/>
          <a:ext cx="2809009" cy="4675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1732</xdr:colOff>
      <xdr:row>23</xdr:row>
      <xdr:rowOff>148937</xdr:rowOff>
    </xdr:from>
    <xdr:to>
      <xdr:col>4</xdr:col>
      <xdr:colOff>394855</xdr:colOff>
      <xdr:row>24</xdr:row>
      <xdr:rowOff>5196</xdr:rowOff>
    </xdr:to>
    <xdr:cxnSp macro="">
      <xdr:nvCxnSpPr>
        <xdr:cNvPr id="13" name="Conector recto 12">
          <a:extLst>
            <a:ext uri="{FF2B5EF4-FFF2-40B4-BE49-F238E27FC236}">
              <a16:creationId xmlns:a16="http://schemas.microsoft.com/office/drawing/2014/main" id="{243EB0D9-7A7B-4EBA-A892-2EE7C6D0F251}"/>
            </a:ext>
          </a:extLst>
        </xdr:cNvPr>
        <xdr:cNvCxnSpPr/>
      </xdr:nvCxnSpPr>
      <xdr:spPr>
        <a:xfrm>
          <a:off x="763732" y="4530437"/>
          <a:ext cx="2809009" cy="4675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162791</xdr:colOff>
      <xdr:row>22</xdr:row>
      <xdr:rowOff>162791</xdr:rowOff>
    </xdr:from>
    <xdr:to>
      <xdr:col>6</xdr:col>
      <xdr:colOff>588818</xdr:colOff>
      <xdr:row>22</xdr:row>
      <xdr:rowOff>164523</xdr:rowOff>
    </xdr:to>
    <xdr:cxnSp macro="">
      <xdr:nvCxnSpPr>
        <xdr:cNvPr id="14" name="Conector recto 13">
          <a:extLst>
            <a:ext uri="{FF2B5EF4-FFF2-40B4-BE49-F238E27FC236}">
              <a16:creationId xmlns:a16="http://schemas.microsoft.com/office/drawing/2014/main" id="{8DECECE5-7B88-414B-9213-BD564953345D}"/>
            </a:ext>
          </a:extLst>
        </xdr:cNvPr>
        <xdr:cNvCxnSpPr/>
      </xdr:nvCxnSpPr>
      <xdr:spPr>
        <a:xfrm>
          <a:off x="924791" y="4353791"/>
          <a:ext cx="4582391" cy="173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387927</xdr:colOff>
      <xdr:row>22</xdr:row>
      <xdr:rowOff>32905</xdr:rowOff>
    </xdr:from>
    <xdr:to>
      <xdr:col>4</xdr:col>
      <xdr:colOff>781050</xdr:colOff>
      <xdr:row>22</xdr:row>
      <xdr:rowOff>79664</xdr:rowOff>
    </xdr:to>
    <xdr:cxnSp macro="">
      <xdr:nvCxnSpPr>
        <xdr:cNvPr id="16" name="Conector recto 15">
          <a:extLst>
            <a:ext uri="{FF2B5EF4-FFF2-40B4-BE49-F238E27FC236}">
              <a16:creationId xmlns:a16="http://schemas.microsoft.com/office/drawing/2014/main" id="{B74C4E46-B0DC-4F70-9D72-F9FB3B3DB4C1}"/>
            </a:ext>
          </a:extLst>
        </xdr:cNvPr>
        <xdr:cNvCxnSpPr/>
      </xdr:nvCxnSpPr>
      <xdr:spPr>
        <a:xfrm>
          <a:off x="1149927" y="4223905"/>
          <a:ext cx="2809009" cy="4675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102177</xdr:colOff>
      <xdr:row>24</xdr:row>
      <xdr:rowOff>162792</xdr:rowOff>
    </xdr:from>
    <xdr:to>
      <xdr:col>4</xdr:col>
      <xdr:colOff>495300</xdr:colOff>
      <xdr:row>25</xdr:row>
      <xdr:rowOff>19051</xdr:rowOff>
    </xdr:to>
    <xdr:cxnSp macro="">
      <xdr:nvCxnSpPr>
        <xdr:cNvPr id="17" name="Conector recto 16">
          <a:extLst>
            <a:ext uri="{FF2B5EF4-FFF2-40B4-BE49-F238E27FC236}">
              <a16:creationId xmlns:a16="http://schemas.microsoft.com/office/drawing/2014/main" id="{6C03FAE7-E94A-4F7C-A446-A6B2919B7AE9}"/>
            </a:ext>
          </a:extLst>
        </xdr:cNvPr>
        <xdr:cNvCxnSpPr/>
      </xdr:nvCxnSpPr>
      <xdr:spPr>
        <a:xfrm>
          <a:off x="864177" y="4734792"/>
          <a:ext cx="2809009" cy="4675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254577</xdr:colOff>
      <xdr:row>25</xdr:row>
      <xdr:rowOff>124692</xdr:rowOff>
    </xdr:from>
    <xdr:to>
      <xdr:col>4</xdr:col>
      <xdr:colOff>647700</xdr:colOff>
      <xdr:row>25</xdr:row>
      <xdr:rowOff>171451</xdr:rowOff>
    </xdr:to>
    <xdr:cxnSp macro="">
      <xdr:nvCxnSpPr>
        <xdr:cNvPr id="18" name="Conector recto 17">
          <a:extLst>
            <a:ext uri="{FF2B5EF4-FFF2-40B4-BE49-F238E27FC236}">
              <a16:creationId xmlns:a16="http://schemas.microsoft.com/office/drawing/2014/main" id="{F99B6051-84DC-4C20-A123-E1437665E7D7}"/>
            </a:ext>
          </a:extLst>
        </xdr:cNvPr>
        <xdr:cNvCxnSpPr/>
      </xdr:nvCxnSpPr>
      <xdr:spPr>
        <a:xfrm>
          <a:off x="1016577" y="4887192"/>
          <a:ext cx="2809009" cy="4675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406977</xdr:colOff>
      <xdr:row>65</xdr:row>
      <xdr:rowOff>25978</xdr:rowOff>
    </xdr:from>
    <xdr:to>
      <xdr:col>3</xdr:col>
      <xdr:colOff>623455</xdr:colOff>
      <xdr:row>71</xdr:row>
      <xdr:rowOff>95250</xdr:rowOff>
    </xdr:to>
    <xdr:sp macro="" textlink="">
      <xdr:nvSpPr>
        <xdr:cNvPr id="2" name="Elipse 1">
          <a:extLst>
            <a:ext uri="{FF2B5EF4-FFF2-40B4-BE49-F238E27FC236}">
              <a16:creationId xmlns:a16="http://schemas.microsoft.com/office/drawing/2014/main" id="{0EA04EE6-B7A0-4AF5-A8FF-ABBBBA824409}"/>
            </a:ext>
          </a:extLst>
        </xdr:cNvPr>
        <xdr:cNvSpPr/>
      </xdr:nvSpPr>
      <xdr:spPr>
        <a:xfrm>
          <a:off x="1168977" y="13789603"/>
          <a:ext cx="1740478" cy="121227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a:t>70% se</a:t>
          </a:r>
        </a:p>
        <a:p>
          <a:pPr algn="l"/>
          <a:r>
            <a:rPr lang="es-PE" sz="1100"/>
            <a:t>reparte</a:t>
          </a:r>
        </a:p>
      </xdr:txBody>
    </xdr:sp>
    <xdr:clientData/>
  </xdr:twoCellAnchor>
  <xdr:twoCellAnchor>
    <xdr:from>
      <xdr:col>2</xdr:col>
      <xdr:colOff>515216</xdr:colOff>
      <xdr:row>65</xdr:row>
      <xdr:rowOff>25978</xdr:rowOff>
    </xdr:from>
    <xdr:to>
      <xdr:col>2</xdr:col>
      <xdr:colOff>528205</xdr:colOff>
      <xdr:row>68</xdr:row>
      <xdr:rowOff>43296</xdr:rowOff>
    </xdr:to>
    <xdr:cxnSp macro="">
      <xdr:nvCxnSpPr>
        <xdr:cNvPr id="3" name="Conector recto 2">
          <a:extLst>
            <a:ext uri="{FF2B5EF4-FFF2-40B4-BE49-F238E27FC236}">
              <a16:creationId xmlns:a16="http://schemas.microsoft.com/office/drawing/2014/main" id="{7B2F3A3A-7252-402D-AB95-4DF1CD7041E5}"/>
            </a:ext>
          </a:extLst>
        </xdr:cNvPr>
        <xdr:cNvCxnSpPr>
          <a:stCxn id="2" idx="0"/>
        </xdr:cNvCxnSpPr>
      </xdr:nvCxnSpPr>
      <xdr:spPr>
        <a:xfrm>
          <a:off x="2039216" y="13789603"/>
          <a:ext cx="12989" cy="588818"/>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545523</xdr:colOff>
      <xdr:row>68</xdr:row>
      <xdr:rowOff>34637</xdr:rowOff>
    </xdr:from>
    <xdr:to>
      <xdr:col>3</xdr:col>
      <xdr:colOff>623455</xdr:colOff>
      <xdr:row>68</xdr:row>
      <xdr:rowOff>60614</xdr:rowOff>
    </xdr:to>
    <xdr:cxnSp macro="">
      <xdr:nvCxnSpPr>
        <xdr:cNvPr id="4" name="Conector recto 3">
          <a:extLst>
            <a:ext uri="{FF2B5EF4-FFF2-40B4-BE49-F238E27FC236}">
              <a16:creationId xmlns:a16="http://schemas.microsoft.com/office/drawing/2014/main" id="{39FF93BB-9673-4941-88EF-A7675EAA749E}"/>
            </a:ext>
          </a:extLst>
        </xdr:cNvPr>
        <xdr:cNvCxnSpPr>
          <a:endCxn id="2" idx="6"/>
        </xdr:cNvCxnSpPr>
      </xdr:nvCxnSpPr>
      <xdr:spPr>
        <a:xfrm>
          <a:off x="2069523" y="14369762"/>
          <a:ext cx="839932" cy="2597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8659</xdr:colOff>
      <xdr:row>66</xdr:row>
      <xdr:rowOff>95250</xdr:rowOff>
    </xdr:from>
    <xdr:ext cx="1031180" cy="264560"/>
    <xdr:sp macro="" textlink="">
      <xdr:nvSpPr>
        <xdr:cNvPr id="5" name="CuadroTexto 4">
          <a:extLst>
            <a:ext uri="{FF2B5EF4-FFF2-40B4-BE49-F238E27FC236}">
              <a16:creationId xmlns:a16="http://schemas.microsoft.com/office/drawing/2014/main" id="{5BF59605-D95C-4A93-B83F-38474726E432}"/>
            </a:ext>
          </a:extLst>
        </xdr:cNvPr>
        <xdr:cNvSpPr txBox="1"/>
      </xdr:nvSpPr>
      <xdr:spPr>
        <a:xfrm>
          <a:off x="2294659" y="14049375"/>
          <a:ext cx="10311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PE" sz="1100"/>
            <a:t>30% se retiene</a:t>
          </a:r>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9E747-5F5D-48B3-8892-8D654416F537}">
  <sheetPr>
    <tabColor rgb="FFFFFF00"/>
  </sheetPr>
  <dimension ref="A2:K13"/>
  <sheetViews>
    <sheetView zoomScale="120" zoomScaleNormal="120" workbookViewId="0">
      <selection activeCell="B7" sqref="B7:D7"/>
    </sheetView>
  </sheetViews>
  <sheetFormatPr baseColWidth="10" defaultRowHeight="15"/>
  <cols>
    <col min="1" max="1" width="11.42578125" style="1"/>
  </cols>
  <sheetData>
    <row r="2" spans="1:11">
      <c r="B2" s="25" t="s">
        <v>124</v>
      </c>
    </row>
    <row r="4" spans="1:11">
      <c r="A4" s="1" t="s">
        <v>125</v>
      </c>
      <c r="B4" t="s">
        <v>123</v>
      </c>
      <c r="F4" t="s">
        <v>129</v>
      </c>
      <c r="H4" t="s">
        <v>130</v>
      </c>
    </row>
    <row r="5" spans="1:11">
      <c r="A5" s="1" t="s">
        <v>126</v>
      </c>
      <c r="B5" t="s">
        <v>127</v>
      </c>
    </row>
    <row r="6" spans="1:11">
      <c r="B6" s="95" t="s">
        <v>128</v>
      </c>
      <c r="C6" s="95"/>
      <c r="D6" s="95"/>
    </row>
    <row r="7" spans="1:11">
      <c r="A7" s="1" t="s">
        <v>131</v>
      </c>
      <c r="B7" s="95" t="s">
        <v>132</v>
      </c>
      <c r="C7" s="95" t="s">
        <v>0</v>
      </c>
      <c r="D7" s="95"/>
    </row>
    <row r="9" spans="1:11">
      <c r="B9" t="s">
        <v>133</v>
      </c>
      <c r="G9" s="96" t="s">
        <v>134</v>
      </c>
      <c r="H9" s="96"/>
      <c r="I9" s="96"/>
      <c r="J9" s="96"/>
      <c r="K9" s="96"/>
    </row>
    <row r="10" spans="1:11">
      <c r="B10" t="s">
        <v>136</v>
      </c>
      <c r="G10" s="96"/>
      <c r="H10" s="96"/>
      <c r="I10" s="96"/>
      <c r="J10" s="96"/>
      <c r="K10" s="96"/>
    </row>
    <row r="12" spans="1:11">
      <c r="B12" t="s">
        <v>135</v>
      </c>
      <c r="G12" t="s">
        <v>138</v>
      </c>
    </row>
    <row r="13" spans="1:11">
      <c r="B13" t="s">
        <v>137</v>
      </c>
      <c r="G13" t="s">
        <v>139</v>
      </c>
    </row>
  </sheetData>
  <mergeCells count="3">
    <mergeCell ref="B6:D6"/>
    <mergeCell ref="B7:D7"/>
    <mergeCell ref="G9:K10"/>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B347B-E025-491A-A8DF-421086EB918C}">
  <sheetPr>
    <tabColor rgb="FFFF0000"/>
  </sheetPr>
  <dimension ref="B2:J10"/>
  <sheetViews>
    <sheetView zoomScale="110" zoomScaleNormal="110" workbookViewId="0">
      <selection activeCell="C11" sqref="C11"/>
    </sheetView>
  </sheetViews>
  <sheetFormatPr baseColWidth="10" defaultRowHeight="15"/>
  <sheetData>
    <row r="2" spans="2:10">
      <c r="B2" t="s">
        <v>54</v>
      </c>
    </row>
    <row r="3" spans="2:10">
      <c r="C3" s="18"/>
    </row>
    <row r="4" spans="2:10">
      <c r="B4" t="s">
        <v>56</v>
      </c>
    </row>
    <row r="5" spans="2:10">
      <c r="B5" t="s">
        <v>57</v>
      </c>
    </row>
    <row r="6" spans="2:10">
      <c r="B6" t="s">
        <v>55</v>
      </c>
    </row>
    <row r="7" spans="2:10">
      <c r="B7" s="19" t="s">
        <v>58</v>
      </c>
    </row>
    <row r="10" spans="2:10">
      <c r="J10" t="s">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345B1-223C-4FC0-9000-C2BBC96E6016}">
  <sheetPr>
    <tabColor rgb="FFFFFF00"/>
  </sheetPr>
  <dimension ref="B1:O51"/>
  <sheetViews>
    <sheetView topLeftCell="B39" zoomScale="110" zoomScaleNormal="110" workbookViewId="0">
      <selection activeCell="E52" sqref="E52"/>
    </sheetView>
  </sheetViews>
  <sheetFormatPr baseColWidth="10" defaultRowHeight="15"/>
  <cols>
    <col min="3" max="3" width="17.5703125" customWidth="1"/>
    <col min="4" max="4" width="15.7109375" customWidth="1"/>
    <col min="5" max="5" width="18.5703125" customWidth="1"/>
    <col min="6" max="6" width="34.5703125" customWidth="1"/>
    <col min="7" max="7" width="17.5703125" customWidth="1"/>
    <col min="8" max="8" width="20.28515625" customWidth="1"/>
    <col min="9" max="9" width="10.85546875" customWidth="1"/>
    <col min="14" max="14" width="17.7109375" customWidth="1"/>
    <col min="15" max="15" width="22.85546875" customWidth="1"/>
  </cols>
  <sheetData>
    <row r="1" spans="2:15" ht="15.75" thickBot="1"/>
    <row r="2" spans="2:15">
      <c r="B2" s="97" t="s">
        <v>220</v>
      </c>
      <c r="C2" s="97"/>
      <c r="D2" s="97"/>
      <c r="E2" s="97"/>
      <c r="F2" s="97"/>
      <c r="G2" s="97"/>
      <c r="H2" s="97"/>
      <c r="I2" s="97"/>
      <c r="J2" s="97"/>
      <c r="K2" s="97"/>
      <c r="L2" s="97"/>
      <c r="N2" s="56"/>
      <c r="O2" s="59"/>
    </row>
    <row r="3" spans="2:15">
      <c r="B3" s="97"/>
      <c r="C3" s="97"/>
      <c r="D3" s="97"/>
      <c r="E3" s="97"/>
      <c r="F3" s="97"/>
      <c r="G3" s="97"/>
      <c r="H3" s="97"/>
      <c r="I3" s="97"/>
      <c r="J3" s="97"/>
      <c r="K3" s="97"/>
      <c r="L3" s="97"/>
      <c r="N3" s="57"/>
      <c r="O3" s="60" t="s">
        <v>6</v>
      </c>
    </row>
    <row r="4" spans="2:15">
      <c r="B4" s="97" t="s">
        <v>221</v>
      </c>
      <c r="C4" s="97"/>
      <c r="D4" s="97"/>
      <c r="E4" s="97"/>
      <c r="F4" s="97"/>
      <c r="G4" s="97"/>
      <c r="H4" s="97"/>
      <c r="I4" s="97"/>
      <c r="J4" s="97"/>
      <c r="K4" s="97"/>
      <c r="L4" s="97"/>
      <c r="N4" s="57" t="s">
        <v>201</v>
      </c>
      <c r="O4" s="60"/>
    </row>
    <row r="5" spans="2:15" ht="15.75" thickBot="1">
      <c r="B5" s="97"/>
      <c r="C5" s="97"/>
      <c r="D5" s="97"/>
      <c r="E5" s="97"/>
      <c r="F5" s="97"/>
      <c r="G5" s="97"/>
      <c r="H5" s="97"/>
      <c r="I5" s="97"/>
      <c r="J5" s="97"/>
      <c r="K5" s="97"/>
      <c r="L5" s="97"/>
      <c r="N5" s="57"/>
      <c r="O5" s="61"/>
    </row>
    <row r="6" spans="2:15">
      <c r="B6" t="s">
        <v>97</v>
      </c>
      <c r="N6" s="57"/>
      <c r="O6" s="62"/>
    </row>
    <row r="7" spans="2:15">
      <c r="N7" s="57"/>
      <c r="O7" s="62" t="s">
        <v>202</v>
      </c>
    </row>
    <row r="8" spans="2:15" ht="15.75" thickBot="1">
      <c r="B8" t="s">
        <v>98</v>
      </c>
      <c r="N8" s="58"/>
      <c r="O8" s="63"/>
    </row>
    <row r="9" spans="2:15">
      <c r="N9" s="64" t="s">
        <v>203</v>
      </c>
      <c r="O9" s="65" t="s">
        <v>206</v>
      </c>
    </row>
    <row r="10" spans="2:15" ht="34.5" customHeight="1">
      <c r="B10" t="s">
        <v>0</v>
      </c>
      <c r="J10" s="69" t="s">
        <v>210</v>
      </c>
      <c r="N10" s="64" t="s">
        <v>204</v>
      </c>
      <c r="O10" s="68" t="s">
        <v>209</v>
      </c>
    </row>
    <row r="11" spans="2:15" ht="21">
      <c r="B11" s="22"/>
      <c r="J11" s="69" t="s">
        <v>212</v>
      </c>
      <c r="N11" s="64" t="s">
        <v>205</v>
      </c>
      <c r="O11" s="66" t="s">
        <v>16</v>
      </c>
    </row>
    <row r="12" spans="2:15" ht="36">
      <c r="I12" s="70" t="s">
        <v>5</v>
      </c>
      <c r="J12" s="69" t="s">
        <v>211</v>
      </c>
    </row>
    <row r="13" spans="2:15">
      <c r="N13" s="67" t="s">
        <v>207</v>
      </c>
      <c r="O13" t="s">
        <v>208</v>
      </c>
    </row>
    <row r="15" spans="2:15" ht="15.75" thickBot="1"/>
    <row r="16" spans="2:15">
      <c r="B16" s="50" t="s">
        <v>4</v>
      </c>
      <c r="C16" s="100" t="s">
        <v>213</v>
      </c>
      <c r="D16" s="100"/>
      <c r="E16" s="71" t="s">
        <v>5</v>
      </c>
      <c r="F16" s="71" t="s">
        <v>274</v>
      </c>
      <c r="G16" s="71" t="s">
        <v>5</v>
      </c>
      <c r="H16" s="71" t="s">
        <v>217</v>
      </c>
      <c r="I16" s="71" t="s">
        <v>5</v>
      </c>
      <c r="J16" s="71" t="s">
        <v>219</v>
      </c>
      <c r="K16" s="51"/>
    </row>
    <row r="17" spans="2:11">
      <c r="B17" s="52"/>
      <c r="C17" s="22" t="s">
        <v>214</v>
      </c>
      <c r="D17" s="22"/>
      <c r="E17" s="22"/>
      <c r="F17" s="101" t="s">
        <v>275</v>
      </c>
      <c r="G17" s="22"/>
      <c r="H17" s="22" t="s">
        <v>218</v>
      </c>
      <c r="I17" s="22" t="s">
        <v>0</v>
      </c>
      <c r="J17" s="22"/>
      <c r="K17" s="53"/>
    </row>
    <row r="18" spans="2:11">
      <c r="B18" s="52"/>
      <c r="C18" s="22"/>
      <c r="D18" s="22"/>
      <c r="E18" s="22"/>
      <c r="F18" s="22"/>
      <c r="G18" s="22" t="s">
        <v>200</v>
      </c>
      <c r="H18" s="22" t="s">
        <v>7</v>
      </c>
      <c r="I18" s="22"/>
      <c r="J18" s="22"/>
      <c r="K18" s="53"/>
    </row>
    <row r="19" spans="2:11" ht="15.75" thickBot="1">
      <c r="B19" s="54"/>
      <c r="C19" s="72"/>
      <c r="D19" s="72"/>
      <c r="E19" s="72"/>
      <c r="F19" s="72"/>
      <c r="G19" s="72"/>
      <c r="H19" s="72"/>
      <c r="I19" s="72"/>
      <c r="J19" s="72"/>
      <c r="K19" s="55"/>
    </row>
    <row r="21" spans="2:11">
      <c r="B21" t="s">
        <v>4</v>
      </c>
      <c r="C21" s="24">
        <f>+E32</f>
        <v>147600</v>
      </c>
      <c r="E21" t="s">
        <v>5</v>
      </c>
      <c r="F21" s="24">
        <f>+E36</f>
        <v>79200</v>
      </c>
      <c r="G21" t="s">
        <v>5</v>
      </c>
      <c r="H21" s="24">
        <f>+E51</f>
        <v>29760</v>
      </c>
      <c r="I21" t="s">
        <v>5</v>
      </c>
      <c r="J21" s="43">
        <v>20000</v>
      </c>
    </row>
    <row r="22" spans="2:11">
      <c r="J22" t="s">
        <v>228</v>
      </c>
    </row>
    <row r="23" spans="2:11">
      <c r="B23" s="66" t="s">
        <v>4</v>
      </c>
      <c r="C23" s="73">
        <f>+C21-F21-H21-J21</f>
        <v>18640</v>
      </c>
      <c r="D23" t="s">
        <v>235</v>
      </c>
    </row>
    <row r="25" spans="2:11">
      <c r="C25" t="s">
        <v>100</v>
      </c>
      <c r="D25" s="2">
        <v>1500000</v>
      </c>
    </row>
    <row r="26" spans="2:11">
      <c r="B26" s="98" t="s">
        <v>224</v>
      </c>
      <c r="C26" s="98"/>
      <c r="D26" s="27">
        <f>+D27-D25</f>
        <v>360000</v>
      </c>
    </row>
    <row r="27" spans="2:11">
      <c r="C27" t="s">
        <v>222</v>
      </c>
      <c r="D27" s="43">
        <f>+D25*(1+F27)</f>
        <v>1860000</v>
      </c>
      <c r="E27" t="s">
        <v>223</v>
      </c>
      <c r="F27" s="5">
        <v>0.24</v>
      </c>
    </row>
    <row r="30" spans="2:11">
      <c r="C30" t="s">
        <v>225</v>
      </c>
      <c r="E30" s="5">
        <v>0.41</v>
      </c>
      <c r="F30" t="s">
        <v>226</v>
      </c>
    </row>
    <row r="31" spans="2:11">
      <c r="C31" t="s">
        <v>225</v>
      </c>
      <c r="E31" s="5">
        <f>+E30</f>
        <v>0.41</v>
      </c>
      <c r="F31" s="27">
        <f>+D26</f>
        <v>360000</v>
      </c>
    </row>
    <row r="32" spans="2:11">
      <c r="C32" s="12" t="s">
        <v>225</v>
      </c>
      <c r="D32" s="12"/>
      <c r="E32" s="24">
        <f>+E31*F31</f>
        <v>147600</v>
      </c>
    </row>
    <row r="34" spans="3:6">
      <c r="C34" t="s">
        <v>227</v>
      </c>
      <c r="E34" s="5">
        <v>0.22</v>
      </c>
      <c r="F34" t="s">
        <v>226</v>
      </c>
    </row>
    <row r="35" spans="3:6">
      <c r="C35" t="s">
        <v>227</v>
      </c>
      <c r="E35" s="5">
        <f>+E34</f>
        <v>0.22</v>
      </c>
      <c r="F35" s="27">
        <f>+D26</f>
        <v>360000</v>
      </c>
    </row>
    <row r="36" spans="3:6">
      <c r="C36" t="s">
        <v>227</v>
      </c>
      <c r="E36" s="24">
        <f>+E35*F35</f>
        <v>79200</v>
      </c>
    </row>
    <row r="38" spans="3:6">
      <c r="C38" t="s">
        <v>229</v>
      </c>
      <c r="E38" s="5">
        <v>0.1</v>
      </c>
    </row>
    <row r="40" spans="3:6">
      <c r="C40" t="s">
        <v>229</v>
      </c>
      <c r="E40" s="7" t="s">
        <v>231</v>
      </c>
    </row>
    <row r="41" spans="3:6">
      <c r="C41">
        <v>2021</v>
      </c>
      <c r="E41" t="s">
        <v>232</v>
      </c>
    </row>
    <row r="43" spans="3:6">
      <c r="C43" s="5">
        <v>0.1</v>
      </c>
      <c r="D43" t="s">
        <v>10</v>
      </c>
      <c r="E43" s="7" t="s">
        <v>230</v>
      </c>
    </row>
    <row r="44" spans="3:6">
      <c r="E44" s="6">
        <f>+D27</f>
        <v>1860000</v>
      </c>
    </row>
    <row r="46" spans="3:6">
      <c r="C46" s="24">
        <f>+C43*E44</f>
        <v>186000</v>
      </c>
      <c r="D46" s="12" t="s">
        <v>10</v>
      </c>
      <c r="E46" s="12" t="s">
        <v>231</v>
      </c>
    </row>
    <row r="48" spans="3:6">
      <c r="C48" t="s">
        <v>233</v>
      </c>
      <c r="E48" s="5">
        <v>0.16</v>
      </c>
      <c r="F48" t="s">
        <v>234</v>
      </c>
    </row>
    <row r="49" spans="3:6">
      <c r="C49" t="s">
        <v>233</v>
      </c>
      <c r="E49" s="5">
        <v>0.16</v>
      </c>
      <c r="F49" s="6">
        <f>+C46</f>
        <v>186000</v>
      </c>
    </row>
    <row r="51" spans="3:6">
      <c r="C51" s="12" t="s">
        <v>233</v>
      </c>
      <c r="D51" s="12"/>
      <c r="E51" s="24">
        <f>+E49*F49</f>
        <v>29760</v>
      </c>
    </row>
  </sheetData>
  <mergeCells count="3">
    <mergeCell ref="B2:L3"/>
    <mergeCell ref="B4:L5"/>
    <mergeCell ref="B26:C26"/>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C1B8C-AF44-43D2-B536-B6B3118795DD}">
  <sheetPr>
    <tabColor rgb="FFFFFF00"/>
  </sheetPr>
  <dimension ref="B2:L138"/>
  <sheetViews>
    <sheetView topLeftCell="A27" zoomScale="110" zoomScaleNormal="110" workbookViewId="0">
      <selection activeCell="H47" sqref="H47"/>
    </sheetView>
  </sheetViews>
  <sheetFormatPr baseColWidth="10" defaultRowHeight="15"/>
  <cols>
    <col min="4" max="4" width="13.85546875" customWidth="1"/>
    <col min="5" max="6" width="13.140625" bestFit="1" customWidth="1"/>
    <col min="8" max="8" width="13.140625" bestFit="1" customWidth="1"/>
  </cols>
  <sheetData>
    <row r="2" spans="2:11">
      <c r="B2" s="97" t="s">
        <v>19</v>
      </c>
      <c r="C2" s="97"/>
      <c r="D2" s="97"/>
      <c r="E2" s="97"/>
      <c r="F2" s="97"/>
      <c r="G2" s="97"/>
      <c r="H2" s="97"/>
      <c r="I2" s="97"/>
      <c r="J2" s="97"/>
      <c r="K2" s="97"/>
    </row>
    <row r="3" spans="2:11">
      <c r="B3" s="97"/>
      <c r="C3" s="97"/>
      <c r="D3" s="97"/>
      <c r="E3" s="97"/>
      <c r="F3" s="97"/>
      <c r="G3" s="97"/>
      <c r="H3" s="97"/>
      <c r="I3" s="97"/>
      <c r="J3" s="97"/>
      <c r="K3" s="97"/>
    </row>
    <row r="4" spans="2:11">
      <c r="B4" s="97"/>
      <c r="C4" s="97"/>
      <c r="D4" s="97"/>
      <c r="E4" s="97"/>
      <c r="F4" s="97"/>
      <c r="G4" s="97"/>
      <c r="H4" s="97"/>
      <c r="I4" s="97"/>
      <c r="J4" s="97"/>
      <c r="K4" s="97"/>
    </row>
    <row r="5" spans="2:11">
      <c r="B5" s="97"/>
      <c r="C5" s="97"/>
      <c r="D5" s="97"/>
      <c r="E5" s="97"/>
      <c r="F5" s="97"/>
      <c r="G5" s="97"/>
      <c r="H5" s="97"/>
      <c r="I5" s="97"/>
      <c r="J5" s="97"/>
      <c r="K5" s="97"/>
    </row>
    <row r="6" spans="2:11">
      <c r="B6" s="97"/>
      <c r="C6" s="97"/>
      <c r="D6" s="97"/>
      <c r="E6" s="97"/>
      <c r="F6" s="97"/>
      <c r="G6" s="97"/>
      <c r="H6" s="97"/>
      <c r="I6" s="97"/>
      <c r="J6" s="97"/>
      <c r="K6" s="97"/>
    </row>
    <row r="7" spans="2:11">
      <c r="B7" s="97" t="s">
        <v>18</v>
      </c>
      <c r="C7" s="97"/>
      <c r="D7" s="97"/>
      <c r="E7" s="97"/>
      <c r="F7" s="97"/>
      <c r="G7" s="97"/>
      <c r="H7" s="97"/>
      <c r="I7" s="97"/>
      <c r="J7" s="97"/>
      <c r="K7" s="97"/>
    </row>
    <row r="8" spans="2:11">
      <c r="B8" s="97"/>
      <c r="C8" s="97"/>
      <c r="D8" s="97"/>
      <c r="E8" s="97"/>
      <c r="F8" s="97"/>
      <c r="G8" s="97"/>
      <c r="H8" s="97"/>
      <c r="I8" s="97"/>
      <c r="J8" s="97"/>
      <c r="K8" s="97"/>
    </row>
    <row r="9" spans="2:11">
      <c r="B9" s="97"/>
      <c r="C9" s="97"/>
      <c r="D9" s="97"/>
      <c r="E9" s="97"/>
      <c r="F9" s="97"/>
      <c r="G9" s="97"/>
      <c r="H9" s="97"/>
      <c r="I9" s="97"/>
      <c r="J9" s="97"/>
      <c r="K9" s="97"/>
    </row>
    <row r="10" spans="2:11">
      <c r="B10" s="97"/>
      <c r="C10" s="97"/>
      <c r="D10" s="97"/>
      <c r="E10" s="97"/>
      <c r="F10" s="97"/>
      <c r="G10" s="97"/>
      <c r="H10" s="97"/>
      <c r="I10" s="97"/>
      <c r="J10" s="97"/>
      <c r="K10" s="97"/>
    </row>
    <row r="11" spans="2:11">
      <c r="B11" s="97"/>
      <c r="C11" s="97"/>
      <c r="D11" s="97"/>
      <c r="E11" s="97"/>
      <c r="F11" s="97"/>
      <c r="G11" s="97"/>
      <c r="H11" s="97"/>
      <c r="I11" s="97"/>
      <c r="J11" s="97"/>
      <c r="K11" s="97"/>
    </row>
    <row r="13" spans="2:11">
      <c r="B13" s="1" t="s">
        <v>1</v>
      </c>
      <c r="C13" s="97" t="s">
        <v>2</v>
      </c>
      <c r="D13" s="97"/>
      <c r="E13" s="97"/>
      <c r="F13" s="97"/>
      <c r="G13" s="97"/>
      <c r="H13" s="97"/>
      <c r="I13" s="97"/>
      <c r="J13" s="97"/>
    </row>
    <row r="14" spans="2:11">
      <c r="B14" s="1" t="s">
        <v>3</v>
      </c>
      <c r="C14" s="96" t="s">
        <v>17</v>
      </c>
      <c r="D14" s="96"/>
      <c r="E14" s="96"/>
      <c r="F14" s="96"/>
      <c r="G14" s="96"/>
      <c r="H14" s="96"/>
      <c r="I14" s="96"/>
      <c r="J14" s="96"/>
      <c r="K14" s="96"/>
    </row>
    <row r="15" spans="2:11">
      <c r="C15" s="96"/>
      <c r="D15" s="96"/>
      <c r="E15" s="96"/>
      <c r="F15" s="96"/>
      <c r="G15" s="96"/>
      <c r="H15" s="96"/>
      <c r="I15" s="96"/>
      <c r="J15" s="96"/>
      <c r="K15" s="96"/>
    </row>
    <row r="16" spans="2:11" ht="15.75" thickBot="1"/>
    <row r="17" spans="2:11">
      <c r="B17" s="50" t="s">
        <v>4</v>
      </c>
      <c r="C17" s="71" t="s">
        <v>213</v>
      </c>
      <c r="D17" s="71"/>
      <c r="E17" s="71" t="s">
        <v>5</v>
      </c>
      <c r="F17" s="71" t="s">
        <v>213</v>
      </c>
      <c r="G17" s="71" t="s">
        <v>5</v>
      </c>
      <c r="H17" s="71" t="s">
        <v>217</v>
      </c>
      <c r="I17" s="71" t="s">
        <v>5</v>
      </c>
      <c r="J17" s="71" t="s">
        <v>219</v>
      </c>
      <c r="K17" s="51"/>
    </row>
    <row r="18" spans="2:11">
      <c r="B18" s="52"/>
      <c r="C18" s="22" t="s">
        <v>214</v>
      </c>
      <c r="D18" s="22"/>
      <c r="E18" s="22"/>
      <c r="F18" s="22" t="s">
        <v>99</v>
      </c>
      <c r="G18" s="22"/>
      <c r="H18" s="22" t="s">
        <v>218</v>
      </c>
      <c r="I18" s="22" t="s">
        <v>0</v>
      </c>
      <c r="J18" s="22"/>
      <c r="K18" s="53"/>
    </row>
    <row r="19" spans="2:11">
      <c r="B19" s="52"/>
      <c r="C19" s="22"/>
      <c r="D19" s="22"/>
      <c r="E19" s="22"/>
      <c r="F19" s="22" t="s">
        <v>215</v>
      </c>
      <c r="G19" s="22" t="s">
        <v>200</v>
      </c>
      <c r="H19" s="22" t="s">
        <v>7</v>
      </c>
      <c r="I19" s="22"/>
      <c r="J19" s="22"/>
      <c r="K19" s="53"/>
    </row>
    <row r="20" spans="2:11" ht="15.75" thickBot="1">
      <c r="B20" s="54"/>
      <c r="C20" s="72"/>
      <c r="D20" s="72"/>
      <c r="E20" s="72"/>
      <c r="F20" s="72" t="s">
        <v>216</v>
      </c>
      <c r="G20" s="72"/>
      <c r="H20" s="72"/>
      <c r="I20" s="72"/>
      <c r="J20" s="72"/>
      <c r="K20" s="55"/>
    </row>
    <row r="22" spans="2:11">
      <c r="B22" t="s">
        <v>4</v>
      </c>
      <c r="C22" s="24">
        <f>+G40</f>
        <v>500000</v>
      </c>
      <c r="E22" t="s">
        <v>5</v>
      </c>
      <c r="F22" s="24">
        <f>+F44</f>
        <v>125000</v>
      </c>
      <c r="G22" t="s">
        <v>5</v>
      </c>
      <c r="H22" s="24">
        <f>+H78</f>
        <v>191100</v>
      </c>
      <c r="I22" t="s">
        <v>5</v>
      </c>
      <c r="J22" s="43">
        <v>150000</v>
      </c>
    </row>
    <row r="24" spans="2:11">
      <c r="B24" s="66" t="s">
        <v>4</v>
      </c>
      <c r="C24" s="73">
        <f>+C22-F22-H22-J22</f>
        <v>33900</v>
      </c>
      <c r="D24" t="s">
        <v>248</v>
      </c>
    </row>
    <row r="26" spans="2:11">
      <c r="B26" s="7" t="s">
        <v>140</v>
      </c>
    </row>
    <row r="27" spans="2:11">
      <c r="D27" t="s">
        <v>8</v>
      </c>
      <c r="E27" s="2">
        <v>3000000</v>
      </c>
    </row>
    <row r="28" spans="2:11">
      <c r="D28" s="25" t="s">
        <v>236</v>
      </c>
      <c r="E28" s="74">
        <v>500000</v>
      </c>
    </row>
    <row r="29" spans="2:11">
      <c r="D29" s="12" t="s">
        <v>9</v>
      </c>
      <c r="E29" s="24">
        <f>+E27+E28</f>
        <v>3500000</v>
      </c>
    </row>
    <row r="31" spans="2:11">
      <c r="D31" t="s">
        <v>237</v>
      </c>
      <c r="E31" s="2">
        <v>2600000</v>
      </c>
    </row>
    <row r="32" spans="2:11">
      <c r="D32" t="s">
        <v>11</v>
      </c>
      <c r="E32" s="5">
        <v>0.21</v>
      </c>
    </row>
    <row r="34" spans="2:10">
      <c r="D34" s="22" t="s">
        <v>213</v>
      </c>
      <c r="F34" t="s">
        <v>10</v>
      </c>
      <c r="G34" s="5">
        <v>1</v>
      </c>
    </row>
    <row r="35" spans="2:10">
      <c r="D35" s="22" t="s">
        <v>214</v>
      </c>
    </row>
    <row r="37" spans="2:10">
      <c r="D37" s="22" t="s">
        <v>213</v>
      </c>
      <c r="F37" t="s">
        <v>10</v>
      </c>
      <c r="G37" s="5">
        <v>1</v>
      </c>
      <c r="H37" s="25" t="str">
        <f>+D28</f>
        <v>Delta de ventas</v>
      </c>
    </row>
    <row r="38" spans="2:10">
      <c r="D38" s="22" t="s">
        <v>214</v>
      </c>
    </row>
    <row r="40" spans="2:10">
      <c r="D40" s="75" t="s">
        <v>213</v>
      </c>
      <c r="E40" s="12"/>
      <c r="F40" s="12" t="s">
        <v>10</v>
      </c>
      <c r="G40" s="24">
        <f>+G37*E28</f>
        <v>500000</v>
      </c>
    </row>
    <row r="41" spans="2:10">
      <c r="D41" s="75" t="s">
        <v>214</v>
      </c>
      <c r="E41" s="12"/>
      <c r="F41" s="12"/>
      <c r="G41" s="12"/>
    </row>
    <row r="43" spans="2:10">
      <c r="D43" t="s">
        <v>227</v>
      </c>
      <c r="F43" s="5">
        <v>0.25</v>
      </c>
      <c r="G43" s="25" t="str">
        <f>+D28</f>
        <v>Delta de ventas</v>
      </c>
    </row>
    <row r="44" spans="2:10">
      <c r="D44" s="12" t="s">
        <v>227</v>
      </c>
      <c r="E44" s="12"/>
      <c r="F44" s="24">
        <f>+F43*E28</f>
        <v>125000</v>
      </c>
    </row>
    <row r="46" spans="2:10">
      <c r="B46" s="33" t="s">
        <v>238</v>
      </c>
      <c r="C46" s="33"/>
      <c r="D46" s="33"/>
      <c r="E46" s="33"/>
      <c r="F46" s="33"/>
      <c r="G46" s="78" t="s">
        <v>239</v>
      </c>
      <c r="H46" s="33" t="s">
        <v>240</v>
      </c>
      <c r="I46" s="33"/>
      <c r="J46" s="33"/>
    </row>
    <row r="48" spans="2:10">
      <c r="D48" t="s">
        <v>237</v>
      </c>
      <c r="E48" s="2">
        <v>2600000</v>
      </c>
    </row>
    <row r="49" spans="4:9">
      <c r="D49" t="s">
        <v>11</v>
      </c>
      <c r="E49" s="5">
        <v>0.21</v>
      </c>
    </row>
    <row r="51" spans="4:9">
      <c r="D51" t="s">
        <v>11</v>
      </c>
      <c r="E51" s="7" t="s">
        <v>12</v>
      </c>
    </row>
    <row r="52" spans="4:9">
      <c r="E52" t="s">
        <v>241</v>
      </c>
    </row>
    <row r="54" spans="4:9">
      <c r="D54" s="5">
        <v>0.21</v>
      </c>
      <c r="E54" t="s">
        <v>10</v>
      </c>
      <c r="F54" s="7" t="s">
        <v>231</v>
      </c>
    </row>
    <row r="55" spans="4:9">
      <c r="F55" s="6">
        <f>+E48</f>
        <v>2600000</v>
      </c>
    </row>
    <row r="57" spans="4:9">
      <c r="D57" s="6">
        <f>+D54*F55</f>
        <v>546000</v>
      </c>
      <c r="E57" t="s">
        <v>10</v>
      </c>
      <c r="F57" t="s">
        <v>231</v>
      </c>
    </row>
    <row r="59" spans="4:9">
      <c r="D59" t="s">
        <v>13</v>
      </c>
      <c r="F59" s="7" t="str">
        <f>+F57</f>
        <v>Utilidad neta 2021</v>
      </c>
    </row>
    <row r="60" spans="4:9">
      <c r="F60" t="s">
        <v>232</v>
      </c>
    </row>
    <row r="62" spans="4:9" ht="17.25">
      <c r="D62" t="s">
        <v>13</v>
      </c>
      <c r="F62" s="23">
        <f>+D57</f>
        <v>546000</v>
      </c>
      <c r="G62" t="s">
        <v>10</v>
      </c>
      <c r="H62" s="77">
        <f>+F62/F63</f>
        <v>0.182</v>
      </c>
      <c r="I62" t="s">
        <v>276</v>
      </c>
    </row>
    <row r="63" spans="4:9">
      <c r="F63" s="6">
        <f>+E27</f>
        <v>3000000</v>
      </c>
    </row>
    <row r="65" spans="4:11">
      <c r="D65" t="s">
        <v>242</v>
      </c>
      <c r="F65" s="10">
        <f>+H62</f>
        <v>0.182</v>
      </c>
      <c r="G65" t="s">
        <v>10</v>
      </c>
      <c r="H65" s="7" t="s">
        <v>14</v>
      </c>
      <c r="K65" t="s">
        <v>277</v>
      </c>
    </row>
    <row r="66" spans="4:11">
      <c r="H66" t="s">
        <v>243</v>
      </c>
    </row>
    <row r="68" spans="4:11">
      <c r="F68" s="10">
        <f>+F65</f>
        <v>0.182</v>
      </c>
      <c r="G68" t="s">
        <v>10</v>
      </c>
      <c r="H68" s="7" t="s">
        <v>14</v>
      </c>
    </row>
    <row r="69" spans="4:11">
      <c r="H69" s="6">
        <f>+E29</f>
        <v>3500000</v>
      </c>
    </row>
    <row r="71" spans="4:11">
      <c r="F71" s="24">
        <f>+F68*H69</f>
        <v>637000</v>
      </c>
      <c r="G71" s="12" t="s">
        <v>10</v>
      </c>
      <c r="H71" s="12" t="s">
        <v>14</v>
      </c>
      <c r="I71" s="12"/>
    </row>
    <row r="73" spans="4:11">
      <c r="F73" t="s">
        <v>244</v>
      </c>
    </row>
    <row r="74" spans="4:11">
      <c r="F74" t="s">
        <v>245</v>
      </c>
    </row>
    <row r="76" spans="4:11">
      <c r="F76" t="s">
        <v>15</v>
      </c>
      <c r="H76" t="s">
        <v>246</v>
      </c>
    </row>
    <row r="77" spans="4:11">
      <c r="F77" t="s">
        <v>15</v>
      </c>
      <c r="H77" s="5">
        <v>0.3</v>
      </c>
      <c r="I77" s="6">
        <f>+F71</f>
        <v>637000</v>
      </c>
    </row>
    <row r="78" spans="4:11">
      <c r="F78" s="12" t="s">
        <v>15</v>
      </c>
      <c r="G78" s="12"/>
      <c r="H78" s="24">
        <f>+H77*I77</f>
        <v>191100</v>
      </c>
    </row>
    <row r="80" spans="4:11">
      <c r="F80" t="s">
        <v>247</v>
      </c>
      <c r="H80" s="6">
        <f>+F71-H78</f>
        <v>445900</v>
      </c>
    </row>
    <row r="82" spans="2:12">
      <c r="B82" s="1" t="s">
        <v>3</v>
      </c>
      <c r="C82" s="96" t="s">
        <v>17</v>
      </c>
      <c r="D82" s="96"/>
      <c r="E82" s="96"/>
      <c r="F82" s="96"/>
      <c r="G82" s="96"/>
      <c r="H82" s="96"/>
      <c r="I82" s="96"/>
      <c r="J82" s="96"/>
      <c r="K82" s="96"/>
    </row>
    <row r="83" spans="2:12">
      <c r="C83" s="96"/>
      <c r="D83" s="96"/>
      <c r="E83" s="96"/>
      <c r="F83" s="96"/>
      <c r="G83" s="96"/>
      <c r="H83" s="96"/>
      <c r="I83" s="96"/>
      <c r="J83" s="96"/>
      <c r="K83" s="96"/>
    </row>
    <row r="85" spans="2:12">
      <c r="C85" t="s">
        <v>249</v>
      </c>
      <c r="F85" s="8" t="s">
        <v>250</v>
      </c>
      <c r="G85" s="8"/>
    </row>
    <row r="86" spans="2:12">
      <c r="F86" t="s">
        <v>251</v>
      </c>
    </row>
    <row r="88" spans="2:12">
      <c r="C88" t="s">
        <v>249</v>
      </c>
      <c r="F88" s="11">
        <f>+H80</f>
        <v>445900</v>
      </c>
      <c r="G88" s="8" t="s">
        <v>5</v>
      </c>
      <c r="H88" s="11">
        <f>+C24</f>
        <v>33900</v>
      </c>
      <c r="I88" t="s">
        <v>10</v>
      </c>
      <c r="J88" s="79">
        <f>+(F88-H88)/G89</f>
        <v>0.64678178963893251</v>
      </c>
      <c r="K88" t="s">
        <v>252</v>
      </c>
      <c r="L88" s="80">
        <f>+J88</f>
        <v>0.64678178963893251</v>
      </c>
    </row>
    <row r="89" spans="2:12">
      <c r="G89" s="6">
        <f>+F71</f>
        <v>637000</v>
      </c>
      <c r="L89" t="s">
        <v>253</v>
      </c>
    </row>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sheetData>
  <mergeCells count="5">
    <mergeCell ref="B2:K6"/>
    <mergeCell ref="B7:K11"/>
    <mergeCell ref="C13:J13"/>
    <mergeCell ref="C14:K15"/>
    <mergeCell ref="C82:K83"/>
  </mergeCells>
  <pageMargins left="0.7" right="0.7" top="0.75" bottom="0.75" header="0.3" footer="0.3"/>
  <pageSetup paperSize="9" orientation="portrait" vertic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13C82-C287-4F26-AF47-CA21118C620A}">
  <sheetPr>
    <tabColor rgb="FFFFFF00"/>
  </sheetPr>
  <dimension ref="B2:M44"/>
  <sheetViews>
    <sheetView tabSelected="1" topLeftCell="A23" zoomScale="110" zoomScaleNormal="110" workbookViewId="0">
      <selection activeCell="D23" sqref="D23"/>
    </sheetView>
  </sheetViews>
  <sheetFormatPr baseColWidth="10" defaultRowHeight="15"/>
  <cols>
    <col min="4" max="4" width="13.42578125" customWidth="1"/>
    <col min="5" max="5" width="14.7109375" customWidth="1"/>
    <col min="9" max="9" width="17.5703125" customWidth="1"/>
    <col min="10" max="10" width="14.28515625" customWidth="1"/>
  </cols>
  <sheetData>
    <row r="2" spans="2:11">
      <c r="B2" s="97" t="s">
        <v>101</v>
      </c>
      <c r="C2" s="97"/>
      <c r="D2" s="97"/>
      <c r="E2" s="97"/>
      <c r="F2" s="97"/>
      <c r="G2" s="97"/>
      <c r="H2" s="97"/>
      <c r="I2" s="97"/>
      <c r="J2" s="97"/>
      <c r="K2" s="97"/>
    </row>
    <row r="3" spans="2:11">
      <c r="B3" s="97"/>
      <c r="C3" s="97"/>
      <c r="D3" s="97"/>
      <c r="E3" s="97"/>
      <c r="F3" s="97"/>
      <c r="G3" s="97"/>
      <c r="H3" s="97"/>
      <c r="I3" s="97"/>
      <c r="J3" s="97"/>
      <c r="K3" s="97"/>
    </row>
    <row r="4" spans="2:11">
      <c r="B4" s="97"/>
      <c r="C4" s="97"/>
      <c r="D4" s="97"/>
      <c r="E4" s="97"/>
      <c r="F4" s="97"/>
      <c r="G4" s="97"/>
      <c r="H4" s="97"/>
      <c r="I4" s="97"/>
      <c r="J4" s="97"/>
      <c r="K4" s="97"/>
    </row>
    <row r="6" spans="2:11">
      <c r="C6" s="13" t="s">
        <v>102</v>
      </c>
    </row>
    <row r="7" spans="2:11">
      <c r="J7" t="s">
        <v>0</v>
      </c>
    </row>
    <row r="8" spans="2:11">
      <c r="B8" t="s">
        <v>25</v>
      </c>
      <c r="D8" s="2">
        <v>43600</v>
      </c>
      <c r="E8" s="43">
        <f>+D8+4000</f>
        <v>47600</v>
      </c>
      <c r="G8" t="s">
        <v>29</v>
      </c>
      <c r="I8" s="28">
        <v>65500</v>
      </c>
      <c r="J8" s="82">
        <f>+I8*(1-3%)</f>
        <v>63535</v>
      </c>
    </row>
    <row r="9" spans="2:11">
      <c r="B9" t="s">
        <v>26</v>
      </c>
      <c r="D9" s="2">
        <v>79500</v>
      </c>
      <c r="E9" s="43">
        <f>+D9+11400</f>
        <v>90900</v>
      </c>
      <c r="G9" s="8" t="s">
        <v>30</v>
      </c>
      <c r="H9" s="8"/>
      <c r="I9" s="29">
        <v>32000</v>
      </c>
      <c r="J9" s="83">
        <f>+I9*(1+3%)</f>
        <v>32960</v>
      </c>
    </row>
    <row r="10" spans="2:11">
      <c r="B10" s="8" t="s">
        <v>27</v>
      </c>
      <c r="C10" s="8"/>
      <c r="D10" s="30">
        <v>66000</v>
      </c>
      <c r="E10" s="81">
        <f>+D10-2600</f>
        <v>63400</v>
      </c>
      <c r="G10" t="s">
        <v>103</v>
      </c>
      <c r="I10" s="28">
        <f>SUM(I8:I9)</f>
        <v>97500</v>
      </c>
      <c r="J10" s="82">
        <f>+J8+J9</f>
        <v>96495</v>
      </c>
    </row>
    <row r="11" spans="2:11">
      <c r="B11" t="s">
        <v>104</v>
      </c>
      <c r="D11" s="2">
        <f>SUM(D8:D10)</f>
        <v>189100</v>
      </c>
      <c r="E11" s="43">
        <f>SUM(E8:E10)</f>
        <v>201900</v>
      </c>
      <c r="I11" s="28"/>
      <c r="J11" s="82"/>
    </row>
    <row r="12" spans="2:11">
      <c r="E12" s="12"/>
      <c r="G12" t="s">
        <v>0</v>
      </c>
      <c r="I12" s="28" t="s">
        <v>0</v>
      </c>
      <c r="J12" s="82"/>
    </row>
    <row r="13" spans="2:11">
      <c r="B13" s="84" t="s">
        <v>105</v>
      </c>
      <c r="D13" s="2">
        <v>189400</v>
      </c>
      <c r="E13" s="86">
        <f>+J25</f>
        <v>203250</v>
      </c>
      <c r="G13" t="s">
        <v>106</v>
      </c>
      <c r="I13" s="28">
        <v>95000</v>
      </c>
      <c r="J13" s="82">
        <f>+I13-14600</f>
        <v>80400</v>
      </c>
    </row>
    <row r="14" spans="2:11">
      <c r="B14" s="8"/>
      <c r="C14" s="8"/>
      <c r="D14" s="8"/>
      <c r="E14" s="31"/>
      <c r="G14" s="87" t="s">
        <v>107</v>
      </c>
      <c r="H14" s="8"/>
      <c r="I14" s="29">
        <v>186000</v>
      </c>
      <c r="J14" s="88">
        <f>+D40</f>
        <v>207798</v>
      </c>
    </row>
    <row r="15" spans="2:11">
      <c r="B15" t="s">
        <v>108</v>
      </c>
      <c r="D15" s="6">
        <f>+D11+D13</f>
        <v>378500</v>
      </c>
      <c r="E15" s="24">
        <f>+E11+E13</f>
        <v>405150</v>
      </c>
      <c r="G15" t="s">
        <v>109</v>
      </c>
      <c r="I15" s="28">
        <f>+I13+I10+I14</f>
        <v>378500</v>
      </c>
      <c r="J15" s="82">
        <f>+J10+J13+J14</f>
        <v>384693</v>
      </c>
    </row>
    <row r="17" spans="2:13">
      <c r="H17" t="s">
        <v>4</v>
      </c>
      <c r="I17" s="6" t="s">
        <v>265</v>
      </c>
    </row>
    <row r="18" spans="2:13">
      <c r="B18" s="32" t="s">
        <v>110</v>
      </c>
      <c r="H18" t="s">
        <v>4</v>
      </c>
      <c r="I18" s="6">
        <f>+E15</f>
        <v>405150</v>
      </c>
      <c r="J18" t="s">
        <v>5</v>
      </c>
      <c r="K18" s="6">
        <f>+J15</f>
        <v>384693</v>
      </c>
    </row>
    <row r="19" spans="2:13">
      <c r="H19" s="66" t="s">
        <v>4</v>
      </c>
      <c r="I19" s="73">
        <f>+I18-K18</f>
        <v>20457</v>
      </c>
    </row>
    <row r="20" spans="2:13">
      <c r="B20" t="s">
        <v>111</v>
      </c>
    </row>
    <row r="21" spans="2:13">
      <c r="B21" t="s">
        <v>112</v>
      </c>
    </row>
    <row r="22" spans="2:13">
      <c r="B22" t="s">
        <v>113</v>
      </c>
    </row>
    <row r="23" spans="2:13">
      <c r="B23" s="84" t="s">
        <v>114</v>
      </c>
      <c r="C23" s="84"/>
      <c r="D23" s="84"/>
      <c r="E23" s="84"/>
      <c r="F23" s="84"/>
      <c r="G23" s="84"/>
      <c r="I23" t="s">
        <v>254</v>
      </c>
      <c r="J23" t="s">
        <v>255</v>
      </c>
    </row>
    <row r="24" spans="2:13">
      <c r="B24" t="s">
        <v>115</v>
      </c>
      <c r="I24" t="s">
        <v>254</v>
      </c>
      <c r="J24" s="6">
        <f>+D13</f>
        <v>189400</v>
      </c>
      <c r="K24" s="76" t="s">
        <v>256</v>
      </c>
      <c r="L24" t="s">
        <v>5</v>
      </c>
      <c r="M24">
        <v>150</v>
      </c>
    </row>
    <row r="25" spans="2:13">
      <c r="B25" t="s">
        <v>116</v>
      </c>
      <c r="I25" s="84" t="s">
        <v>254</v>
      </c>
      <c r="J25" s="85">
        <f>+J24+14000-150</f>
        <v>203250</v>
      </c>
    </row>
    <row r="26" spans="2:13">
      <c r="B26" t="s">
        <v>117</v>
      </c>
    </row>
    <row r="28" spans="2:13">
      <c r="B28" s="89" t="s">
        <v>262</v>
      </c>
      <c r="C28" s="89"/>
      <c r="D28" s="89"/>
      <c r="E28" s="89"/>
      <c r="F28" s="89"/>
      <c r="G28" s="89"/>
      <c r="H28" s="89"/>
      <c r="I28" s="89"/>
      <c r="J28" s="89"/>
    </row>
    <row r="30" spans="2:13">
      <c r="B30" t="s">
        <v>118</v>
      </c>
    </row>
    <row r="32" spans="2:13">
      <c r="B32" t="s">
        <v>119</v>
      </c>
      <c r="E32" s="93">
        <f>+E15</f>
        <v>405150</v>
      </c>
    </row>
    <row r="33" spans="2:10">
      <c r="B33" t="s">
        <v>120</v>
      </c>
      <c r="E33" s="93">
        <f>+J15</f>
        <v>384693</v>
      </c>
    </row>
    <row r="34" spans="2:10">
      <c r="B34" t="s">
        <v>121</v>
      </c>
      <c r="E34" s="93">
        <f>+I19</f>
        <v>20457</v>
      </c>
    </row>
    <row r="36" spans="2:10">
      <c r="B36" t="s">
        <v>122</v>
      </c>
      <c r="D36" t="s">
        <v>257</v>
      </c>
      <c r="H36" s="5"/>
      <c r="I36" t="s">
        <v>258</v>
      </c>
      <c r="J36">
        <v>432500</v>
      </c>
    </row>
    <row r="37" spans="2:10">
      <c r="I37" t="s">
        <v>259</v>
      </c>
      <c r="J37" s="5">
        <v>0.12</v>
      </c>
    </row>
    <row r="38" spans="2:10">
      <c r="B38" t="s">
        <v>122</v>
      </c>
      <c r="D38" s="6">
        <f>+I14</f>
        <v>186000</v>
      </c>
      <c r="E38" s="90" t="s">
        <v>261</v>
      </c>
      <c r="F38" t="s">
        <v>5</v>
      </c>
      <c r="G38" s="89">
        <f>+J40</f>
        <v>30101.999999999996</v>
      </c>
      <c r="I38" s="5" t="s">
        <v>260</v>
      </c>
      <c r="J38" s="89">
        <f>+J36*J37</f>
        <v>51900</v>
      </c>
    </row>
    <row r="39" spans="2:10">
      <c r="E39">
        <f>J38</f>
        <v>51900</v>
      </c>
      <c r="I39" t="s">
        <v>263</v>
      </c>
      <c r="J39" s="5">
        <v>0.57999999999999996</v>
      </c>
    </row>
    <row r="40" spans="2:10">
      <c r="B40" s="89" t="s">
        <v>122</v>
      </c>
      <c r="C40" s="91"/>
      <c r="D40" s="92">
        <f>+D38+J38-G38</f>
        <v>207798</v>
      </c>
      <c r="I40" t="s">
        <v>264</v>
      </c>
      <c r="J40" s="89">
        <f>+J39*J38</f>
        <v>30101.999999999996</v>
      </c>
    </row>
    <row r="42" spans="2:10">
      <c r="B42" s="99"/>
      <c r="C42" s="99"/>
      <c r="D42" s="6"/>
    </row>
    <row r="44" spans="2:10">
      <c r="B44" s="99"/>
      <c r="C44" s="99"/>
      <c r="D44" s="6"/>
    </row>
  </sheetData>
  <mergeCells count="3">
    <mergeCell ref="B2:K4"/>
    <mergeCell ref="B42:C42"/>
    <mergeCell ref="B44:C44"/>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C5F1B-F29E-4AFD-96C6-E61B21EABC96}">
  <sheetPr>
    <tabColor rgb="FFFFFF00"/>
  </sheetPr>
  <dimension ref="B3:L131"/>
  <sheetViews>
    <sheetView topLeftCell="A9" workbookViewId="0">
      <selection activeCell="E23" sqref="E23"/>
    </sheetView>
  </sheetViews>
  <sheetFormatPr baseColWidth="10" defaultRowHeight="15"/>
  <cols>
    <col min="5" max="6" width="13.140625" bestFit="1" customWidth="1"/>
    <col min="8" max="8" width="15.140625" customWidth="1"/>
  </cols>
  <sheetData>
    <row r="3" spans="2:11">
      <c r="B3" s="94" t="s">
        <v>266</v>
      </c>
    </row>
    <row r="4" spans="2:11">
      <c r="B4" t="s">
        <v>267</v>
      </c>
    </row>
    <row r="5" spans="2:11">
      <c r="B5" t="s">
        <v>268</v>
      </c>
    </row>
    <row r="6" spans="2:11">
      <c r="B6" t="s">
        <v>269</v>
      </c>
    </row>
    <row r="7" spans="2:11">
      <c r="B7" t="s">
        <v>270</v>
      </c>
    </row>
    <row r="9" spans="2:11" ht="15.75" thickBot="1"/>
    <row r="10" spans="2:11">
      <c r="B10" s="50" t="s">
        <v>4</v>
      </c>
      <c r="C10" s="71" t="s">
        <v>213</v>
      </c>
      <c r="D10" s="71"/>
      <c r="E10" s="71" t="s">
        <v>5</v>
      </c>
      <c r="F10" s="71" t="s">
        <v>213</v>
      </c>
      <c r="G10" s="71" t="s">
        <v>5</v>
      </c>
      <c r="H10" s="71" t="s">
        <v>217</v>
      </c>
      <c r="I10" s="71" t="s">
        <v>5</v>
      </c>
      <c r="J10" s="71" t="s">
        <v>219</v>
      </c>
      <c r="K10" s="51"/>
    </row>
    <row r="11" spans="2:11">
      <c r="B11" s="52"/>
      <c r="C11" s="22" t="s">
        <v>214</v>
      </c>
      <c r="D11" s="22"/>
      <c r="E11" s="22"/>
      <c r="F11" s="22" t="s">
        <v>99</v>
      </c>
      <c r="G11" s="22"/>
      <c r="H11" s="22" t="s">
        <v>218</v>
      </c>
      <c r="I11" s="22" t="s">
        <v>0</v>
      </c>
      <c r="J11" s="22"/>
      <c r="K11" s="53"/>
    </row>
    <row r="12" spans="2:11">
      <c r="B12" s="52"/>
      <c r="C12" s="22"/>
      <c r="D12" s="22"/>
      <c r="E12" s="22"/>
      <c r="F12" s="22" t="s">
        <v>215</v>
      </c>
      <c r="G12" s="22" t="s">
        <v>200</v>
      </c>
      <c r="H12" s="22" t="s">
        <v>7</v>
      </c>
      <c r="I12" s="22"/>
      <c r="J12" s="22"/>
      <c r="K12" s="53"/>
    </row>
    <row r="13" spans="2:11" ht="15.75" thickBot="1">
      <c r="B13" s="54"/>
      <c r="C13" s="72"/>
      <c r="D13" s="72"/>
      <c r="E13" s="72"/>
      <c r="F13" s="72" t="s">
        <v>216</v>
      </c>
      <c r="G13" s="72"/>
      <c r="H13" s="72"/>
      <c r="I13" s="72"/>
      <c r="J13" s="72"/>
      <c r="K13" s="55"/>
    </row>
    <row r="15" spans="2:11">
      <c r="B15" t="s">
        <v>4</v>
      </c>
      <c r="C15" s="24">
        <f>+G33</f>
        <v>600000</v>
      </c>
      <c r="E15" t="s">
        <v>5</v>
      </c>
      <c r="F15" s="24">
        <f>+F37</f>
        <v>180000</v>
      </c>
      <c r="G15" t="s">
        <v>5</v>
      </c>
      <c r="H15" s="24">
        <f>+H71</f>
        <v>240099.99999999997</v>
      </c>
      <c r="I15" t="s">
        <v>5</v>
      </c>
      <c r="J15" s="43">
        <v>150000</v>
      </c>
    </row>
    <row r="17" spans="2:8">
      <c r="B17" s="66" t="s">
        <v>4</v>
      </c>
      <c r="C17" s="73">
        <f>+C15-F15-H15-J15</f>
        <v>29900.000000000029</v>
      </c>
      <c r="D17" t="s">
        <v>248</v>
      </c>
    </row>
    <row r="19" spans="2:8">
      <c r="B19" s="7" t="s">
        <v>140</v>
      </c>
    </row>
    <row r="20" spans="2:8">
      <c r="D20" t="s">
        <v>8</v>
      </c>
      <c r="E20" s="2">
        <v>3600000</v>
      </c>
    </row>
    <row r="21" spans="2:8">
      <c r="D21" s="25" t="s">
        <v>236</v>
      </c>
      <c r="E21" s="74">
        <v>600000</v>
      </c>
    </row>
    <row r="22" spans="2:8">
      <c r="D22" s="12" t="s">
        <v>9</v>
      </c>
      <c r="E22" s="24">
        <f>+E20+E21</f>
        <v>4200000</v>
      </c>
    </row>
    <row r="24" spans="2:8">
      <c r="D24" t="s">
        <v>237</v>
      </c>
      <c r="E24" s="2">
        <v>2800000</v>
      </c>
    </row>
    <row r="25" spans="2:8">
      <c r="D25" t="s">
        <v>11</v>
      </c>
      <c r="E25" s="5">
        <v>0.12</v>
      </c>
    </row>
    <row r="27" spans="2:8">
      <c r="D27" s="22" t="s">
        <v>213</v>
      </c>
      <c r="F27" t="s">
        <v>10</v>
      </c>
      <c r="G27" s="5">
        <v>1</v>
      </c>
    </row>
    <row r="28" spans="2:8">
      <c r="D28" s="22" t="s">
        <v>214</v>
      </c>
    </row>
    <row r="30" spans="2:8">
      <c r="D30" s="22" t="s">
        <v>213</v>
      </c>
      <c r="F30" t="s">
        <v>10</v>
      </c>
      <c r="G30" s="5">
        <v>1</v>
      </c>
      <c r="H30" s="25" t="str">
        <f>+D21</f>
        <v>Delta de ventas</v>
      </c>
    </row>
    <row r="31" spans="2:8">
      <c r="D31" s="22" t="s">
        <v>214</v>
      </c>
    </row>
    <row r="33" spans="2:10">
      <c r="D33" s="75" t="s">
        <v>213</v>
      </c>
      <c r="E33" s="12"/>
      <c r="F33" s="12" t="s">
        <v>10</v>
      </c>
      <c r="G33" s="24">
        <f>+G30*E21</f>
        <v>600000</v>
      </c>
    </row>
    <row r="34" spans="2:10">
      <c r="D34" s="75" t="s">
        <v>214</v>
      </c>
      <c r="E34" s="12"/>
      <c r="F34" s="12"/>
      <c r="G34" s="12"/>
    </row>
    <row r="36" spans="2:10">
      <c r="D36" t="s">
        <v>227</v>
      </c>
      <c r="F36" s="5">
        <v>0.3</v>
      </c>
      <c r="G36" s="25" t="str">
        <f>+D21</f>
        <v>Delta de ventas</v>
      </c>
    </row>
    <row r="37" spans="2:10">
      <c r="D37" s="12" t="s">
        <v>227</v>
      </c>
      <c r="E37" s="12"/>
      <c r="F37" s="24">
        <f>+F36*E21</f>
        <v>180000</v>
      </c>
    </row>
    <row r="39" spans="2:10">
      <c r="B39" s="33" t="s">
        <v>238</v>
      </c>
      <c r="C39" s="33"/>
      <c r="D39" s="33"/>
      <c r="E39" s="33"/>
      <c r="F39" s="33"/>
      <c r="G39" s="78" t="s">
        <v>239</v>
      </c>
      <c r="H39" s="33" t="s">
        <v>240</v>
      </c>
      <c r="I39" s="33"/>
      <c r="J39" s="33"/>
    </row>
    <row r="41" spans="2:10">
      <c r="D41" t="s">
        <v>237</v>
      </c>
      <c r="E41" s="2">
        <f>E24</f>
        <v>2800000</v>
      </c>
    </row>
    <row r="42" spans="2:10">
      <c r="D42" t="s">
        <v>11</v>
      </c>
      <c r="E42" s="5">
        <f>E25</f>
        <v>0.12</v>
      </c>
    </row>
    <row r="44" spans="2:10">
      <c r="D44" t="s">
        <v>11</v>
      </c>
      <c r="E44" s="7" t="s">
        <v>12</v>
      </c>
    </row>
    <row r="45" spans="2:10">
      <c r="E45" t="s">
        <v>241</v>
      </c>
    </row>
    <row r="47" spans="2:10">
      <c r="D47" s="5">
        <v>0.21</v>
      </c>
      <c r="E47" t="s">
        <v>10</v>
      </c>
      <c r="F47" s="7" t="s">
        <v>231</v>
      </c>
    </row>
    <row r="48" spans="2:10">
      <c r="F48" s="6">
        <f>+E41</f>
        <v>2800000</v>
      </c>
    </row>
    <row r="50" spans="4:9">
      <c r="D50" s="6">
        <f>+D47*F48</f>
        <v>588000</v>
      </c>
      <c r="E50" t="s">
        <v>10</v>
      </c>
      <c r="F50" t="s">
        <v>231</v>
      </c>
    </row>
    <row r="52" spans="4:9">
      <c r="D52" t="s">
        <v>13</v>
      </c>
      <c r="F52" s="7" t="str">
        <f>+F50</f>
        <v>Utilidad neta 2021</v>
      </c>
    </row>
    <row r="53" spans="4:9">
      <c r="F53" t="s">
        <v>232</v>
      </c>
    </row>
    <row r="55" spans="4:9" ht="17.25">
      <c r="D55" t="s">
        <v>13</v>
      </c>
      <c r="F55" s="23">
        <f>+D50</f>
        <v>588000</v>
      </c>
      <c r="G55" t="s">
        <v>10</v>
      </c>
      <c r="H55" s="77">
        <f>+F55/F56</f>
        <v>0.16333333333333333</v>
      </c>
    </row>
    <row r="56" spans="4:9">
      <c r="F56" s="6">
        <f>+E20</f>
        <v>3600000</v>
      </c>
    </row>
    <row r="58" spans="4:9">
      <c r="D58" t="s">
        <v>242</v>
      </c>
      <c r="F58" s="10">
        <f>+H55</f>
        <v>0.16333333333333333</v>
      </c>
      <c r="G58" t="s">
        <v>10</v>
      </c>
      <c r="H58" s="7" t="s">
        <v>14</v>
      </c>
    </row>
    <row r="59" spans="4:9">
      <c r="H59" t="s">
        <v>243</v>
      </c>
    </row>
    <row r="61" spans="4:9">
      <c r="F61" s="10">
        <f>+F58</f>
        <v>0.16333333333333333</v>
      </c>
      <c r="G61" t="s">
        <v>10</v>
      </c>
      <c r="H61" s="7" t="s">
        <v>14</v>
      </c>
    </row>
    <row r="62" spans="4:9">
      <c r="H62" s="6">
        <f>+E22</f>
        <v>4200000</v>
      </c>
    </row>
    <row r="64" spans="4:9">
      <c r="F64" s="24">
        <f>+F61*H62</f>
        <v>686000</v>
      </c>
      <c r="G64" s="12" t="s">
        <v>10</v>
      </c>
      <c r="H64" s="12" t="s">
        <v>14</v>
      </c>
      <c r="I64" s="12"/>
    </row>
    <row r="66" spans="2:11">
      <c r="F66" t="s">
        <v>271</v>
      </c>
    </row>
    <row r="67" spans="2:11">
      <c r="F67" t="s">
        <v>272</v>
      </c>
    </row>
    <row r="69" spans="2:11">
      <c r="F69" t="s">
        <v>15</v>
      </c>
      <c r="H69" t="s">
        <v>273</v>
      </c>
    </row>
    <row r="70" spans="2:11">
      <c r="F70" t="s">
        <v>15</v>
      </c>
      <c r="H70" s="5">
        <v>0.35</v>
      </c>
      <c r="I70" s="6">
        <f>+F64</f>
        <v>686000</v>
      </c>
    </row>
    <row r="71" spans="2:11">
      <c r="F71" s="12" t="s">
        <v>15</v>
      </c>
      <c r="G71" s="12"/>
      <c r="H71" s="24">
        <f>+H70*I70</f>
        <v>240099.99999999997</v>
      </c>
    </row>
    <row r="73" spans="2:11">
      <c r="F73" t="s">
        <v>247</v>
      </c>
      <c r="H73" s="6">
        <f>+F64-H71</f>
        <v>445900</v>
      </c>
    </row>
    <row r="75" spans="2:11">
      <c r="B75" s="1" t="s">
        <v>3</v>
      </c>
      <c r="C75" s="96" t="s">
        <v>17</v>
      </c>
      <c r="D75" s="96"/>
      <c r="E75" s="96"/>
      <c r="F75" s="96"/>
      <c r="G75" s="96"/>
      <c r="H75" s="96"/>
      <c r="I75" s="96"/>
      <c r="J75" s="96"/>
      <c r="K75" s="96"/>
    </row>
    <row r="76" spans="2:11">
      <c r="C76" s="96"/>
      <c r="D76" s="96"/>
      <c r="E76" s="96"/>
      <c r="F76" s="96"/>
      <c r="G76" s="96"/>
      <c r="H76" s="96"/>
      <c r="I76" s="96"/>
      <c r="J76" s="96"/>
      <c r="K76" s="96"/>
    </row>
    <row r="78" spans="2:11">
      <c r="C78" t="s">
        <v>249</v>
      </c>
      <c r="F78" s="8" t="s">
        <v>250</v>
      </c>
      <c r="G78" s="8"/>
    </row>
    <row r="79" spans="2:11">
      <c r="F79" t="s">
        <v>251</v>
      </c>
    </row>
    <row r="81" spans="3:12">
      <c r="C81" t="s">
        <v>249</v>
      </c>
      <c r="F81" s="11">
        <f>+H73</f>
        <v>445900</v>
      </c>
      <c r="G81" s="8" t="s">
        <v>5</v>
      </c>
      <c r="H81" s="11">
        <f>+C17</f>
        <v>29900.000000000029</v>
      </c>
      <c r="I81" t="s">
        <v>10</v>
      </c>
      <c r="J81" s="79">
        <f>+(F81-H81)/G82</f>
        <v>0.60641399416909625</v>
      </c>
      <c r="K81" t="s">
        <v>252</v>
      </c>
      <c r="L81" s="80">
        <f>+J81</f>
        <v>0.60641399416909625</v>
      </c>
    </row>
    <row r="82" spans="3:12">
      <c r="G82" s="6">
        <f>+F64</f>
        <v>686000</v>
      </c>
      <c r="L82" t="s">
        <v>253</v>
      </c>
    </row>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sheetData>
  <mergeCells count="1">
    <mergeCell ref="C75:K7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FCFEC-4F76-41C7-A134-79A562AC0039}">
  <sheetPr>
    <tabColor rgb="FFFF0000"/>
  </sheetPr>
  <dimension ref="B2:L131"/>
  <sheetViews>
    <sheetView topLeftCell="A4" zoomScale="120" zoomScaleNormal="120" workbookViewId="0">
      <selection activeCell="C7" sqref="C7"/>
    </sheetView>
  </sheetViews>
  <sheetFormatPr baseColWidth="10" defaultRowHeight="15"/>
  <cols>
    <col min="2" max="2" width="4.140625" customWidth="1"/>
    <col min="3" max="3" width="13.85546875" customWidth="1"/>
    <col min="4" max="4" width="16.42578125" customWidth="1"/>
    <col min="5" max="5" width="13.85546875" customWidth="1"/>
    <col min="6" max="6" width="22" customWidth="1"/>
    <col min="7" max="7" width="10.42578125" customWidth="1"/>
    <col min="10" max="10" width="12.140625" bestFit="1" customWidth="1"/>
    <col min="11" max="11" width="16" customWidth="1"/>
  </cols>
  <sheetData>
    <row r="2" spans="2:10">
      <c r="B2" s="97" t="s">
        <v>20</v>
      </c>
      <c r="C2" s="97"/>
      <c r="D2" s="97"/>
      <c r="E2" s="97"/>
      <c r="F2" s="97"/>
      <c r="G2" s="97"/>
      <c r="H2" s="97"/>
      <c r="I2" s="97"/>
      <c r="J2" s="97"/>
    </row>
    <row r="3" spans="2:10">
      <c r="B3" s="97"/>
      <c r="C3" s="97"/>
      <c r="D3" s="97"/>
      <c r="E3" s="97"/>
      <c r="F3" s="97"/>
      <c r="G3" s="97"/>
      <c r="H3" s="97"/>
      <c r="I3" s="97"/>
      <c r="J3" s="97"/>
    </row>
    <row r="4" spans="2:10">
      <c r="B4" s="97"/>
      <c r="C4" s="97"/>
      <c r="D4" s="97"/>
      <c r="E4" s="97"/>
      <c r="F4" s="97"/>
      <c r="G4" s="97"/>
      <c r="H4" s="97"/>
      <c r="I4" s="97"/>
      <c r="J4" s="97"/>
    </row>
    <row r="5" spans="2:10">
      <c r="B5" s="97"/>
      <c r="C5" s="97"/>
      <c r="D5" s="97"/>
      <c r="E5" s="97"/>
      <c r="F5" s="97"/>
      <c r="G5" s="97"/>
      <c r="H5" s="97"/>
      <c r="I5" s="97"/>
      <c r="J5" s="97"/>
    </row>
    <row r="6" spans="2:10">
      <c r="B6" t="s">
        <v>5</v>
      </c>
      <c r="C6" t="s">
        <v>91</v>
      </c>
    </row>
    <row r="7" spans="2:10">
      <c r="B7" t="s">
        <v>5</v>
      </c>
      <c r="C7" s="12" t="s">
        <v>21</v>
      </c>
      <c r="D7" s="12"/>
      <c r="E7" s="12"/>
      <c r="F7" s="12"/>
      <c r="H7" t="s">
        <v>0</v>
      </c>
    </row>
    <row r="8" spans="2:10">
      <c r="B8" t="s">
        <v>5</v>
      </c>
      <c r="C8" t="s">
        <v>92</v>
      </c>
    </row>
    <row r="9" spans="2:10">
      <c r="B9" t="s">
        <v>5</v>
      </c>
      <c r="C9" t="s">
        <v>93</v>
      </c>
      <c r="H9" s="3" t="s">
        <v>0</v>
      </c>
      <c r="I9" t="s">
        <v>0</v>
      </c>
    </row>
    <row r="10" spans="2:10">
      <c r="B10" t="s">
        <v>5</v>
      </c>
      <c r="C10" t="s">
        <v>94</v>
      </c>
      <c r="G10" t="s">
        <v>0</v>
      </c>
      <c r="H10" t="s">
        <v>0</v>
      </c>
    </row>
    <row r="11" spans="2:10">
      <c r="B11" t="s">
        <v>5</v>
      </c>
      <c r="C11" t="s">
        <v>95</v>
      </c>
      <c r="G11" t="s">
        <v>0</v>
      </c>
      <c r="H11" t="s">
        <v>0</v>
      </c>
    </row>
    <row r="12" spans="2:10">
      <c r="B12" t="s">
        <v>5</v>
      </c>
      <c r="C12" t="s">
        <v>22</v>
      </c>
    </row>
    <row r="13" spans="2:10">
      <c r="B13" t="s">
        <v>0</v>
      </c>
    </row>
    <row r="14" spans="2:10">
      <c r="B14" t="s">
        <v>23</v>
      </c>
    </row>
    <row r="15" spans="2:10">
      <c r="B15" t="s">
        <v>0</v>
      </c>
    </row>
    <row r="16" spans="2:10">
      <c r="D16" s="14" t="s">
        <v>24</v>
      </c>
    </row>
    <row r="18" spans="2:12">
      <c r="C18" t="s">
        <v>25</v>
      </c>
      <c r="E18" s="3">
        <v>80000</v>
      </c>
      <c r="F18" s="37">
        <f>+E18</f>
        <v>80000</v>
      </c>
      <c r="H18" t="s">
        <v>29</v>
      </c>
      <c r="J18" s="3">
        <v>120000</v>
      </c>
      <c r="K18" s="37">
        <f>5%*F36</f>
        <v>120000</v>
      </c>
    </row>
    <row r="19" spans="2:12">
      <c r="C19" t="s">
        <v>26</v>
      </c>
      <c r="E19" s="3">
        <v>280000</v>
      </c>
      <c r="F19" s="37">
        <f>+F21-F18-F20</f>
        <v>608800</v>
      </c>
      <c r="H19" t="s">
        <v>30</v>
      </c>
      <c r="J19" s="3">
        <v>240000</v>
      </c>
      <c r="K19" s="37">
        <f>+J19-20000</f>
        <v>220000</v>
      </c>
    </row>
    <row r="20" spans="2:12">
      <c r="C20" s="7" t="s">
        <v>27</v>
      </c>
      <c r="D20" s="7"/>
      <c r="E20" s="34">
        <v>200000</v>
      </c>
      <c r="F20" s="38">
        <f>+E20*(1+20%)</f>
        <v>240000</v>
      </c>
      <c r="H20" s="7" t="s">
        <v>31</v>
      </c>
      <c r="I20" s="7"/>
      <c r="J20" s="34">
        <v>70000</v>
      </c>
      <c r="K20" s="38">
        <f>+J20</f>
        <v>70000</v>
      </c>
    </row>
    <row r="21" spans="2:12">
      <c r="C21" t="s">
        <v>28</v>
      </c>
      <c r="E21" s="3">
        <f>SUM(E18:E20)</f>
        <v>560000</v>
      </c>
      <c r="F21" s="37">
        <f>+E57</f>
        <v>928800</v>
      </c>
      <c r="H21" t="s">
        <v>32</v>
      </c>
      <c r="J21" s="3">
        <f>SUM(J18:J20)</f>
        <v>430000</v>
      </c>
      <c r="K21" s="37">
        <f>SUM(K18:K20)</f>
        <v>410000</v>
      </c>
    </row>
    <row r="23" spans="2:12">
      <c r="B23" s="95" t="s">
        <v>96</v>
      </c>
      <c r="C23" s="95"/>
      <c r="D23" s="95"/>
      <c r="E23" s="95"/>
      <c r="F23" s="95"/>
      <c r="G23" s="95"/>
      <c r="H23" s="95"/>
      <c r="I23" s="95"/>
      <c r="J23" s="95"/>
      <c r="K23" s="95"/>
      <c r="L23" s="95"/>
    </row>
    <row r="25" spans="2:12">
      <c r="B25" t="s">
        <v>33</v>
      </c>
      <c r="C25" t="s">
        <v>38</v>
      </c>
    </row>
    <row r="26" spans="2:12">
      <c r="B26" t="s">
        <v>34</v>
      </c>
      <c r="C26" t="s">
        <v>39</v>
      </c>
    </row>
    <row r="27" spans="2:12">
      <c r="B27" t="s">
        <v>35</v>
      </c>
      <c r="C27" t="s">
        <v>40</v>
      </c>
    </row>
    <row r="28" spans="2:12">
      <c r="B28" t="s">
        <v>36</v>
      </c>
      <c r="C28" t="s">
        <v>41</v>
      </c>
    </row>
    <row r="29" spans="2:12">
      <c r="B29" t="s">
        <v>37</v>
      </c>
      <c r="C29" t="s">
        <v>42</v>
      </c>
    </row>
    <row r="30" spans="2:12">
      <c r="C30" t="s">
        <v>43</v>
      </c>
    </row>
    <row r="32" spans="2:12">
      <c r="C32" s="12" t="s">
        <v>140</v>
      </c>
    </row>
    <row r="34" spans="3:9">
      <c r="D34">
        <v>2021</v>
      </c>
      <c r="F34" s="12">
        <v>2022</v>
      </c>
    </row>
    <row r="36" spans="3:9">
      <c r="C36" t="s">
        <v>61</v>
      </c>
      <c r="D36" s="3">
        <v>1600000</v>
      </c>
      <c r="E36" s="3"/>
      <c r="F36" s="3">
        <f>+D36*(1+50%)</f>
        <v>2400000</v>
      </c>
    </row>
    <row r="37" spans="3:9">
      <c r="C37" s="35" t="s">
        <v>62</v>
      </c>
      <c r="D37" s="36">
        <f>+D36-D38</f>
        <v>960000</v>
      </c>
      <c r="E37" s="2"/>
      <c r="F37" s="36">
        <f>+F36-F38</f>
        <v>960000</v>
      </c>
    </row>
    <row r="38" spans="3:9">
      <c r="C38" t="s">
        <v>63</v>
      </c>
      <c r="D38" s="3">
        <f>+D36*E38</f>
        <v>640000</v>
      </c>
      <c r="E38" s="5">
        <v>0.4</v>
      </c>
      <c r="F38" s="3">
        <f>+F36*G38</f>
        <v>1440000</v>
      </c>
      <c r="G38" s="5">
        <v>0.6</v>
      </c>
    </row>
    <row r="41" spans="3:9">
      <c r="C41" s="12" t="s">
        <v>21</v>
      </c>
      <c r="D41" s="12"/>
      <c r="E41" s="12"/>
      <c r="F41" s="12"/>
    </row>
    <row r="43" spans="3:9">
      <c r="C43" t="s">
        <v>141</v>
      </c>
      <c r="E43" s="8" t="s">
        <v>142</v>
      </c>
      <c r="F43" s="8"/>
    </row>
    <row r="44" spans="3:9">
      <c r="E44" t="s">
        <v>143</v>
      </c>
    </row>
    <row r="46" spans="3:9">
      <c r="C46" t="s">
        <v>141</v>
      </c>
      <c r="E46" s="39">
        <f>+E21</f>
        <v>560000</v>
      </c>
      <c r="F46" s="8" t="s">
        <v>5</v>
      </c>
      <c r="G46" s="39">
        <f>+E20</f>
        <v>200000</v>
      </c>
      <c r="H46" t="s">
        <v>10</v>
      </c>
      <c r="I46" s="6">
        <f>+(E46-G46)/F47</f>
        <v>0.83720930232558144</v>
      </c>
    </row>
    <row r="47" spans="3:9">
      <c r="F47" s="4">
        <f>+J21</f>
        <v>430000</v>
      </c>
    </row>
    <row r="49" spans="2:9">
      <c r="C49" t="s">
        <v>144</v>
      </c>
      <c r="E49" s="6">
        <v>1.68</v>
      </c>
      <c r="F49" t="s">
        <v>10</v>
      </c>
      <c r="G49" s="8" t="s">
        <v>142</v>
      </c>
      <c r="H49" s="8"/>
    </row>
    <row r="50" spans="2:9">
      <c r="G50" t="s">
        <v>143</v>
      </c>
    </row>
    <row r="52" spans="2:9">
      <c r="E52" s="6">
        <f>+E49</f>
        <v>1.68</v>
      </c>
      <c r="F52" t="s">
        <v>10</v>
      </c>
      <c r="G52" s="8" t="s">
        <v>145</v>
      </c>
      <c r="H52" s="8"/>
      <c r="I52" s="39">
        <f>+F20</f>
        <v>240000</v>
      </c>
    </row>
    <row r="53" spans="2:9">
      <c r="H53" s="4">
        <f>+K21</f>
        <v>410000</v>
      </c>
    </row>
    <row r="55" spans="2:9">
      <c r="E55" s="6">
        <f>+E52*H53</f>
        <v>688800</v>
      </c>
      <c r="F55" t="s">
        <v>10</v>
      </c>
      <c r="G55" t="s">
        <v>145</v>
      </c>
      <c r="I55">
        <v>240000</v>
      </c>
    </row>
    <row r="57" spans="2:9">
      <c r="E57" s="24">
        <f>+E55+I55</f>
        <v>928800</v>
      </c>
      <c r="F57" s="12" t="s">
        <v>10</v>
      </c>
      <c r="G57" s="12" t="s">
        <v>146</v>
      </c>
    </row>
    <row r="59" spans="2:9">
      <c r="B59" t="s">
        <v>33</v>
      </c>
      <c r="C59" t="s">
        <v>38</v>
      </c>
    </row>
    <row r="61" spans="2:9">
      <c r="C61" t="s">
        <v>44</v>
      </c>
      <c r="D61" t="s">
        <v>147</v>
      </c>
      <c r="E61" t="s">
        <v>72</v>
      </c>
      <c r="F61" t="s">
        <v>148</v>
      </c>
    </row>
    <row r="63" spans="2:9">
      <c r="C63" t="s">
        <v>44</v>
      </c>
      <c r="D63" s="7" t="s">
        <v>149</v>
      </c>
      <c r="E63" t="s">
        <v>71</v>
      </c>
      <c r="F63" t="s">
        <v>72</v>
      </c>
      <c r="G63" s="7" t="s">
        <v>151</v>
      </c>
      <c r="H63" t="s">
        <v>71</v>
      </c>
    </row>
    <row r="64" spans="2:9">
      <c r="D64" t="s">
        <v>150</v>
      </c>
      <c r="G64" t="s">
        <v>152</v>
      </c>
    </row>
    <row r="66" spans="2:8">
      <c r="C66" t="s">
        <v>44</v>
      </c>
      <c r="D66">
        <f>+(E20/D37)*360</f>
        <v>75</v>
      </c>
      <c r="E66" t="s">
        <v>153</v>
      </c>
      <c r="F66" t="s">
        <v>72</v>
      </c>
      <c r="G66">
        <f>+(E19/D36)*360</f>
        <v>62.999999999999993</v>
      </c>
      <c r="H66" t="s">
        <v>153</v>
      </c>
    </row>
    <row r="68" spans="2:8">
      <c r="C68" t="s">
        <v>44</v>
      </c>
      <c r="D68">
        <f>+D66+G66</f>
        <v>138</v>
      </c>
      <c r="E68" t="s">
        <v>153</v>
      </c>
    </row>
    <row r="71" spans="2:8">
      <c r="B71" t="s">
        <v>34</v>
      </c>
      <c r="C71" t="s">
        <v>39</v>
      </c>
    </row>
    <row r="73" spans="2:8">
      <c r="C73" t="s">
        <v>73</v>
      </c>
      <c r="D73" t="s">
        <v>147</v>
      </c>
      <c r="E73" t="s">
        <v>72</v>
      </c>
      <c r="F73" t="s">
        <v>148</v>
      </c>
      <c r="G73" t="s">
        <v>5</v>
      </c>
      <c r="H73" t="s">
        <v>154</v>
      </c>
    </row>
    <row r="75" spans="2:8">
      <c r="C75" t="s">
        <v>73</v>
      </c>
      <c r="D75" t="s">
        <v>155</v>
      </c>
      <c r="E75" t="s">
        <v>5</v>
      </c>
      <c r="F75" t="s">
        <v>154</v>
      </c>
    </row>
    <row r="77" spans="2:8">
      <c r="C77" t="s">
        <v>73</v>
      </c>
      <c r="D77">
        <f>+D68</f>
        <v>138</v>
      </c>
      <c r="E77" t="s">
        <v>5</v>
      </c>
      <c r="F77" t="s">
        <v>154</v>
      </c>
    </row>
    <row r="80" spans="2:8">
      <c r="C80" t="s">
        <v>156</v>
      </c>
      <c r="D80" s="7" t="s">
        <v>157</v>
      </c>
      <c r="E80" t="s">
        <v>71</v>
      </c>
      <c r="F80" t="s">
        <v>10</v>
      </c>
      <c r="G80">
        <f>+(J18/D37)*360</f>
        <v>45</v>
      </c>
    </row>
    <row r="81" spans="2:8">
      <c r="D81" t="s">
        <v>62</v>
      </c>
    </row>
    <row r="83" spans="2:8">
      <c r="C83" t="s">
        <v>73</v>
      </c>
      <c r="D83">
        <f>+D77</f>
        <v>138</v>
      </c>
      <c r="E83" t="s">
        <v>5</v>
      </c>
      <c r="F83">
        <f>+G80</f>
        <v>45</v>
      </c>
    </row>
    <row r="85" spans="2:8">
      <c r="C85" t="s">
        <v>73</v>
      </c>
      <c r="D85">
        <f>+D83-F83</f>
        <v>93</v>
      </c>
      <c r="E85" t="s">
        <v>153</v>
      </c>
    </row>
    <row r="88" spans="2:8">
      <c r="B88" t="s">
        <v>35</v>
      </c>
      <c r="C88" t="s">
        <v>40</v>
      </c>
    </row>
    <row r="90" spans="2:8">
      <c r="C90" t="s">
        <v>44</v>
      </c>
      <c r="D90" t="s">
        <v>147</v>
      </c>
      <c r="E90" t="s">
        <v>72</v>
      </c>
      <c r="F90" t="s">
        <v>148</v>
      </c>
    </row>
    <row r="92" spans="2:8">
      <c r="C92" t="s">
        <v>44</v>
      </c>
      <c r="D92">
        <v>181.32</v>
      </c>
      <c r="E92" t="s">
        <v>158</v>
      </c>
      <c r="G92" s="25">
        <v>181</v>
      </c>
      <c r="H92" t="s">
        <v>153</v>
      </c>
    </row>
    <row r="95" spans="2:8">
      <c r="B95" t="s">
        <v>36</v>
      </c>
      <c r="C95" t="s">
        <v>41</v>
      </c>
    </row>
    <row r="97" spans="3:8">
      <c r="C97" t="s">
        <v>73</v>
      </c>
      <c r="D97" t="s">
        <v>155</v>
      </c>
      <c r="E97" t="s">
        <v>5</v>
      </c>
      <c r="F97" t="s">
        <v>154</v>
      </c>
    </row>
    <row r="99" spans="3:8">
      <c r="C99" t="s">
        <v>73</v>
      </c>
      <c r="D99">
        <f>+D92</f>
        <v>181.32</v>
      </c>
      <c r="E99" t="s">
        <v>5</v>
      </c>
      <c r="F99">
        <v>45</v>
      </c>
    </row>
    <row r="101" spans="3:8">
      <c r="C101" t="s">
        <v>73</v>
      </c>
      <c r="D101">
        <f>+D99-F99</f>
        <v>136.32</v>
      </c>
      <c r="E101" t="s">
        <v>158</v>
      </c>
      <c r="G101" s="25">
        <v>136</v>
      </c>
      <c r="H101" t="s">
        <v>159</v>
      </c>
    </row>
    <row r="104" spans="3:8">
      <c r="C104" t="s">
        <v>42</v>
      </c>
    </row>
    <row r="105" spans="3:8">
      <c r="C105" t="s">
        <v>43</v>
      </c>
    </row>
    <row r="107" spans="3:8">
      <c r="C107" t="s">
        <v>160</v>
      </c>
    </row>
    <row r="109" spans="3:8">
      <c r="C109" t="s">
        <v>162</v>
      </c>
      <c r="D109">
        <f>+G101</f>
        <v>136</v>
      </c>
      <c r="E109" t="s">
        <v>153</v>
      </c>
    </row>
    <row r="110" spans="3:8">
      <c r="C110" t="s">
        <v>161</v>
      </c>
      <c r="D110" s="7">
        <f>+D85</f>
        <v>93</v>
      </c>
      <c r="E110" t="s">
        <v>153</v>
      </c>
      <c r="F110" t="s">
        <v>164</v>
      </c>
    </row>
    <row r="112" spans="3:8">
      <c r="C112" s="12" t="s">
        <v>163</v>
      </c>
      <c r="D112" s="26">
        <f>+D109-D110</f>
        <v>43</v>
      </c>
      <c r="E112" s="12" t="s">
        <v>153</v>
      </c>
      <c r="F112" t="s">
        <v>165</v>
      </c>
    </row>
    <row r="113" spans="3:8">
      <c r="F113" t="s">
        <v>166</v>
      </c>
    </row>
    <row r="115" spans="3:8">
      <c r="C115" t="s">
        <v>167</v>
      </c>
    </row>
    <row r="116" spans="3:8">
      <c r="C116" t="s">
        <v>168</v>
      </c>
    </row>
    <row r="119" spans="3:8">
      <c r="C119" t="s">
        <v>161</v>
      </c>
      <c r="D119" t="s">
        <v>147</v>
      </c>
      <c r="E119" t="s">
        <v>72</v>
      </c>
      <c r="F119" t="s">
        <v>148</v>
      </c>
      <c r="G119" t="s">
        <v>5</v>
      </c>
      <c r="H119" t="s">
        <v>154</v>
      </c>
    </row>
    <row r="120" spans="3:8">
      <c r="D120" s="40">
        <f>+D66</f>
        <v>75</v>
      </c>
      <c r="F120" s="41">
        <f>+G66</f>
        <v>62.999999999999993</v>
      </c>
      <c r="H120" s="42">
        <f>+G80</f>
        <v>45</v>
      </c>
    </row>
    <row r="124" spans="3:8">
      <c r="C124" s="12" t="s">
        <v>162</v>
      </c>
      <c r="D124" s="12" t="s">
        <v>147</v>
      </c>
      <c r="E124" s="12" t="s">
        <v>72</v>
      </c>
      <c r="F124" s="12" t="s">
        <v>148</v>
      </c>
      <c r="G124" s="12" t="s">
        <v>5</v>
      </c>
      <c r="H124" s="12" t="s">
        <v>154</v>
      </c>
    </row>
    <row r="125" spans="3:8">
      <c r="C125" s="12"/>
      <c r="D125" s="40">
        <v>90</v>
      </c>
      <c r="E125" s="12" t="s">
        <v>72</v>
      </c>
      <c r="F125" s="41">
        <f>181.32-D125</f>
        <v>91.32</v>
      </c>
      <c r="G125" s="12" t="s">
        <v>5</v>
      </c>
      <c r="H125" s="42">
        <f>+F99</f>
        <v>45</v>
      </c>
    </row>
    <row r="127" spans="3:8">
      <c r="D127" t="s">
        <v>169</v>
      </c>
      <c r="F127" t="s">
        <v>169</v>
      </c>
      <c r="H127" t="s">
        <v>173</v>
      </c>
    </row>
    <row r="128" spans="3:8">
      <c r="D128" t="s">
        <v>170</v>
      </c>
      <c r="F128" t="s">
        <v>172</v>
      </c>
      <c r="H128" t="s">
        <v>175</v>
      </c>
    </row>
    <row r="129" spans="3:8">
      <c r="D129" t="s">
        <v>171</v>
      </c>
      <c r="H129" t="s">
        <v>174</v>
      </c>
    </row>
    <row r="131" spans="3:8">
      <c r="C131" t="s">
        <v>176</v>
      </c>
    </row>
  </sheetData>
  <mergeCells count="2">
    <mergeCell ref="B2:J5"/>
    <mergeCell ref="B23:L23"/>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83399-62C7-46E8-B773-880CF7B0BAC4}">
  <sheetPr>
    <tabColor rgb="FFFF0000"/>
  </sheetPr>
  <dimension ref="A2:K48"/>
  <sheetViews>
    <sheetView topLeftCell="A25" zoomScaleNormal="100" workbookViewId="0">
      <selection activeCell="A28" sqref="A28:B37"/>
    </sheetView>
  </sheetViews>
  <sheetFormatPr baseColWidth="10" defaultRowHeight="15"/>
  <cols>
    <col min="4" max="4" width="15" customWidth="1"/>
    <col min="5" max="5" width="14.140625" customWidth="1"/>
    <col min="6" max="6" width="13.7109375" customWidth="1"/>
    <col min="7" max="7" width="16.5703125" customWidth="1"/>
    <col min="8" max="8" width="15.42578125" customWidth="1"/>
    <col min="9" max="9" width="15.140625" customWidth="1"/>
  </cols>
  <sheetData>
    <row r="2" spans="2:11">
      <c r="B2" s="96" t="s">
        <v>59</v>
      </c>
      <c r="C2" s="96"/>
      <c r="D2" s="96"/>
      <c r="E2" s="96"/>
      <c r="F2" s="96"/>
      <c r="G2" s="96"/>
      <c r="H2" s="96"/>
      <c r="I2" s="96"/>
      <c r="J2" s="96"/>
      <c r="K2" s="96"/>
    </row>
    <row r="3" spans="2:11">
      <c r="B3" s="96"/>
      <c r="C3" s="96"/>
      <c r="D3" s="96"/>
      <c r="E3" s="96"/>
      <c r="F3" s="96"/>
      <c r="G3" s="96"/>
      <c r="H3" s="96"/>
      <c r="I3" s="96"/>
      <c r="J3" s="96"/>
      <c r="K3" s="96"/>
    </row>
    <row r="4" spans="2:11">
      <c r="B4" s="96"/>
      <c r="C4" s="96"/>
      <c r="D4" s="96"/>
      <c r="E4" s="96"/>
      <c r="F4" s="96"/>
      <c r="G4" s="96"/>
      <c r="H4" s="96"/>
      <c r="I4" s="96"/>
      <c r="J4" s="96"/>
      <c r="K4" s="96"/>
    </row>
    <row r="5" spans="2:11">
      <c r="B5" s="96"/>
      <c r="C5" s="96"/>
      <c r="D5" s="96"/>
      <c r="E5" s="96"/>
      <c r="F5" s="96"/>
      <c r="G5" s="96"/>
      <c r="H5" s="96"/>
      <c r="I5" s="96"/>
      <c r="J5" s="96"/>
      <c r="K5" s="96"/>
    </row>
    <row r="7" spans="2:11">
      <c r="D7" s="20" t="s">
        <v>60</v>
      </c>
    </row>
    <row r="9" spans="2:11">
      <c r="B9" t="s">
        <v>25</v>
      </c>
      <c r="D9" s="2">
        <v>100000</v>
      </c>
      <c r="E9" s="43">
        <v>70000</v>
      </c>
      <c r="G9" t="s">
        <v>29</v>
      </c>
      <c r="I9" s="2">
        <v>120000</v>
      </c>
      <c r="J9" s="43">
        <v>150000</v>
      </c>
    </row>
    <row r="10" spans="2:11">
      <c r="B10" t="s">
        <v>26</v>
      </c>
      <c r="D10" s="2">
        <v>150000</v>
      </c>
      <c r="E10" s="43">
        <v>80000</v>
      </c>
      <c r="G10" t="s">
        <v>74</v>
      </c>
      <c r="I10" s="2">
        <v>60000</v>
      </c>
      <c r="J10" s="43">
        <v>60000</v>
      </c>
    </row>
    <row r="11" spans="2:11">
      <c r="B11" s="7" t="s">
        <v>27</v>
      </c>
      <c r="C11" s="7"/>
      <c r="D11" s="15">
        <v>200000</v>
      </c>
      <c r="E11" s="44">
        <v>300000</v>
      </c>
      <c r="G11" s="7" t="s">
        <v>30</v>
      </c>
      <c r="H11" s="7"/>
      <c r="I11" s="15">
        <v>100000</v>
      </c>
      <c r="J11" s="44">
        <v>90000</v>
      </c>
    </row>
    <row r="12" spans="2:11">
      <c r="B12" t="s">
        <v>28</v>
      </c>
      <c r="D12" s="2">
        <f>SUM(D9:D11)</f>
        <v>450000</v>
      </c>
      <c r="E12" s="43">
        <v>450000</v>
      </c>
      <c r="G12" t="s">
        <v>32</v>
      </c>
      <c r="I12" s="2">
        <f>SUM(I9:I11)</f>
        <v>280000</v>
      </c>
      <c r="J12" s="43">
        <f>SUM(J9:J11)</f>
        <v>300000</v>
      </c>
    </row>
    <row r="14" spans="2:11">
      <c r="E14" t="s">
        <v>61</v>
      </c>
      <c r="F14" s="2">
        <v>600000</v>
      </c>
      <c r="G14" s="43">
        <v>720000</v>
      </c>
    </row>
    <row r="15" spans="2:11">
      <c r="E15" s="33" t="s">
        <v>150</v>
      </c>
      <c r="F15" s="45">
        <v>450000</v>
      </c>
      <c r="G15" s="46">
        <v>540000</v>
      </c>
    </row>
    <row r="16" spans="2:11">
      <c r="D16" s="9">
        <v>0.25</v>
      </c>
      <c r="E16" t="s">
        <v>63</v>
      </c>
      <c r="F16" s="2">
        <f>+D16*F14</f>
        <v>150000</v>
      </c>
      <c r="G16" s="43">
        <v>180000</v>
      </c>
    </row>
    <row r="17" spans="1:8">
      <c r="E17" s="2"/>
    </row>
    <row r="18" spans="1:8">
      <c r="B18" s="12" t="s">
        <v>197</v>
      </c>
      <c r="C18" s="12"/>
      <c r="D18" s="12"/>
      <c r="E18" s="12">
        <v>0.5</v>
      </c>
      <c r="G18" s="33" t="s">
        <v>191</v>
      </c>
    </row>
    <row r="19" spans="1:8">
      <c r="B19" t="s">
        <v>65</v>
      </c>
    </row>
    <row r="20" spans="1:8">
      <c r="B20" t="s">
        <v>66</v>
      </c>
    </row>
    <row r="21" spans="1:8">
      <c r="B21" t="s">
        <v>67</v>
      </c>
    </row>
    <row r="22" spans="1:8">
      <c r="B22" t="s">
        <v>68</v>
      </c>
    </row>
    <row r="23" spans="1:8">
      <c r="B23" t="s">
        <v>69</v>
      </c>
    </row>
    <row r="24" spans="1:8">
      <c r="B24" t="s">
        <v>70</v>
      </c>
    </row>
    <row r="26" spans="1:8">
      <c r="B26" t="s">
        <v>179</v>
      </c>
      <c r="G26" s="25" t="s">
        <v>198</v>
      </c>
    </row>
    <row r="28" spans="1:8">
      <c r="A28">
        <v>1</v>
      </c>
      <c r="B28" t="s">
        <v>182</v>
      </c>
      <c r="G28" s="26">
        <v>160</v>
      </c>
      <c r="H28" s="25" t="s">
        <v>190</v>
      </c>
    </row>
    <row r="29" spans="1:8">
      <c r="A29">
        <v>2</v>
      </c>
      <c r="B29" t="s">
        <v>183</v>
      </c>
      <c r="G29" s="26">
        <v>90</v>
      </c>
    </row>
    <row r="30" spans="1:8">
      <c r="A30">
        <v>3</v>
      </c>
      <c r="B30" t="s">
        <v>184</v>
      </c>
      <c r="G30" s="26">
        <v>96</v>
      </c>
    </row>
    <row r="31" spans="1:8">
      <c r="A31">
        <v>4</v>
      </c>
      <c r="B31" t="s">
        <v>180</v>
      </c>
      <c r="G31" s="26">
        <v>250</v>
      </c>
    </row>
    <row r="32" spans="1:8">
      <c r="A32">
        <v>5</v>
      </c>
      <c r="B32" t="s">
        <v>181</v>
      </c>
      <c r="G32" s="26">
        <v>154</v>
      </c>
    </row>
    <row r="33" spans="1:10">
      <c r="A33">
        <v>6</v>
      </c>
      <c r="B33" t="s">
        <v>185</v>
      </c>
      <c r="G33" s="26">
        <v>200</v>
      </c>
    </row>
    <row r="34" spans="1:10">
      <c r="A34">
        <v>7</v>
      </c>
      <c r="B34" t="s">
        <v>186</v>
      </c>
      <c r="G34" s="26">
        <v>40</v>
      </c>
    </row>
    <row r="35" spans="1:10">
      <c r="A35">
        <v>8</v>
      </c>
      <c r="B35" t="s">
        <v>187</v>
      </c>
      <c r="G35" s="26">
        <v>100</v>
      </c>
    </row>
    <row r="36" spans="1:10">
      <c r="A36">
        <v>9</v>
      </c>
      <c r="B36" t="s">
        <v>188</v>
      </c>
      <c r="G36" s="26">
        <v>240</v>
      </c>
    </row>
    <row r="37" spans="1:10">
      <c r="A37">
        <v>10</v>
      </c>
      <c r="B37" t="s">
        <v>189</v>
      </c>
      <c r="G37" s="26">
        <v>14</v>
      </c>
      <c r="H37" t="s">
        <v>199</v>
      </c>
      <c r="J37">
        <v>140</v>
      </c>
    </row>
    <row r="40" spans="1:10">
      <c r="B40" t="s">
        <v>192</v>
      </c>
      <c r="D40" s="12" t="s">
        <v>64</v>
      </c>
      <c r="E40" s="12"/>
      <c r="F40" s="12"/>
      <c r="G40" s="12">
        <v>0.5</v>
      </c>
    </row>
    <row r="42" spans="1:10">
      <c r="B42" t="s">
        <v>193</v>
      </c>
      <c r="D42" s="8" t="s">
        <v>194</v>
      </c>
      <c r="E42" t="s">
        <v>10</v>
      </c>
      <c r="F42" s="11">
        <f>+E12</f>
        <v>450000</v>
      </c>
      <c r="G42" s="8" t="s">
        <v>5</v>
      </c>
      <c r="H42" s="8" t="s">
        <v>196</v>
      </c>
      <c r="I42" s="47" t="s">
        <v>10</v>
      </c>
      <c r="J42">
        <v>0.5</v>
      </c>
    </row>
    <row r="43" spans="1:10">
      <c r="B43">
        <v>2020</v>
      </c>
      <c r="D43" t="s">
        <v>195</v>
      </c>
      <c r="G43" s="2">
        <v>300000</v>
      </c>
    </row>
    <row r="46" spans="1:10">
      <c r="F46" s="21">
        <f>+F42</f>
        <v>450000</v>
      </c>
      <c r="G46" s="22" t="s">
        <v>5</v>
      </c>
      <c r="H46" s="49" t="s">
        <v>196</v>
      </c>
      <c r="I46" s="47" t="s">
        <v>10</v>
      </c>
      <c r="J46" s="48">
        <f>+G43*J42</f>
        <v>150000</v>
      </c>
    </row>
    <row r="48" spans="1:10">
      <c r="H48" s="24" t="s">
        <v>196</v>
      </c>
      <c r="I48" s="12" t="s">
        <v>10</v>
      </c>
      <c r="J48" s="43">
        <v>300000</v>
      </c>
    </row>
  </sheetData>
  <mergeCells count="1">
    <mergeCell ref="B2:K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CF42-CA1C-4C1D-8E1E-4DF40E922F60}">
  <sheetPr>
    <tabColor rgb="FFFF0000"/>
  </sheetPr>
  <dimension ref="B2:K9"/>
  <sheetViews>
    <sheetView zoomScale="120" zoomScaleNormal="120" workbookViewId="0">
      <selection activeCell="B6" sqref="B6"/>
    </sheetView>
  </sheetViews>
  <sheetFormatPr baseColWidth="10" defaultRowHeight="15"/>
  <sheetData>
    <row r="2" spans="2:11">
      <c r="B2" s="96" t="s">
        <v>75</v>
      </c>
      <c r="C2" s="96"/>
      <c r="D2" s="96"/>
      <c r="E2" s="96"/>
      <c r="F2" s="96"/>
      <c r="G2" s="96"/>
      <c r="H2" s="96"/>
      <c r="I2" s="96"/>
      <c r="J2" s="96"/>
      <c r="K2" s="96"/>
    </row>
    <row r="3" spans="2:11">
      <c r="B3" s="96"/>
      <c r="C3" s="96"/>
      <c r="D3" s="96"/>
      <c r="E3" s="96"/>
      <c r="F3" s="96"/>
      <c r="G3" s="96"/>
      <c r="H3" s="96"/>
      <c r="I3" s="96"/>
      <c r="J3" s="96"/>
      <c r="K3" s="96"/>
    </row>
    <row r="4" spans="2:11">
      <c r="B4" s="96"/>
      <c r="C4" s="96"/>
      <c r="D4" s="96"/>
      <c r="E4" s="96"/>
      <c r="F4" s="96"/>
      <c r="G4" s="96"/>
      <c r="H4" s="96"/>
      <c r="I4" s="96"/>
      <c r="J4" s="96"/>
      <c r="K4" s="96"/>
    </row>
    <row r="6" spans="2:11">
      <c r="B6" s="17" t="s">
        <v>77</v>
      </c>
    </row>
    <row r="7" spans="2:11">
      <c r="B7" s="17" t="s">
        <v>76</v>
      </c>
    </row>
    <row r="8" spans="2:11">
      <c r="B8" s="17" t="s">
        <v>78</v>
      </c>
    </row>
    <row r="9" spans="2:11">
      <c r="B9" s="17" t="s">
        <v>79</v>
      </c>
    </row>
  </sheetData>
  <mergeCells count="1">
    <mergeCell ref="B2:K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57779-41A2-4095-937C-437D028C65E8}">
  <sheetPr>
    <tabColor rgb="FFFF0000"/>
  </sheetPr>
  <dimension ref="B2:B7"/>
  <sheetViews>
    <sheetView zoomScale="110" zoomScaleNormal="110" workbookViewId="0">
      <selection activeCell="J11" sqref="J11"/>
    </sheetView>
  </sheetViews>
  <sheetFormatPr baseColWidth="10" defaultRowHeight="15"/>
  <sheetData>
    <row r="2" spans="2:2">
      <c r="B2" s="17" t="s">
        <v>80</v>
      </c>
    </row>
    <row r="4" spans="2:2">
      <c r="B4" s="17" t="s">
        <v>81</v>
      </c>
    </row>
    <row r="5" spans="2:2">
      <c r="B5" s="17" t="s">
        <v>82</v>
      </c>
    </row>
    <row r="6" spans="2:2">
      <c r="B6" s="17" t="s">
        <v>83</v>
      </c>
    </row>
    <row r="7" spans="2:2">
      <c r="B7" s="17" t="s">
        <v>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2620B-5CBF-4CFD-8C39-467DAF4076B7}">
  <sheetPr>
    <tabColor rgb="FFFF0000"/>
  </sheetPr>
  <dimension ref="B2:B7"/>
  <sheetViews>
    <sheetView zoomScale="110" zoomScaleNormal="110" workbookViewId="0">
      <selection activeCell="B6" sqref="B6"/>
    </sheetView>
  </sheetViews>
  <sheetFormatPr baseColWidth="10" defaultRowHeight="15"/>
  <sheetData>
    <row r="2" spans="2:2">
      <c r="B2" s="17" t="s">
        <v>85</v>
      </c>
    </row>
    <row r="4" spans="2:2">
      <c r="B4" s="17" t="s">
        <v>77</v>
      </c>
    </row>
    <row r="5" spans="2:2">
      <c r="B5" s="17" t="s">
        <v>78</v>
      </c>
    </row>
    <row r="6" spans="2:2">
      <c r="B6" s="17" t="s">
        <v>86</v>
      </c>
    </row>
    <row r="7" spans="2:2">
      <c r="B7" s="17" t="s">
        <v>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9B376-D988-4B4B-877F-B524058F7D90}">
  <sheetPr>
    <tabColor rgb="FFFF0000"/>
  </sheetPr>
  <dimension ref="B2:B7"/>
  <sheetViews>
    <sheetView zoomScale="110" zoomScaleNormal="110" workbookViewId="0">
      <selection activeCell="D12" sqref="D12"/>
    </sheetView>
  </sheetViews>
  <sheetFormatPr baseColWidth="10" defaultRowHeight="15"/>
  <sheetData>
    <row r="2" spans="2:2">
      <c r="B2" t="s">
        <v>45</v>
      </c>
    </row>
    <row r="4" spans="2:2">
      <c r="B4" s="16" t="s">
        <v>46</v>
      </c>
    </row>
    <row r="5" spans="2:2">
      <c r="B5" s="16" t="s">
        <v>47</v>
      </c>
    </row>
    <row r="6" spans="2:2">
      <c r="B6" s="16" t="s">
        <v>48</v>
      </c>
    </row>
    <row r="7" spans="2:2">
      <c r="B7" s="16" t="s">
        <v>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09F-141A-4D22-A255-668419165B8B}">
  <sheetPr>
    <tabColor rgb="FFFF0000"/>
  </sheetPr>
  <dimension ref="B3:B8"/>
  <sheetViews>
    <sheetView zoomScale="110" zoomScaleNormal="110" workbookViewId="0">
      <selection activeCell="B4" sqref="B4"/>
    </sheetView>
  </sheetViews>
  <sheetFormatPr baseColWidth="10" defaultRowHeight="15"/>
  <sheetData>
    <row r="3" spans="2:2">
      <c r="B3" t="s">
        <v>177</v>
      </c>
    </row>
    <row r="5" spans="2:2">
      <c r="B5" t="s">
        <v>87</v>
      </c>
    </row>
    <row r="6" spans="2:2">
      <c r="B6" s="17" t="s">
        <v>89</v>
      </c>
    </row>
    <row r="7" spans="2:2">
      <c r="B7" t="s">
        <v>88</v>
      </c>
    </row>
    <row r="8" spans="2:2">
      <c r="B8" s="17" t="s">
        <v>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37E27-0963-43A9-BBE9-621A91D14D71}">
  <sheetPr>
    <tabColor rgb="FFFF0000"/>
  </sheetPr>
  <dimension ref="B2:B7"/>
  <sheetViews>
    <sheetView zoomScale="110" zoomScaleNormal="110" workbookViewId="0">
      <selection activeCell="B7" sqref="B7"/>
    </sheetView>
  </sheetViews>
  <sheetFormatPr baseColWidth="10" defaultRowHeight="15"/>
  <sheetData>
    <row r="2" spans="2:2">
      <c r="B2" s="17" t="s">
        <v>178</v>
      </c>
    </row>
    <row r="4" spans="2:2">
      <c r="B4" s="16" t="s">
        <v>50</v>
      </c>
    </row>
    <row r="5" spans="2:2">
      <c r="B5" s="16" t="s">
        <v>51</v>
      </c>
    </row>
    <row r="6" spans="2:2">
      <c r="B6" s="16" t="s">
        <v>52</v>
      </c>
    </row>
    <row r="7" spans="2:2">
      <c r="B7" s="16"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TF</vt:lpstr>
      <vt:lpstr>1</vt:lpstr>
      <vt:lpstr>2</vt:lpstr>
      <vt:lpstr>3</vt:lpstr>
      <vt:lpstr>4</vt:lpstr>
      <vt:lpstr>5</vt:lpstr>
      <vt:lpstr>6</vt:lpstr>
      <vt:lpstr>7</vt:lpstr>
      <vt:lpstr>8</vt:lpstr>
      <vt:lpstr>9</vt:lpstr>
      <vt:lpstr>10</vt:lpstr>
      <vt:lpstr>11</vt:lpstr>
      <vt:lpstr>12</vt:lpstr>
      <vt:lpstr>TA4 1ERA VERSION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Paola</cp:lastModifiedBy>
  <dcterms:created xsi:type="dcterms:W3CDTF">2022-04-04T15:47:03Z</dcterms:created>
  <dcterms:modified xsi:type="dcterms:W3CDTF">2022-04-12T02:22:08Z</dcterms:modified>
</cp:coreProperties>
</file>