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\Resources\"/>
    </mc:Choice>
  </mc:AlternateContent>
  <xr:revisionPtr revIDLastSave="0" documentId="13_ncr:1_{68329EF0-3FF2-428B-ADD7-9E78DE6D9D51}" xr6:coauthVersionLast="47" xr6:coauthVersionMax="47" xr10:uidLastSave="{00000000-0000-0000-0000-000000000000}"/>
  <bookViews>
    <workbookView xWindow="-120" yWindow="-120" windowWidth="29040" windowHeight="15840" activeTab="1" xr2:uid="{2049D6B4-F134-44AF-8070-D609C6F41BA8}"/>
  </bookViews>
  <sheets>
    <sheet name="Infiltration Calcs" sheetId="3" r:id="rId1"/>
    <sheet name="REEDR Implementation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4" l="1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C43" i="4"/>
  <c r="D34" i="4"/>
  <c r="E34" i="4"/>
  <c r="E41" i="4" s="1"/>
  <c r="F34" i="4"/>
  <c r="F41" i="4" s="1"/>
  <c r="G34" i="4"/>
  <c r="G41" i="4" s="1"/>
  <c r="H34" i="4"/>
  <c r="I34" i="4"/>
  <c r="I41" i="4" s="1"/>
  <c r="J34" i="4"/>
  <c r="J41" i="4" s="1"/>
  <c r="K34" i="4"/>
  <c r="L34" i="4"/>
  <c r="M34" i="4"/>
  <c r="M41" i="4" s="1"/>
  <c r="N34" i="4"/>
  <c r="N41" i="4" s="1"/>
  <c r="O34" i="4"/>
  <c r="O41" i="4" s="1"/>
  <c r="P34" i="4"/>
  <c r="P41" i="4" s="1"/>
  <c r="Q34" i="4"/>
  <c r="Q41" i="4" s="1"/>
  <c r="R34" i="4"/>
  <c r="R41" i="4" s="1"/>
  <c r="S34" i="4"/>
  <c r="S41" i="4" s="1"/>
  <c r="T34" i="4"/>
  <c r="U34" i="4"/>
  <c r="U41" i="4" s="1"/>
  <c r="V34" i="4"/>
  <c r="V41" i="4" s="1"/>
  <c r="C34" i="4"/>
  <c r="C41" i="4" s="1"/>
  <c r="D33" i="4"/>
  <c r="E33" i="4"/>
  <c r="E40" i="4" s="1"/>
  <c r="F33" i="4"/>
  <c r="F40" i="4" s="1"/>
  <c r="G33" i="4"/>
  <c r="G40" i="4" s="1"/>
  <c r="H33" i="4"/>
  <c r="I33" i="4"/>
  <c r="I40" i="4" s="1"/>
  <c r="J33" i="4"/>
  <c r="J40" i="4" s="1"/>
  <c r="K33" i="4"/>
  <c r="L33" i="4"/>
  <c r="M33" i="4"/>
  <c r="M40" i="4" s="1"/>
  <c r="N33" i="4"/>
  <c r="N40" i="4" s="1"/>
  <c r="O33" i="4"/>
  <c r="O40" i="4" s="1"/>
  <c r="P33" i="4"/>
  <c r="P40" i="4" s="1"/>
  <c r="Q33" i="4"/>
  <c r="Q40" i="4" s="1"/>
  <c r="R33" i="4"/>
  <c r="R40" i="4" s="1"/>
  <c r="S33" i="4"/>
  <c r="S40" i="4" s="1"/>
  <c r="T33" i="4"/>
  <c r="U33" i="4"/>
  <c r="U40" i="4" s="1"/>
  <c r="V33" i="4"/>
  <c r="V40" i="4" s="1"/>
  <c r="C33" i="4"/>
  <c r="C40" i="4" s="1"/>
  <c r="D31" i="4"/>
  <c r="E31" i="4"/>
  <c r="E38" i="4" s="1"/>
  <c r="F31" i="4"/>
  <c r="F38" i="4" s="1"/>
  <c r="G31" i="4"/>
  <c r="G38" i="4" s="1"/>
  <c r="H31" i="4"/>
  <c r="I31" i="4"/>
  <c r="I38" i="4" s="1"/>
  <c r="J31" i="4"/>
  <c r="J38" i="4" s="1"/>
  <c r="K31" i="4"/>
  <c r="L31" i="4"/>
  <c r="M31" i="4"/>
  <c r="M38" i="4" s="1"/>
  <c r="N31" i="4"/>
  <c r="N38" i="4" s="1"/>
  <c r="O31" i="4"/>
  <c r="O38" i="4" s="1"/>
  <c r="P31" i="4"/>
  <c r="P38" i="4" s="1"/>
  <c r="Q31" i="4"/>
  <c r="Q38" i="4" s="1"/>
  <c r="R31" i="4"/>
  <c r="R38" i="4" s="1"/>
  <c r="S31" i="4"/>
  <c r="S38" i="4" s="1"/>
  <c r="T31" i="4"/>
  <c r="U31" i="4"/>
  <c r="U38" i="4" s="1"/>
  <c r="V31" i="4"/>
  <c r="V38" i="4" s="1"/>
  <c r="C31" i="4"/>
  <c r="C38" i="4" s="1"/>
  <c r="D30" i="4"/>
  <c r="E30" i="4"/>
  <c r="E37" i="4" s="1"/>
  <c r="E39" i="4" s="1"/>
  <c r="E42" i="4" s="1"/>
  <c r="E44" i="4" s="1"/>
  <c r="F30" i="4"/>
  <c r="F37" i="4" s="1"/>
  <c r="F39" i="4" s="1"/>
  <c r="F42" i="4" s="1"/>
  <c r="F44" i="4" s="1"/>
  <c r="G30" i="4"/>
  <c r="G37" i="4" s="1"/>
  <c r="G39" i="4" s="1"/>
  <c r="G42" i="4" s="1"/>
  <c r="G44" i="4" s="1"/>
  <c r="H30" i="4"/>
  <c r="I30" i="4"/>
  <c r="I37" i="4" s="1"/>
  <c r="I39" i="4" s="1"/>
  <c r="I42" i="4" s="1"/>
  <c r="I44" i="4" s="1"/>
  <c r="J30" i="4"/>
  <c r="J37" i="4" s="1"/>
  <c r="J39" i="4" s="1"/>
  <c r="J42" i="4" s="1"/>
  <c r="J44" i="4" s="1"/>
  <c r="K30" i="4"/>
  <c r="L30" i="4"/>
  <c r="M30" i="4"/>
  <c r="M37" i="4" s="1"/>
  <c r="M39" i="4" s="1"/>
  <c r="M42" i="4" s="1"/>
  <c r="M44" i="4" s="1"/>
  <c r="N30" i="4"/>
  <c r="N37" i="4" s="1"/>
  <c r="N39" i="4" s="1"/>
  <c r="N42" i="4" s="1"/>
  <c r="N44" i="4" s="1"/>
  <c r="O30" i="4"/>
  <c r="O37" i="4" s="1"/>
  <c r="O39" i="4" s="1"/>
  <c r="O42" i="4" s="1"/>
  <c r="O44" i="4" s="1"/>
  <c r="P30" i="4"/>
  <c r="P37" i="4" s="1"/>
  <c r="P39" i="4" s="1"/>
  <c r="P42" i="4" s="1"/>
  <c r="P44" i="4" s="1"/>
  <c r="Q30" i="4"/>
  <c r="Q37" i="4" s="1"/>
  <c r="Q39" i="4" s="1"/>
  <c r="Q42" i="4" s="1"/>
  <c r="Q44" i="4" s="1"/>
  <c r="R30" i="4"/>
  <c r="R37" i="4" s="1"/>
  <c r="R39" i="4" s="1"/>
  <c r="R42" i="4" s="1"/>
  <c r="R44" i="4" s="1"/>
  <c r="S30" i="4"/>
  <c r="S37" i="4" s="1"/>
  <c r="S39" i="4" s="1"/>
  <c r="S42" i="4" s="1"/>
  <c r="S44" i="4" s="1"/>
  <c r="T30" i="4"/>
  <c r="U30" i="4"/>
  <c r="U37" i="4" s="1"/>
  <c r="U39" i="4" s="1"/>
  <c r="U42" i="4" s="1"/>
  <c r="U44" i="4" s="1"/>
  <c r="V30" i="4"/>
  <c r="V37" i="4" s="1"/>
  <c r="V39" i="4" s="1"/>
  <c r="V42" i="4" s="1"/>
  <c r="V44" i="4" s="1"/>
  <c r="C30" i="4"/>
  <c r="C37" i="4" s="1"/>
  <c r="C39" i="4" s="1"/>
  <c r="C42" i="4" s="1"/>
  <c r="C44" i="4" s="1"/>
  <c r="D25" i="4"/>
  <c r="D26" i="4" s="1"/>
  <c r="E25" i="4"/>
  <c r="E26" i="4" s="1"/>
  <c r="F25" i="4"/>
  <c r="F26" i="4" s="1"/>
  <c r="G25" i="4"/>
  <c r="G26" i="4" s="1"/>
  <c r="H25" i="4"/>
  <c r="H26" i="4" s="1"/>
  <c r="I25" i="4"/>
  <c r="I26" i="4" s="1"/>
  <c r="J25" i="4"/>
  <c r="J26" i="4" s="1"/>
  <c r="K25" i="4"/>
  <c r="K26" i="4" s="1"/>
  <c r="L25" i="4"/>
  <c r="L26" i="4" s="1"/>
  <c r="M25" i="4"/>
  <c r="M26" i="4" s="1"/>
  <c r="N25" i="4"/>
  <c r="N26" i="4" s="1"/>
  <c r="O25" i="4"/>
  <c r="O26" i="4" s="1"/>
  <c r="P25" i="4"/>
  <c r="P26" i="4" s="1"/>
  <c r="Q25" i="4"/>
  <c r="Q26" i="4" s="1"/>
  <c r="R25" i="4"/>
  <c r="R26" i="4" s="1"/>
  <c r="S25" i="4"/>
  <c r="S26" i="4" s="1"/>
  <c r="T25" i="4"/>
  <c r="T26" i="4" s="1"/>
  <c r="U25" i="4"/>
  <c r="U26" i="4" s="1"/>
  <c r="V25" i="4"/>
  <c r="V26" i="4" s="1"/>
  <c r="C25" i="4"/>
  <c r="C26" i="4" s="1"/>
  <c r="D24" i="4"/>
  <c r="D28" i="4" s="1"/>
  <c r="E24" i="4"/>
  <c r="E28" i="4" s="1"/>
  <c r="F24" i="4"/>
  <c r="G24" i="4"/>
  <c r="G27" i="4" s="1"/>
  <c r="H24" i="4"/>
  <c r="H28" i="4" s="1"/>
  <c r="I24" i="4"/>
  <c r="I28" i="4" s="1"/>
  <c r="J24" i="4"/>
  <c r="J28" i="4" s="1"/>
  <c r="K24" i="4"/>
  <c r="K28" i="4" s="1"/>
  <c r="L24" i="4"/>
  <c r="L28" i="4" s="1"/>
  <c r="M24" i="4"/>
  <c r="M28" i="4" s="1"/>
  <c r="N24" i="4"/>
  <c r="N28" i="4" s="1"/>
  <c r="O24" i="4"/>
  <c r="O27" i="4" s="1"/>
  <c r="P24" i="4"/>
  <c r="P28" i="4" s="1"/>
  <c r="Q24" i="4"/>
  <c r="Q28" i="4" s="1"/>
  <c r="R24" i="4"/>
  <c r="R28" i="4" s="1"/>
  <c r="S24" i="4"/>
  <c r="S28" i="4" s="1"/>
  <c r="T24" i="4"/>
  <c r="T28" i="4" s="1"/>
  <c r="U24" i="4"/>
  <c r="U28" i="4" s="1"/>
  <c r="V24" i="4"/>
  <c r="V28" i="4" s="1"/>
  <c r="C24" i="4"/>
  <c r="C19" i="3"/>
  <c r="P20" i="4"/>
  <c r="P21" i="4" s="1"/>
  <c r="P22" i="4" s="1"/>
  <c r="P23" i="4" s="1"/>
  <c r="U20" i="4"/>
  <c r="U21" i="4" s="1"/>
  <c r="U22" i="4" s="1"/>
  <c r="U23" i="4" s="1"/>
  <c r="D3" i="4"/>
  <c r="D4" i="4"/>
  <c r="D5" i="4"/>
  <c r="D2" i="4"/>
  <c r="D18" i="4"/>
  <c r="D19" i="4" s="1"/>
  <c r="E18" i="4"/>
  <c r="E19" i="4" s="1"/>
  <c r="E20" i="4" s="1"/>
  <c r="E21" i="4" s="1"/>
  <c r="E22" i="4" s="1"/>
  <c r="F18" i="4"/>
  <c r="F19" i="4" s="1"/>
  <c r="F20" i="4" s="1"/>
  <c r="F21" i="4" s="1"/>
  <c r="F22" i="4" s="1"/>
  <c r="F23" i="4" s="1"/>
  <c r="G18" i="4"/>
  <c r="G19" i="4" s="1"/>
  <c r="G20" i="4" s="1"/>
  <c r="G21" i="4" s="1"/>
  <c r="G22" i="4" s="1"/>
  <c r="H18" i="4"/>
  <c r="H19" i="4" s="1"/>
  <c r="I18" i="4"/>
  <c r="I19" i="4" s="1"/>
  <c r="I20" i="4" s="1"/>
  <c r="I21" i="4" s="1"/>
  <c r="I22" i="4" s="1"/>
  <c r="J18" i="4"/>
  <c r="J19" i="4" s="1"/>
  <c r="J20" i="4" s="1"/>
  <c r="J21" i="4" s="1"/>
  <c r="J22" i="4" s="1"/>
  <c r="J23" i="4" s="1"/>
  <c r="K18" i="4"/>
  <c r="K19" i="4" s="1"/>
  <c r="K20" i="4" s="1"/>
  <c r="K21" i="4" s="1"/>
  <c r="K22" i="4" s="1"/>
  <c r="K23" i="4" s="1"/>
  <c r="L18" i="4"/>
  <c r="L19" i="4" s="1"/>
  <c r="M18" i="4"/>
  <c r="M19" i="4" s="1"/>
  <c r="M20" i="4" s="1"/>
  <c r="M21" i="4" s="1"/>
  <c r="M22" i="4" s="1"/>
  <c r="N18" i="4"/>
  <c r="N19" i="4" s="1"/>
  <c r="N20" i="4" s="1"/>
  <c r="N21" i="4" s="1"/>
  <c r="N22" i="4" s="1"/>
  <c r="N23" i="4" s="1"/>
  <c r="O18" i="4"/>
  <c r="O19" i="4" s="1"/>
  <c r="O20" i="4" s="1"/>
  <c r="O21" i="4" s="1"/>
  <c r="O22" i="4" s="1"/>
  <c r="O23" i="4" s="1"/>
  <c r="P18" i="4"/>
  <c r="P19" i="4" s="1"/>
  <c r="Q18" i="4"/>
  <c r="Q19" i="4" s="1"/>
  <c r="Q20" i="4" s="1"/>
  <c r="Q21" i="4" s="1"/>
  <c r="Q22" i="4" s="1"/>
  <c r="R18" i="4"/>
  <c r="R19" i="4" s="1"/>
  <c r="R20" i="4" s="1"/>
  <c r="R21" i="4" s="1"/>
  <c r="R22" i="4" s="1"/>
  <c r="R23" i="4" s="1"/>
  <c r="S18" i="4"/>
  <c r="S19" i="4" s="1"/>
  <c r="S20" i="4" s="1"/>
  <c r="S21" i="4" s="1"/>
  <c r="S22" i="4" s="1"/>
  <c r="S23" i="4" s="1"/>
  <c r="T18" i="4"/>
  <c r="T19" i="4" s="1"/>
  <c r="U18" i="4"/>
  <c r="U19" i="4" s="1"/>
  <c r="V18" i="4"/>
  <c r="V19" i="4" s="1"/>
  <c r="V20" i="4" s="1"/>
  <c r="V21" i="4" s="1"/>
  <c r="V22" i="4" s="1"/>
  <c r="V23" i="4" s="1"/>
  <c r="C18" i="4"/>
  <c r="C19" i="4" s="1"/>
  <c r="C20" i="4" s="1"/>
  <c r="C21" i="4" s="1"/>
  <c r="C22" i="4" s="1"/>
  <c r="C23" i="4" s="1"/>
  <c r="K37" i="4" l="1"/>
  <c r="K38" i="4"/>
  <c r="K40" i="4"/>
  <c r="K41" i="4"/>
  <c r="D37" i="4"/>
  <c r="C27" i="4"/>
  <c r="C32" i="4"/>
  <c r="C35" i="4" s="1"/>
  <c r="S32" i="4"/>
  <c r="S35" i="4" s="1"/>
  <c r="O32" i="4"/>
  <c r="O35" i="4" s="1"/>
  <c r="K32" i="4"/>
  <c r="K35" i="4" s="1"/>
  <c r="G32" i="4"/>
  <c r="G35" i="4" s="1"/>
  <c r="V32" i="4"/>
  <c r="V35" i="4" s="1"/>
  <c r="R32" i="4"/>
  <c r="R35" i="4" s="1"/>
  <c r="N32" i="4"/>
  <c r="N35" i="4" s="1"/>
  <c r="J32" i="4"/>
  <c r="J35" i="4" s="1"/>
  <c r="F32" i="4"/>
  <c r="F35" i="4" s="1"/>
  <c r="F28" i="4"/>
  <c r="E23" i="4"/>
  <c r="U32" i="4"/>
  <c r="U35" i="4" s="1"/>
  <c r="Q32" i="4"/>
  <c r="Q35" i="4" s="1"/>
  <c r="M32" i="4"/>
  <c r="M35" i="4" s="1"/>
  <c r="I32" i="4"/>
  <c r="I35" i="4" s="1"/>
  <c r="E32" i="4"/>
  <c r="E35" i="4" s="1"/>
  <c r="M23" i="4"/>
  <c r="I23" i="4"/>
  <c r="T20" i="4"/>
  <c r="T21" i="4" s="1"/>
  <c r="T22" i="4" s="1"/>
  <c r="T23" i="4" s="1"/>
  <c r="L20" i="4"/>
  <c r="L21" i="4" s="1"/>
  <c r="L22" i="4" s="1"/>
  <c r="L23" i="4" s="1"/>
  <c r="H20" i="4"/>
  <c r="H21" i="4" s="1"/>
  <c r="H22" i="4" s="1"/>
  <c r="H23" i="4" s="1"/>
  <c r="D20" i="4"/>
  <c r="D21" i="4" s="1"/>
  <c r="D22" i="4" s="1"/>
  <c r="D23" i="4" s="1"/>
  <c r="T32" i="4"/>
  <c r="T35" i="4" s="1"/>
  <c r="P32" i="4"/>
  <c r="P35" i="4" s="1"/>
  <c r="L32" i="4"/>
  <c r="L35" i="4" s="1"/>
  <c r="H32" i="4"/>
  <c r="H35" i="4" s="1"/>
  <c r="D32" i="4"/>
  <c r="D35" i="4" s="1"/>
  <c r="S27" i="4"/>
  <c r="K27" i="4"/>
  <c r="C28" i="4"/>
  <c r="O28" i="4"/>
  <c r="G28" i="4"/>
  <c r="Q23" i="4"/>
  <c r="V27" i="4"/>
  <c r="R27" i="4"/>
  <c r="N27" i="4"/>
  <c r="J27" i="4"/>
  <c r="F27" i="4"/>
  <c r="U27" i="4"/>
  <c r="Q27" i="4"/>
  <c r="M27" i="4"/>
  <c r="I27" i="4"/>
  <c r="E27" i="4"/>
  <c r="G23" i="4"/>
  <c r="T27" i="4"/>
  <c r="P27" i="4"/>
  <c r="L27" i="4"/>
  <c r="H27" i="4"/>
  <c r="D27" i="4"/>
  <c r="L41" i="4" l="1"/>
  <c r="L40" i="4"/>
  <c r="L38" i="4"/>
  <c r="L37" i="4"/>
  <c r="D41" i="4"/>
  <c r="D40" i="4"/>
  <c r="D38" i="4"/>
  <c r="D39" i="4" s="1"/>
  <c r="D42" i="4" s="1"/>
  <c r="D44" i="4" s="1"/>
  <c r="H41" i="4"/>
  <c r="H40" i="4"/>
  <c r="H38" i="4"/>
  <c r="H37" i="4"/>
  <c r="H39" i="4" s="1"/>
  <c r="H42" i="4" s="1"/>
  <c r="H44" i="4" s="1"/>
  <c r="T41" i="4"/>
  <c r="T40" i="4"/>
  <c r="T38" i="4"/>
  <c r="T37" i="4"/>
  <c r="T39" i="4" s="1"/>
  <c r="T42" i="4" s="1"/>
  <c r="T44" i="4" s="1"/>
  <c r="K39" i="4"/>
  <c r="K42" i="4" s="1"/>
  <c r="K44" i="4" s="1"/>
  <c r="D8" i="3"/>
  <c r="D9" i="3" s="1"/>
  <c r="E8" i="3"/>
  <c r="C8" i="3"/>
  <c r="C9" i="3" s="1"/>
  <c r="E11" i="3"/>
  <c r="D11" i="3"/>
  <c r="C11" i="3"/>
  <c r="E10" i="3"/>
  <c r="D10" i="3"/>
  <c r="C10" i="3"/>
  <c r="E9" i="3"/>
  <c r="E3" i="3"/>
  <c r="D3" i="3"/>
  <c r="C3" i="3"/>
  <c r="L39" i="4" l="1"/>
  <c r="L42" i="4" s="1"/>
  <c r="L44" i="4" s="1"/>
  <c r="D12" i="3"/>
  <c r="D14" i="3" s="1"/>
  <c r="C12" i="3"/>
  <c r="C13" i="3" s="1"/>
  <c r="E12" i="3"/>
  <c r="D13" i="3"/>
  <c r="D15" i="3"/>
  <c r="D16" i="3"/>
  <c r="C14" i="3" l="1"/>
  <c r="C16" i="3" s="1"/>
  <c r="D18" i="3"/>
  <c r="D19" i="3" s="1"/>
  <c r="D20" i="3" s="1"/>
  <c r="C18" i="3"/>
  <c r="C20" i="3" s="1"/>
  <c r="E14" i="3"/>
  <c r="E13" i="3"/>
  <c r="C15" i="3"/>
  <c r="E18" i="3" l="1"/>
  <c r="E19" i="3" s="1"/>
  <c r="E20" i="3" s="1"/>
  <c r="E16" i="3"/>
  <c r="E15" i="3"/>
</calcChain>
</file>

<file path=xl/sharedStrings.xml><?xml version="1.0" encoding="utf-8"?>
<sst xmlns="http://schemas.openxmlformats.org/spreadsheetml/2006/main" count="105" uniqueCount="73">
  <si>
    <t>1 l/s =</t>
  </si>
  <si>
    <t>cfm</t>
  </si>
  <si>
    <t>ach50</t>
  </si>
  <si>
    <t>ACH50 = CFM50 x 60/ Building Volume (cubic feet)</t>
  </si>
  <si>
    <r>
      <t>Volume 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</si>
  <si>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achn@N=20</t>
  </si>
  <si>
    <t>achn@N=15</t>
  </si>
  <si>
    <t>pressure exponent</t>
  </si>
  <si>
    <t>n</t>
  </si>
  <si>
    <r>
      <t>n</t>
    </r>
    <r>
      <rPr>
        <sz val="11"/>
        <color theme="1"/>
        <rFont val="Calibri"/>
        <family val="2"/>
        <scheme val="minor"/>
      </rPr>
      <t xml:space="preserve"> (0.5 to 1)</t>
    </r>
  </si>
  <si>
    <r>
      <t>Leaking Envelope Area (ft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</si>
  <si>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Q/m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@75 </t>
    </r>
    <r>
      <rPr>
        <sz val="11"/>
        <color theme="1"/>
        <rFont val="Calibri"/>
        <family val="2"/>
        <scheme val="minor"/>
      </rPr>
      <t>(L/sm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@75)</t>
    </r>
  </si>
  <si>
    <r>
      <rPr>
        <b/>
        <sz val="11"/>
        <color theme="1"/>
        <rFont val="Calibri"/>
        <family val="2"/>
        <scheme val="minor"/>
      </rPr>
      <t>Q/ft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@75</t>
    </r>
    <r>
      <rPr>
        <sz val="11"/>
        <color theme="1"/>
        <rFont val="Calibri"/>
        <family val="2"/>
        <scheme val="minor"/>
      </rPr>
      <t xml:space="preserve"> (cfm/ft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@75)</t>
    </r>
  </si>
  <si>
    <r>
      <rPr>
        <b/>
        <sz val="11"/>
        <color theme="1"/>
        <rFont val="Calibri"/>
        <family val="2"/>
        <scheme val="minor"/>
      </rPr>
      <t>Q/m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@50</t>
    </r>
    <r>
      <rPr>
        <sz val="11"/>
        <color theme="1"/>
        <rFont val="Calibri"/>
        <family val="2"/>
        <scheme val="minor"/>
      </rPr>
      <t xml:space="preserve"> (L/sm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@50)</t>
    </r>
  </si>
  <si>
    <r>
      <rPr>
        <b/>
        <sz val="11"/>
        <color theme="1"/>
        <rFont val="Calibri"/>
        <family val="2"/>
        <scheme val="minor"/>
      </rPr>
      <t>Q/ft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@50</t>
    </r>
    <r>
      <rPr>
        <sz val="11"/>
        <color theme="1"/>
        <rFont val="Calibri"/>
        <family val="2"/>
        <scheme val="minor"/>
      </rPr>
      <t xml:space="preserve"> (cfm/ft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@50)</t>
    </r>
  </si>
  <si>
    <r>
      <t>1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</si>
  <si>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ft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</si>
  <si>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1 cfm = 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</si>
  <si>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</si>
  <si>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airflow</t>
  </si>
  <si>
    <t>airflow per area</t>
  </si>
  <si>
    <t>effective leakage area</t>
  </si>
  <si>
    <t>density of air at sea level, 20°C</t>
  </si>
  <si>
    <r>
      <rPr>
        <b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 xml:space="preserve"> (air, 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</si>
  <si>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ELA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@ 4 Pa</t>
    </r>
  </si>
  <si>
    <t>https://unmethours.com/question/11481/difference-of-n50-and-infiltration-rate/</t>
  </si>
  <si>
    <t>https://en.wikipedia.org/wiki/Blower_door#Power_law_model_of_airflow</t>
  </si>
  <si>
    <t>https://www.sciencedirect.com/topics/engineering/effective-leakage-area</t>
  </si>
  <si>
    <t>Owens Corning. "05_Air leakage to models_Karagiozis.pdf"</t>
  </si>
  <si>
    <r>
      <rPr>
        <b/>
        <sz val="11"/>
        <color theme="1"/>
        <rFont val="Calibri"/>
        <family val="2"/>
        <scheme val="minor"/>
      </rPr>
      <t>ELA</t>
    </r>
    <r>
      <rPr>
        <sz val="11"/>
        <color theme="1"/>
        <rFont val="Calibri"/>
        <family val="2"/>
        <scheme val="minor"/>
      </rPr>
      <t xml:space="preserve"> 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@ 4 Pa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</si>
  <si>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</si>
  <si>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Q@50</t>
    </r>
    <r>
      <rPr>
        <sz val="11"/>
        <color theme="1"/>
        <rFont val="Calibri"/>
        <family val="2"/>
        <scheme val="minor"/>
      </rPr>
      <t xml:space="preserve"> (cfm@50)</t>
    </r>
  </si>
  <si>
    <r>
      <rPr>
        <b/>
        <sz val="11"/>
        <color theme="1"/>
        <rFont val="Calibri"/>
        <family val="2"/>
        <scheme val="minor"/>
      </rPr>
      <t>Q@50</t>
    </r>
    <r>
      <rPr>
        <sz val="11"/>
        <color theme="1"/>
        <rFont val="Calibri"/>
        <family val="2"/>
        <scheme val="minor"/>
      </rPr>
      <t xml:space="preserve"> (m3/s)</t>
    </r>
  </si>
  <si>
    <r>
      <rPr>
        <b/>
        <sz val="11"/>
        <color theme="1"/>
        <rFont val="Calibri"/>
        <family val="2"/>
        <scheme val="minor"/>
      </rPr>
      <t>Q@4</t>
    </r>
    <r>
      <rPr>
        <sz val="11"/>
        <color theme="1"/>
        <rFont val="Calibri"/>
        <family val="2"/>
        <scheme val="minor"/>
      </rPr>
      <t xml:space="preserve"> (m3/s)</t>
    </r>
  </si>
  <si>
    <t>https://en.wikipedia.org/wiki/Blower_door</t>
  </si>
  <si>
    <t>Conditioned Footprint Area [ft^2]</t>
  </si>
  <si>
    <t>Average Number of Stories Above Foundation</t>
  </si>
  <si>
    <t>Average Ceiling Height Per Story [ft]</t>
  </si>
  <si>
    <t>Building Width to Depth Ratio</t>
  </si>
  <si>
    <t>Foundation Type</t>
  </si>
  <si>
    <t>Conditioned Envelope Infiltration [ACH50]</t>
  </si>
  <si>
    <t>Vented Crawlspace</t>
  </si>
  <si>
    <t>Inputs</t>
  </si>
  <si>
    <t>Calculations</t>
  </si>
  <si>
    <t>Slab</t>
  </si>
  <si>
    <t>Unheated Basement</t>
  </si>
  <si>
    <t>Heated Basement</t>
  </si>
  <si>
    <t>Basement Height [ft]</t>
  </si>
  <si>
    <t>Conditioned Volume [ft^3]</t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</si>
  <si>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, CFM @ 50 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</si>
  <si>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 @ 50 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</si>
  <si>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 @ 4 Pa</t>
    </r>
  </si>
  <si>
    <r>
      <rPr>
        <b/>
        <sz val="11"/>
        <color theme="1"/>
        <rFont val="Calibri"/>
        <family val="2"/>
        <scheme val="minor"/>
      </rPr>
      <t>ELA (total)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@ 4 Pa</t>
    </r>
  </si>
  <si>
    <r>
      <rPr>
        <b/>
        <sz val="11"/>
        <color theme="1"/>
        <rFont val="Calibri"/>
        <family val="2"/>
        <scheme val="minor"/>
      </rPr>
      <t>ELA (total)</t>
    </r>
    <r>
      <rPr>
        <sz val="11"/>
        <color theme="1"/>
        <rFont val="Calibri"/>
        <family val="2"/>
        <scheme val="minor"/>
      </rPr>
      <t>, 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@ 4 Pa</t>
    </r>
  </si>
  <si>
    <t>Estimated ACHn, ACH50/20</t>
  </si>
  <si>
    <t>LBL Corrected Factor, N</t>
  </si>
  <si>
    <t>Estimated ACHn, ACH50/N</t>
  </si>
  <si>
    <t>ACHn est. high</t>
  </si>
  <si>
    <t>ACHn est. low</t>
  </si>
  <si>
    <r>
      <t>ELA, ZoneLeak_FrontBackWall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</si>
  <si>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ELA, ZoneLeak_LeftRightWall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</si>
  <si>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ELA, ZoneLeak_Ceiling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</si>
  <si>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ELA, ZoneLeak_Floor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</si>
  <si>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ZoneLeak_FrontBackWall (%)</t>
  </si>
  <si>
    <t>ZoneLeak_LeftRightWall (%)</t>
  </si>
  <si>
    <t>ZoneLeak_Ceiling (%)</t>
  </si>
  <si>
    <t>ZoneLeak_Floor (%)</t>
  </si>
  <si>
    <t>ZoneLeak_TotalWall (%)</t>
  </si>
  <si>
    <t>ZoneLeak_Total (%)</t>
  </si>
  <si>
    <r>
      <t>ZoneLeak_TotalWall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</si>
  <si>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ELA, ZoneLeak_Total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</si>
  <si>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QC_Check</t>
  </si>
  <si>
    <r>
      <t>ELA, ZoneLeak_Total 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</si>
</sst>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8" formatCode="0.0000"/>
    <numFmt numFmtId="169" formatCode="0.000"/>
    <numFmt numFmtId="171" formatCode="_(* #,##0_);_(* \(#,##0\);_(* &quot;-&quot;??_);_(@_)"/>
    <numFmt numFmtId="174" formatCode="0.0"/>
    <numFmt numFmtId="177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2"/>
    </xf>
    <xf numFmtId="171" fontId="0" fillId="0" borderId="0" xfId="1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177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1" applyNumberFormat="1" applyFont="1" applyFill="1" applyAlignment="1">
      <alignment horizontal="center"/>
    </xf>
    <xf numFmtId="0" fontId="0" fillId="0" borderId="0" xfId="0" applyFont="1"/>
    <xf numFmtId="0" fontId="5" fillId="0" borderId="0" xfId="0" applyFont="1"/>
    <xf numFmtId="0" fontId="0" fillId="3" borderId="0" xfId="0" applyFill="1" applyAlignment="1">
      <alignment horizontal="center"/>
    </xf>
    <xf numFmtId="168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9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0" fillId="3" borderId="0" xfId="2" applyFont="1" applyFill="1" applyAlignment="1">
      <alignment horizontal="center"/>
    </xf>
    <xf numFmtId="9" fontId="0" fillId="3" borderId="0" xfId="0" applyNumberFormat="1" applyFill="1" applyAlignment="1">
      <alignment horizontal="center"/>
    </xf>
    <xf numFmtId="174" fontId="0" fillId="3" borderId="0" xfId="1" applyNumberFormat="1" applyFont="1" applyFill="1" applyAlignment="1">
      <alignment horizontal="center"/>
    </xf>
    <xf numFmtId="169" fontId="0" fillId="4" borderId="0" xfId="0" applyNumberForma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1</xdr:row>
      <xdr:rowOff>0</xdr:rowOff>
    </xdr:from>
    <xdr:to>
      <xdr:col>25</xdr:col>
      <xdr:colOff>371476</xdr:colOff>
      <xdr:row>12</xdr:row>
      <xdr:rowOff>46572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E9FEF-D70F-47F3-B769-3546E2189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1" y="190500"/>
          <a:ext cx="6724650" cy="237067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57150</xdr:rowOff>
    </xdr:from>
    <xdr:to>
      <xdr:col>25</xdr:col>
      <xdr:colOff>580158</xdr:colOff>
      <xdr:row>27</xdr:row>
      <xdr:rowOff>161615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6341BF-F162-4710-AB08-D1AAC117A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3114675"/>
          <a:ext cx="6933333" cy="24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27</xdr:col>
      <xdr:colOff>218101</xdr:colOff>
      <xdr:row>35</xdr:row>
      <xdr:rowOff>180833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316D7D-A93E-CF30-7177-DE8B7C618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58325" y="6029325"/>
          <a:ext cx="7790476" cy="11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50</xdr:row>
      <xdr:rowOff>19050</xdr:rowOff>
    </xdr:from>
    <xdr:to>
      <xdr:col>29</xdr:col>
      <xdr:colOff>608425</xdr:colOff>
      <xdr:row>53</xdr:row>
      <xdr:rowOff>190407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0C6232-2C40-8955-C96D-59C8186E3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58325" y="7324725"/>
          <a:ext cx="9400000" cy="7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24</xdr:col>
      <xdr:colOff>208806</xdr:colOff>
      <xdr:row>47</xdr:row>
      <xdr:rowOff>95024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7BB4BC-7E6B-13EE-E7E9-C63EB5DBB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58325" y="7553325"/>
          <a:ext cx="5952381" cy="1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</xdr:row>
      <xdr:rowOff>28576</xdr:rowOff>
    </xdr:from>
    <xdr:to>
      <xdr:col>11</xdr:col>
      <xdr:colOff>257175</xdr:colOff>
      <xdr:row>4</xdr:row>
      <xdr:rowOff>125197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A8CCEB-DCB0-473B-96D1-7F0608D594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2980"/>
        <a:stretch/>
      </xdr:blipFill>
      <xdr:spPr>
        <a:xfrm>
          <a:off x="12954000" y="219076"/>
          <a:ext cx="1400175" cy="7538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itories\REEDR\Model%20Input%20Template.xlsx" TargetMode="External"/><Relationship Id="rId1" Type="http://schemas.openxmlformats.org/officeDocument/2006/relationships/externalLinkPath" Target="/Repositories/REEDR/Model%20Inpu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Input_Data_Dictionary"/>
      <sheetName val="Model_Inputs"/>
      <sheetName val="Model_Inputs (2)"/>
      <sheetName val="Model Input Maker"/>
      <sheetName val="REEDR inputs"/>
      <sheetName val="SEEM_inputs"/>
      <sheetName val="Lookups for SEEM Comparison"/>
      <sheetName val="Test Runs"/>
      <sheetName val="Htg_StPt_Sch_EZ"/>
      <sheetName val="Clg_StPt_Sch_EZ"/>
      <sheetName val="DHW_StPt_Sch_EZ"/>
      <sheetName val="Misc_Elec_Gains_Sch_EZ"/>
      <sheetName val="Misc_Gas_Gains_Sch_EZ"/>
      <sheetName val="Schedules_8760"/>
      <sheetName val="Drop_Down_Lists"/>
      <sheetName val="Infiltration Reference"/>
      <sheetName val="Wall Insulation Reference"/>
      <sheetName val="Wall Insulation Reference (2)"/>
      <sheetName val="Wall Insulation Reference (3)"/>
      <sheetName val="Wall Insulation Reference (4)"/>
      <sheetName val="Ceil Insulation Reference"/>
      <sheetName val="Ceil Insulation Reference ( (3)"/>
      <sheetName val="Ceil Insulation Reference ( (4)"/>
      <sheetName val="Ceil Insulation Reference ( (5)"/>
      <sheetName val="Ceil Insulation Reference (2)"/>
      <sheetName val="Ceil Insulation Reference (3)"/>
      <sheetName val="Ceil Insulation Reference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N3" t="str">
            <v>15-1</v>
          </cell>
          <cell r="O3">
            <v>1</v>
          </cell>
          <cell r="P3">
            <v>1</v>
          </cell>
          <cell r="Q3">
            <v>0.7</v>
          </cell>
          <cell r="R3">
            <v>15.049999999999999</v>
          </cell>
        </row>
        <row r="4">
          <cell r="N4" t="str">
            <v>15-2</v>
          </cell>
          <cell r="O4">
            <v>0.8</v>
          </cell>
          <cell r="P4">
            <v>1</v>
          </cell>
          <cell r="Q4">
            <v>0.7</v>
          </cell>
          <cell r="R4">
            <v>12.04</v>
          </cell>
        </row>
        <row r="5">
          <cell r="N5" t="str">
            <v>15-3</v>
          </cell>
          <cell r="O5">
            <v>0.7</v>
          </cell>
          <cell r="P5">
            <v>1</v>
          </cell>
          <cell r="Q5">
            <v>0.7</v>
          </cell>
          <cell r="R5">
            <v>10.534999999999998</v>
          </cell>
        </row>
        <row r="6">
          <cell r="N6" t="str">
            <v>14-1</v>
          </cell>
          <cell r="O6">
            <v>1</v>
          </cell>
          <cell r="P6">
            <v>1</v>
          </cell>
          <cell r="Q6">
            <v>0.7</v>
          </cell>
          <cell r="R6">
            <v>15.049999999999999</v>
          </cell>
        </row>
        <row r="7">
          <cell r="N7" t="str">
            <v>14-2</v>
          </cell>
          <cell r="O7">
            <v>0.8</v>
          </cell>
          <cell r="P7">
            <v>1</v>
          </cell>
          <cell r="Q7">
            <v>0.7</v>
          </cell>
          <cell r="R7">
            <v>12.04</v>
          </cell>
        </row>
        <row r="8">
          <cell r="N8" t="str">
            <v>14-3</v>
          </cell>
          <cell r="O8">
            <v>0.7</v>
          </cell>
          <cell r="P8">
            <v>1</v>
          </cell>
          <cell r="Q8">
            <v>0.7</v>
          </cell>
          <cell r="R8">
            <v>10.534999999999998</v>
          </cell>
        </row>
        <row r="9">
          <cell r="N9" t="str">
            <v>13-1</v>
          </cell>
          <cell r="O9">
            <v>1</v>
          </cell>
          <cell r="P9">
            <v>1</v>
          </cell>
          <cell r="Q9">
            <v>0.7</v>
          </cell>
          <cell r="R9">
            <v>15.049999999999999</v>
          </cell>
        </row>
        <row r="10">
          <cell r="N10" t="str">
            <v>13-2</v>
          </cell>
          <cell r="O10">
            <v>0.8</v>
          </cell>
          <cell r="P10">
            <v>1</v>
          </cell>
          <cell r="Q10">
            <v>0.7</v>
          </cell>
          <cell r="R10">
            <v>12.04</v>
          </cell>
        </row>
        <row r="11">
          <cell r="N11" t="str">
            <v>13-3</v>
          </cell>
          <cell r="O11">
            <v>0.7</v>
          </cell>
          <cell r="P11">
            <v>1</v>
          </cell>
          <cell r="Q11">
            <v>0.7</v>
          </cell>
          <cell r="R11">
            <v>10.534999999999998</v>
          </cell>
        </row>
        <row r="12">
          <cell r="N12" t="str">
            <v>12-1</v>
          </cell>
          <cell r="O12">
            <v>1</v>
          </cell>
          <cell r="P12">
            <v>1</v>
          </cell>
          <cell r="Q12">
            <v>0.7</v>
          </cell>
          <cell r="R12">
            <v>15.049999999999999</v>
          </cell>
        </row>
        <row r="13">
          <cell r="N13" t="str">
            <v>12-2</v>
          </cell>
          <cell r="O13">
            <v>0.8</v>
          </cell>
          <cell r="P13">
            <v>1</v>
          </cell>
          <cell r="Q13">
            <v>0.7</v>
          </cell>
          <cell r="R13">
            <v>12.04</v>
          </cell>
        </row>
        <row r="14">
          <cell r="N14" t="str">
            <v>12-3</v>
          </cell>
          <cell r="O14">
            <v>0.7</v>
          </cell>
          <cell r="P14">
            <v>1</v>
          </cell>
          <cell r="Q14">
            <v>0.7</v>
          </cell>
          <cell r="R14">
            <v>10.534999999999998</v>
          </cell>
        </row>
        <row r="15">
          <cell r="N15" t="str">
            <v>11-1</v>
          </cell>
          <cell r="O15">
            <v>1</v>
          </cell>
          <cell r="P15">
            <v>1</v>
          </cell>
          <cell r="Q15">
            <v>0.7</v>
          </cell>
          <cell r="R15">
            <v>15.049999999999999</v>
          </cell>
        </row>
        <row r="16">
          <cell r="N16" t="str">
            <v>11-2</v>
          </cell>
          <cell r="O16">
            <v>0.8</v>
          </cell>
          <cell r="P16">
            <v>1</v>
          </cell>
          <cell r="Q16">
            <v>0.7</v>
          </cell>
          <cell r="R16">
            <v>12.04</v>
          </cell>
        </row>
        <row r="17">
          <cell r="N17" t="str">
            <v>11-3</v>
          </cell>
          <cell r="O17">
            <v>0.7</v>
          </cell>
          <cell r="P17">
            <v>1</v>
          </cell>
          <cell r="Q17">
            <v>0.7</v>
          </cell>
          <cell r="R17">
            <v>10.534999999999998</v>
          </cell>
        </row>
        <row r="18">
          <cell r="N18" t="str">
            <v>10-1</v>
          </cell>
          <cell r="O18">
            <v>1</v>
          </cell>
          <cell r="P18">
            <v>1</v>
          </cell>
          <cell r="Q18">
            <v>0.85</v>
          </cell>
          <cell r="R18">
            <v>18.274999999999999</v>
          </cell>
        </row>
        <row r="19">
          <cell r="N19" t="str">
            <v>10-2</v>
          </cell>
          <cell r="O19">
            <v>0.8</v>
          </cell>
          <cell r="P19">
            <v>1</v>
          </cell>
          <cell r="Q19">
            <v>0.85</v>
          </cell>
          <cell r="R19">
            <v>14.62</v>
          </cell>
        </row>
        <row r="20">
          <cell r="N20" t="str">
            <v>10-3</v>
          </cell>
          <cell r="O20">
            <v>0.7</v>
          </cell>
          <cell r="P20">
            <v>1</v>
          </cell>
          <cell r="Q20">
            <v>0.85</v>
          </cell>
          <cell r="R20">
            <v>12.792499999999999</v>
          </cell>
        </row>
        <row r="21">
          <cell r="N21" t="str">
            <v>9-1</v>
          </cell>
          <cell r="O21">
            <v>1</v>
          </cell>
          <cell r="P21">
            <v>1</v>
          </cell>
          <cell r="Q21">
            <v>0.85</v>
          </cell>
          <cell r="R21">
            <v>18.274999999999999</v>
          </cell>
        </row>
        <row r="22">
          <cell r="N22" t="str">
            <v>9-2</v>
          </cell>
          <cell r="O22">
            <v>0.8</v>
          </cell>
          <cell r="P22">
            <v>1</v>
          </cell>
          <cell r="Q22">
            <v>0.85</v>
          </cell>
          <cell r="R22">
            <v>14.62</v>
          </cell>
        </row>
        <row r="23">
          <cell r="N23" t="str">
            <v>9-3</v>
          </cell>
          <cell r="O23">
            <v>0.7</v>
          </cell>
          <cell r="P23">
            <v>1</v>
          </cell>
          <cell r="Q23">
            <v>0.85</v>
          </cell>
          <cell r="R23">
            <v>12.792499999999999</v>
          </cell>
        </row>
        <row r="24">
          <cell r="N24" t="str">
            <v>8-1</v>
          </cell>
          <cell r="O24">
            <v>1</v>
          </cell>
          <cell r="P24">
            <v>1</v>
          </cell>
          <cell r="Q24">
            <v>0.85</v>
          </cell>
          <cell r="R24">
            <v>18.274999999999999</v>
          </cell>
        </row>
        <row r="25">
          <cell r="N25" t="str">
            <v>8-2</v>
          </cell>
          <cell r="O25">
            <v>0.8</v>
          </cell>
          <cell r="P25">
            <v>1</v>
          </cell>
          <cell r="Q25">
            <v>0.85</v>
          </cell>
          <cell r="R25">
            <v>14.62</v>
          </cell>
        </row>
        <row r="26">
          <cell r="N26" t="str">
            <v>8-3</v>
          </cell>
          <cell r="O26">
            <v>0.7</v>
          </cell>
          <cell r="P26">
            <v>1</v>
          </cell>
          <cell r="Q26">
            <v>0.85</v>
          </cell>
          <cell r="R26">
            <v>12.792499999999999</v>
          </cell>
        </row>
        <row r="27">
          <cell r="N27" t="str">
            <v>7-1</v>
          </cell>
          <cell r="O27">
            <v>1</v>
          </cell>
          <cell r="P27">
            <v>1</v>
          </cell>
          <cell r="Q27">
            <v>1</v>
          </cell>
          <cell r="R27">
            <v>21.5</v>
          </cell>
        </row>
        <row r="28">
          <cell r="N28" t="str">
            <v>7-2</v>
          </cell>
          <cell r="O28">
            <v>0.8</v>
          </cell>
          <cell r="P28">
            <v>1</v>
          </cell>
          <cell r="Q28">
            <v>1</v>
          </cell>
          <cell r="R28">
            <v>17.2</v>
          </cell>
        </row>
        <row r="29">
          <cell r="N29" t="str">
            <v>7-3</v>
          </cell>
          <cell r="O29">
            <v>0.7</v>
          </cell>
          <cell r="P29">
            <v>1</v>
          </cell>
          <cell r="Q29">
            <v>1</v>
          </cell>
          <cell r="R29">
            <v>15.049999999999999</v>
          </cell>
        </row>
        <row r="30">
          <cell r="N30" t="str">
            <v>6-1</v>
          </cell>
          <cell r="O30">
            <v>1</v>
          </cell>
          <cell r="P30">
            <v>1</v>
          </cell>
          <cell r="Q30">
            <v>1</v>
          </cell>
          <cell r="R30">
            <v>21.5</v>
          </cell>
        </row>
        <row r="31">
          <cell r="N31" t="str">
            <v>6-2</v>
          </cell>
          <cell r="O31">
            <v>0.8</v>
          </cell>
          <cell r="P31">
            <v>1</v>
          </cell>
          <cell r="Q31">
            <v>1</v>
          </cell>
          <cell r="R31">
            <v>17.2</v>
          </cell>
        </row>
        <row r="32">
          <cell r="N32" t="str">
            <v>6-3</v>
          </cell>
          <cell r="O32">
            <v>0.7</v>
          </cell>
          <cell r="P32">
            <v>1</v>
          </cell>
          <cell r="Q32">
            <v>1</v>
          </cell>
          <cell r="R32">
            <v>15.049999999999999</v>
          </cell>
        </row>
        <row r="33">
          <cell r="N33" t="str">
            <v>5-1</v>
          </cell>
          <cell r="O33">
            <v>1</v>
          </cell>
          <cell r="P33">
            <v>1</v>
          </cell>
          <cell r="Q33">
            <v>1</v>
          </cell>
          <cell r="R33">
            <v>21.5</v>
          </cell>
        </row>
        <row r="34">
          <cell r="N34" t="str">
            <v>5-2</v>
          </cell>
          <cell r="O34">
            <v>0.8</v>
          </cell>
          <cell r="P34">
            <v>1</v>
          </cell>
          <cell r="Q34">
            <v>1</v>
          </cell>
          <cell r="R34">
            <v>17.2</v>
          </cell>
        </row>
        <row r="35">
          <cell r="N35" t="str">
            <v>5-3</v>
          </cell>
          <cell r="O35">
            <v>0.7</v>
          </cell>
          <cell r="P35">
            <v>1</v>
          </cell>
          <cell r="Q35">
            <v>1</v>
          </cell>
          <cell r="R35">
            <v>15.049999999999999</v>
          </cell>
        </row>
        <row r="36">
          <cell r="N36" t="str">
            <v>4-1</v>
          </cell>
          <cell r="O36">
            <v>1</v>
          </cell>
          <cell r="P36">
            <v>1</v>
          </cell>
          <cell r="Q36">
            <v>1.2</v>
          </cell>
          <cell r="R36">
            <v>25.8</v>
          </cell>
        </row>
        <row r="37">
          <cell r="N37" t="str">
            <v>4-2</v>
          </cell>
          <cell r="O37">
            <v>0.8</v>
          </cell>
          <cell r="P37">
            <v>1</v>
          </cell>
          <cell r="Q37">
            <v>1.2</v>
          </cell>
          <cell r="R37">
            <v>20.639999999999997</v>
          </cell>
        </row>
        <row r="38">
          <cell r="N38" t="str">
            <v>4-3</v>
          </cell>
          <cell r="O38">
            <v>0.7</v>
          </cell>
          <cell r="P38">
            <v>1</v>
          </cell>
          <cell r="Q38">
            <v>1.2</v>
          </cell>
          <cell r="R38">
            <v>18.059999999999999</v>
          </cell>
        </row>
        <row r="39">
          <cell r="N39" t="str">
            <v>3-1</v>
          </cell>
          <cell r="O39">
            <v>1</v>
          </cell>
          <cell r="P39">
            <v>1</v>
          </cell>
          <cell r="Q39">
            <v>1.2</v>
          </cell>
          <cell r="R39">
            <v>25.8</v>
          </cell>
        </row>
        <row r="40">
          <cell r="N40" t="str">
            <v>3-2</v>
          </cell>
          <cell r="O40">
            <v>0.8</v>
          </cell>
          <cell r="P40">
            <v>1</v>
          </cell>
          <cell r="Q40">
            <v>1.2</v>
          </cell>
          <cell r="R40">
            <v>20.639999999999997</v>
          </cell>
        </row>
        <row r="41">
          <cell r="N41" t="str">
            <v>3-3</v>
          </cell>
          <cell r="O41">
            <v>0.7</v>
          </cell>
          <cell r="P41">
            <v>1</v>
          </cell>
          <cell r="Q41">
            <v>1.2</v>
          </cell>
          <cell r="R41">
            <v>18.059999999999999</v>
          </cell>
        </row>
        <row r="42">
          <cell r="N42" t="str">
            <v>2-1</v>
          </cell>
          <cell r="O42">
            <v>1</v>
          </cell>
          <cell r="P42">
            <v>1</v>
          </cell>
          <cell r="Q42">
            <v>1.4</v>
          </cell>
          <cell r="R42">
            <v>30.099999999999998</v>
          </cell>
        </row>
        <row r="43">
          <cell r="N43" t="str">
            <v>2-2</v>
          </cell>
          <cell r="O43">
            <v>0.8</v>
          </cell>
          <cell r="P43">
            <v>1</v>
          </cell>
          <cell r="Q43">
            <v>1.4</v>
          </cell>
          <cell r="R43">
            <v>24.08</v>
          </cell>
        </row>
        <row r="44">
          <cell r="N44" t="str">
            <v>2-3</v>
          </cell>
          <cell r="O44">
            <v>0.7</v>
          </cell>
          <cell r="P44">
            <v>1</v>
          </cell>
          <cell r="Q44">
            <v>1.4</v>
          </cell>
          <cell r="R44">
            <v>21.069999999999997</v>
          </cell>
        </row>
        <row r="45">
          <cell r="N45" t="str">
            <v>1-1</v>
          </cell>
          <cell r="O45">
            <v>1</v>
          </cell>
          <cell r="P45">
            <v>1</v>
          </cell>
          <cell r="Q45">
            <v>1.4</v>
          </cell>
          <cell r="R45">
            <v>30.099999999999998</v>
          </cell>
        </row>
        <row r="46">
          <cell r="N46" t="str">
            <v>1-2</v>
          </cell>
          <cell r="O46">
            <v>0.8</v>
          </cell>
          <cell r="P46">
            <v>1</v>
          </cell>
          <cell r="Q46">
            <v>1.4</v>
          </cell>
          <cell r="R46">
            <v>24.08</v>
          </cell>
        </row>
        <row r="47">
          <cell r="N47" t="str">
            <v>1-3</v>
          </cell>
          <cell r="O47">
            <v>0.7</v>
          </cell>
          <cell r="P47">
            <v>1</v>
          </cell>
          <cell r="Q47">
            <v>1.4</v>
          </cell>
          <cell r="R47">
            <v>21.069999999999997</v>
          </cell>
        </row>
        <row r="48">
          <cell r="N48" t="str">
            <v>0.5-1</v>
          </cell>
          <cell r="O48">
            <v>1</v>
          </cell>
          <cell r="P48">
            <v>1</v>
          </cell>
          <cell r="Q48">
            <v>1.4</v>
          </cell>
          <cell r="R48">
            <v>30.099999999999998</v>
          </cell>
        </row>
        <row r="49">
          <cell r="N49" t="str">
            <v>0.5-2</v>
          </cell>
          <cell r="O49">
            <v>0.8</v>
          </cell>
          <cell r="P49">
            <v>1</v>
          </cell>
          <cell r="Q49">
            <v>1.4</v>
          </cell>
          <cell r="R49">
            <v>24.08</v>
          </cell>
        </row>
        <row r="50">
          <cell r="N50" t="str">
            <v>0.5-3</v>
          </cell>
          <cell r="O50">
            <v>0.7</v>
          </cell>
          <cell r="P50">
            <v>1</v>
          </cell>
          <cell r="Q50">
            <v>1.4</v>
          </cell>
          <cell r="R50">
            <v>21.069999999999997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0FBD-F939-496E-BED1-45AA54680E84}">
  <dimension ref="B2:P58"/>
  <sheetViews>
    <sheetView workbookViewId="0">
      <selection activeCell="E29" sqref="E29"/>
    </sheetView>
  </sheetViews>
  <sheetFormatPr defaultRowHeight="15" x14ac:dyDescent="0.25"/>
  <cols>
    <col min="1" max="1" width="5.5703125" customWidth="1"/>
    <col min="2" max="2" width="28.140625" bestFit="1" customWidth="1"/>
    <col min="3" max="3" width="8.42578125" customWidth="1"/>
    <col min="4" max="5" width="12" bestFit="1" customWidth="1"/>
    <col min="6" max="6" width="13.28515625" bestFit="1" customWidth="1"/>
    <col min="10" max="10" width="7.5703125" bestFit="1" customWidth="1"/>
    <col min="15" max="15" width="3.28515625" customWidth="1"/>
    <col min="16" max="16" width="6.7109375" customWidth="1"/>
    <col min="17" max="17" width="3" customWidth="1"/>
  </cols>
  <sheetData>
    <row r="2" spans="2:14" ht="17.25" x14ac:dyDescent="0.25">
      <c r="B2" s="4" t="s">
        <v>11</v>
      </c>
      <c r="C2">
        <v>0.2</v>
      </c>
      <c r="D2">
        <v>0.4</v>
      </c>
      <c r="E2">
        <v>0.6</v>
      </c>
      <c r="F2" t="s">
        <v>20</v>
      </c>
      <c r="J2" t="s">
        <v>0</v>
      </c>
      <c r="K2">
        <v>2.1188799727597001</v>
      </c>
      <c r="L2" t="s">
        <v>1</v>
      </c>
    </row>
    <row r="3" spans="2:14" ht="17.25" x14ac:dyDescent="0.25">
      <c r="B3" s="4" t="s">
        <v>12</v>
      </c>
      <c r="C3" s="3">
        <f>C2*$K$2/$K$3</f>
        <v>3.9370116273092469E-2</v>
      </c>
      <c r="D3" s="3">
        <f t="shared" ref="D3:E3" si="0">D2*$K$2/$K$3</f>
        <v>7.8740232546184938E-2</v>
      </c>
      <c r="E3" s="3">
        <f t="shared" si="0"/>
        <v>0.1181103488192774</v>
      </c>
      <c r="F3" t="s">
        <v>20</v>
      </c>
      <c r="J3" t="s">
        <v>15</v>
      </c>
      <c r="K3">
        <v>10.7639</v>
      </c>
      <c r="L3" t="s">
        <v>16</v>
      </c>
    </row>
    <row r="4" spans="2:14" ht="17.25" x14ac:dyDescent="0.25">
      <c r="J4" t="s">
        <v>17</v>
      </c>
      <c r="K4">
        <v>4.7194745E-4</v>
      </c>
      <c r="L4" t="s">
        <v>18</v>
      </c>
    </row>
    <row r="5" spans="2:14" ht="17.25" x14ac:dyDescent="0.25">
      <c r="J5" t="s">
        <v>15</v>
      </c>
      <c r="K5">
        <v>1550</v>
      </c>
      <c r="L5" t="s">
        <v>30</v>
      </c>
    </row>
    <row r="6" spans="2:14" x14ac:dyDescent="0.25">
      <c r="B6" s="8" t="s">
        <v>9</v>
      </c>
      <c r="C6">
        <v>0.65</v>
      </c>
      <c r="D6">
        <v>0.65</v>
      </c>
      <c r="E6">
        <v>0.65</v>
      </c>
      <c r="F6" t="s">
        <v>7</v>
      </c>
    </row>
    <row r="8" spans="2:14" ht="17.25" x14ac:dyDescent="0.25">
      <c r="B8" s="4" t="s">
        <v>13</v>
      </c>
      <c r="C8">
        <f>C2*(50/75)^C6</f>
        <v>0.15366348456247339</v>
      </c>
      <c r="D8">
        <f>D2*(50/75)^D6</f>
        <v>0.30732696912494678</v>
      </c>
      <c r="E8">
        <f>E2*(50/75)^E6</f>
        <v>0.46099045368742014</v>
      </c>
      <c r="F8" t="s">
        <v>20</v>
      </c>
    </row>
    <row r="9" spans="2:14" ht="17.25" x14ac:dyDescent="0.25">
      <c r="B9" s="4" t="s">
        <v>14</v>
      </c>
      <c r="C9" s="2">
        <f>C8*$K$2/$K$3</f>
        <v>3.0248746270765639E-2</v>
      </c>
      <c r="D9" s="2">
        <f t="shared" ref="D9:E9" si="1">D8*$K$2/$K$3</f>
        <v>6.0497492541531278E-2</v>
      </c>
      <c r="E9" s="2">
        <f t="shared" si="1"/>
        <v>9.0746238812296903E-2</v>
      </c>
      <c r="F9" t="s">
        <v>20</v>
      </c>
    </row>
    <row r="10" spans="2:14" ht="17.25" x14ac:dyDescent="0.25">
      <c r="B10" s="4" t="s">
        <v>10</v>
      </c>
      <c r="C10" s="5">
        <f>8.5*2*30*2+8.5*2*40*2+30*40</f>
        <v>3580</v>
      </c>
      <c r="D10" s="5">
        <f t="shared" ref="D10:E10" si="2">8.5*2*30*2+8.5*2*40*2+30*40</f>
        <v>3580</v>
      </c>
      <c r="E10" s="5">
        <f t="shared" si="2"/>
        <v>3580</v>
      </c>
    </row>
    <row r="11" spans="2:14" ht="17.25" x14ac:dyDescent="0.25">
      <c r="B11" s="4" t="s">
        <v>4</v>
      </c>
      <c r="C11" s="5">
        <f>30*40*8.5*2</f>
        <v>20400</v>
      </c>
      <c r="D11" s="5">
        <f t="shared" ref="D11:E11" si="3">30*40*8.5*2</f>
        <v>20400</v>
      </c>
      <c r="E11" s="5">
        <f t="shared" si="3"/>
        <v>20400</v>
      </c>
    </row>
    <row r="12" spans="2:14" x14ac:dyDescent="0.25">
      <c r="B12" s="4" t="s">
        <v>31</v>
      </c>
      <c r="C12" s="5">
        <f>C9*C10</f>
        <v>108.29051164934098</v>
      </c>
      <c r="D12" s="5">
        <f t="shared" ref="D12:E12" si="4">D9*D10</f>
        <v>216.58102329868197</v>
      </c>
      <c r="E12" s="5">
        <f t="shared" si="4"/>
        <v>324.87153494802294</v>
      </c>
      <c r="F12" t="s">
        <v>19</v>
      </c>
    </row>
    <row r="13" spans="2:14" x14ac:dyDescent="0.25">
      <c r="B13" s="4" t="s">
        <v>32</v>
      </c>
      <c r="C13" s="6">
        <f>C12*$K$4</f>
        <v>5.1107430832101772E-2</v>
      </c>
      <c r="D13" s="6">
        <f t="shared" ref="D13:E13" si="5">D12*$K$4</f>
        <v>0.10221486166420354</v>
      </c>
      <c r="E13" s="6">
        <f t="shared" si="5"/>
        <v>0.1533222924963053</v>
      </c>
      <c r="F13" t="s">
        <v>19</v>
      </c>
    </row>
    <row r="14" spans="2:14" x14ac:dyDescent="0.25">
      <c r="B14" s="9" t="s">
        <v>2</v>
      </c>
      <c r="C14" s="3">
        <f>C12*60/C11</f>
        <v>0.31850150485100293</v>
      </c>
      <c r="D14" s="3">
        <f>D12*60/D11</f>
        <v>0.63700300970200585</v>
      </c>
      <c r="E14" s="3">
        <f>E12*60/E11</f>
        <v>0.95550451455300867</v>
      </c>
      <c r="N14" t="s">
        <v>28</v>
      </c>
    </row>
    <row r="15" spans="2:14" x14ac:dyDescent="0.25">
      <c r="B15" s="4" t="s">
        <v>5</v>
      </c>
      <c r="C15">
        <f>C14/20</f>
        <v>1.5925075242550147E-2</v>
      </c>
      <c r="D15">
        <f t="shared" ref="D15:E15" si="6">D14/20</f>
        <v>3.1850150485100294E-2</v>
      </c>
      <c r="E15">
        <f t="shared" si="6"/>
        <v>4.7775225727650431E-2</v>
      </c>
    </row>
    <row r="16" spans="2:14" x14ac:dyDescent="0.25">
      <c r="B16" s="4" t="s">
        <v>6</v>
      </c>
      <c r="C16">
        <f>C14/15</f>
        <v>2.1233433656733528E-2</v>
      </c>
      <c r="D16">
        <f t="shared" ref="D16:E16" si="7">D14/15</f>
        <v>4.2466867313467056E-2</v>
      </c>
      <c r="E16">
        <f t="shared" si="7"/>
        <v>6.3700300970200574E-2</v>
      </c>
    </row>
    <row r="17" spans="2:14" ht="17.25" x14ac:dyDescent="0.25">
      <c r="B17" s="9" t="s">
        <v>23</v>
      </c>
      <c r="C17">
        <v>1.2050000000000001</v>
      </c>
      <c r="D17">
        <v>1.2050000000000001</v>
      </c>
      <c r="E17">
        <v>1.2050000000000001</v>
      </c>
      <c r="F17" t="s">
        <v>22</v>
      </c>
    </row>
    <row r="18" spans="2:14" x14ac:dyDescent="0.25">
      <c r="B18" s="9" t="s">
        <v>33</v>
      </c>
      <c r="C18" s="6">
        <f>C13*(4/50)^C6</f>
        <v>9.8967486627462974E-3</v>
      </c>
      <c r="D18" s="6">
        <f t="shared" ref="D18:E18" si="8">D13*(4/50)^D6</f>
        <v>1.9793497325492595E-2</v>
      </c>
      <c r="E18" s="6">
        <f t="shared" si="8"/>
        <v>2.9690245988238887E-2</v>
      </c>
    </row>
    <row r="19" spans="2:14" ht="17.25" x14ac:dyDescent="0.25">
      <c r="B19" s="4" t="s">
        <v>24</v>
      </c>
      <c r="C19" s="6">
        <f t="shared" ref="C19:E19" si="9">C18*SQRT(C17/(2*4))/1</f>
        <v>3.8409713791362826E-3</v>
      </c>
      <c r="D19" s="6">
        <f t="shared" si="9"/>
        <v>7.6819427582725652E-3</v>
      </c>
      <c r="E19" s="6">
        <f t="shared" si="9"/>
        <v>1.1522914137408847E-2</v>
      </c>
      <c r="F19" t="s">
        <v>21</v>
      </c>
    </row>
    <row r="20" spans="2:14" ht="17.25" x14ac:dyDescent="0.25">
      <c r="B20" s="4" t="s">
        <v>29</v>
      </c>
      <c r="C20" s="6">
        <f>C19*$K$5</f>
        <v>5.9535056376612383</v>
      </c>
      <c r="D20" s="6">
        <f t="shared" ref="D20:E20" si="10">D19*$K$5</f>
        <v>11.907011275322477</v>
      </c>
      <c r="E20" s="6">
        <f t="shared" si="10"/>
        <v>17.860516912983712</v>
      </c>
    </row>
    <row r="21" spans="2:14" x14ac:dyDescent="0.25">
      <c r="B21" s="4"/>
      <c r="C21" s="2"/>
      <c r="D21" s="2"/>
      <c r="E21" s="2"/>
    </row>
    <row r="22" spans="2:14" x14ac:dyDescent="0.25">
      <c r="B22" s="4"/>
      <c r="C22" s="5"/>
      <c r="D22" s="5"/>
      <c r="E22" s="5"/>
      <c r="F22" s="5"/>
    </row>
    <row r="23" spans="2:14" x14ac:dyDescent="0.25">
      <c r="B23" s="4"/>
      <c r="C23" s="5"/>
      <c r="D23" s="5"/>
      <c r="E23" s="5"/>
    </row>
    <row r="24" spans="2:14" x14ac:dyDescent="0.25">
      <c r="B24" s="4"/>
      <c r="C24" s="5"/>
      <c r="D24" s="5"/>
      <c r="E24" s="5"/>
    </row>
    <row r="25" spans="2:14" x14ac:dyDescent="0.25">
      <c r="B25" s="4"/>
      <c r="C25" s="3"/>
      <c r="D25" s="3"/>
      <c r="E25" s="3"/>
    </row>
    <row r="26" spans="2:14" x14ac:dyDescent="0.25">
      <c r="B26" s="4"/>
    </row>
    <row r="27" spans="2:14" x14ac:dyDescent="0.25">
      <c r="B27" s="4"/>
    </row>
    <row r="28" spans="2:14" x14ac:dyDescent="0.25">
      <c r="B28" s="4"/>
    </row>
    <row r="29" spans="2:14" x14ac:dyDescent="0.25">
      <c r="N29" t="s">
        <v>26</v>
      </c>
    </row>
    <row r="32" spans="2:14" x14ac:dyDescent="0.25">
      <c r="C32" s="10"/>
      <c r="D32" s="10"/>
      <c r="E32" s="10"/>
    </row>
    <row r="33" spans="3:14" x14ac:dyDescent="0.25">
      <c r="C33" s="10"/>
      <c r="D33" s="10"/>
      <c r="E33" s="10"/>
    </row>
    <row r="37" spans="3:14" x14ac:dyDescent="0.25">
      <c r="N37" t="s">
        <v>27</v>
      </c>
    </row>
    <row r="49" spans="14:16" x14ac:dyDescent="0.25">
      <c r="N49" t="s">
        <v>34</v>
      </c>
    </row>
    <row r="54" spans="14:16" x14ac:dyDescent="0.25">
      <c r="P54" s="1"/>
    </row>
    <row r="55" spans="14:16" x14ac:dyDescent="0.25">
      <c r="N55" t="s">
        <v>25</v>
      </c>
    </row>
    <row r="58" spans="14:16" x14ac:dyDescent="0.25">
      <c r="N58" t="s">
        <v>3</v>
      </c>
      <c r="P58" s="7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46A5-4F5D-4675-B19F-39DC2FBE8D01}">
  <dimension ref="B2:V44"/>
  <sheetViews>
    <sheetView tabSelected="1" workbookViewId="0">
      <pane xSplit="2" ySplit="8" topLeftCell="L9" activePane="bottomRight" state="frozen"/>
      <selection pane="topRight" activeCell="C1" sqref="C1"/>
      <selection pane="bottomLeft" activeCell="A3" sqref="A3"/>
      <selection pane="bottomRight" activeCell="P7" sqref="P7"/>
    </sheetView>
  </sheetViews>
  <sheetFormatPr defaultRowHeight="15" x14ac:dyDescent="0.25"/>
  <cols>
    <col min="1" max="1" width="4.140625" customWidth="1"/>
    <col min="2" max="2" width="42.7109375" bestFit="1" customWidth="1"/>
    <col min="3" max="12" width="18.28515625" bestFit="1" customWidth="1"/>
    <col min="13" max="22" width="19.28515625" bestFit="1" customWidth="1"/>
  </cols>
  <sheetData>
    <row r="2" spans="2:22" ht="17.25" x14ac:dyDescent="0.25">
      <c r="C2" t="s">
        <v>0</v>
      </c>
      <c r="D2">
        <f>'Infiltration Calcs'!K2</f>
        <v>2.1188799727597001</v>
      </c>
      <c r="E2" t="s">
        <v>1</v>
      </c>
      <c r="G2" s="9" t="s">
        <v>23</v>
      </c>
      <c r="H2">
        <v>1.2050000000000001</v>
      </c>
      <c r="I2" t="s">
        <v>22</v>
      </c>
    </row>
    <row r="3" spans="2:22" ht="17.25" x14ac:dyDescent="0.25">
      <c r="C3" t="s">
        <v>15</v>
      </c>
      <c r="D3">
        <f>'Infiltration Calcs'!K3</f>
        <v>10.7639</v>
      </c>
      <c r="E3" t="s">
        <v>16</v>
      </c>
      <c r="G3" s="17" t="s">
        <v>8</v>
      </c>
      <c r="H3">
        <v>0.65</v>
      </c>
      <c r="I3" t="s">
        <v>7</v>
      </c>
    </row>
    <row r="4" spans="2:22" ht="17.25" x14ac:dyDescent="0.25">
      <c r="C4" t="s">
        <v>17</v>
      </c>
      <c r="D4">
        <f>'Infiltration Calcs'!K4</f>
        <v>4.7194745E-4</v>
      </c>
      <c r="E4" t="s">
        <v>18</v>
      </c>
    </row>
    <row r="5" spans="2:22" ht="17.25" x14ac:dyDescent="0.25">
      <c r="C5" t="s">
        <v>15</v>
      </c>
      <c r="D5">
        <f>'Infiltration Calcs'!K5</f>
        <v>1550</v>
      </c>
      <c r="E5" t="s">
        <v>30</v>
      </c>
    </row>
    <row r="8" spans="2:22" ht="15.75" x14ac:dyDescent="0.25">
      <c r="B8" s="14" t="s">
        <v>42</v>
      </c>
    </row>
    <row r="9" spans="2:22" x14ac:dyDescent="0.25">
      <c r="B9" s="13" t="s">
        <v>40</v>
      </c>
      <c r="C9" s="11">
        <v>2</v>
      </c>
      <c r="D9" s="11">
        <v>5</v>
      </c>
      <c r="E9" s="11">
        <v>8</v>
      </c>
      <c r="F9" s="11">
        <v>12</v>
      </c>
      <c r="G9" s="11">
        <v>15</v>
      </c>
      <c r="H9" s="11">
        <v>2</v>
      </c>
      <c r="I9" s="11">
        <v>5</v>
      </c>
      <c r="J9" s="11">
        <v>8</v>
      </c>
      <c r="K9" s="11">
        <v>12</v>
      </c>
      <c r="L9" s="11">
        <v>15</v>
      </c>
      <c r="M9" s="11">
        <v>2</v>
      </c>
      <c r="N9" s="11">
        <v>5</v>
      </c>
      <c r="O9" s="11">
        <v>8</v>
      </c>
      <c r="P9" s="11">
        <v>12</v>
      </c>
      <c r="Q9" s="11">
        <v>15</v>
      </c>
      <c r="R9" s="11">
        <v>2</v>
      </c>
      <c r="S9" s="11">
        <v>5</v>
      </c>
      <c r="T9" s="11">
        <v>8</v>
      </c>
      <c r="U9" s="11">
        <v>12</v>
      </c>
      <c r="V9" s="11">
        <v>15</v>
      </c>
    </row>
    <row r="10" spans="2:22" x14ac:dyDescent="0.25">
      <c r="B10" s="13" t="s">
        <v>35</v>
      </c>
      <c r="C10" s="12">
        <v>2000</v>
      </c>
      <c r="D10" s="12">
        <v>2000</v>
      </c>
      <c r="E10" s="12">
        <v>2000</v>
      </c>
      <c r="F10" s="12">
        <v>2000</v>
      </c>
      <c r="G10" s="12">
        <v>2000</v>
      </c>
      <c r="H10" s="12">
        <v>2000</v>
      </c>
      <c r="I10" s="12">
        <v>2000</v>
      </c>
      <c r="J10" s="12">
        <v>2000</v>
      </c>
      <c r="K10" s="12">
        <v>2000</v>
      </c>
      <c r="L10" s="12">
        <v>2000</v>
      </c>
      <c r="M10" s="12">
        <v>2000</v>
      </c>
      <c r="N10" s="12">
        <v>2000</v>
      </c>
      <c r="O10" s="12">
        <v>2000</v>
      </c>
      <c r="P10" s="12">
        <v>2000</v>
      </c>
      <c r="Q10" s="12">
        <v>2000</v>
      </c>
      <c r="R10" s="12">
        <v>2000</v>
      </c>
      <c r="S10" s="12">
        <v>2000</v>
      </c>
      <c r="T10" s="12">
        <v>2000</v>
      </c>
      <c r="U10" s="12">
        <v>2000</v>
      </c>
      <c r="V10" s="12">
        <v>2000</v>
      </c>
    </row>
    <row r="11" spans="2:22" x14ac:dyDescent="0.25">
      <c r="B11" s="13" t="s">
        <v>36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</row>
    <row r="12" spans="2:22" x14ac:dyDescent="0.25">
      <c r="B12" s="13" t="s">
        <v>37</v>
      </c>
      <c r="C12" s="11">
        <v>8</v>
      </c>
      <c r="D12" s="11">
        <v>8</v>
      </c>
      <c r="E12" s="11">
        <v>8</v>
      </c>
      <c r="F12" s="11">
        <v>8</v>
      </c>
      <c r="G12" s="11">
        <v>8</v>
      </c>
      <c r="H12" s="11">
        <v>8</v>
      </c>
      <c r="I12" s="11">
        <v>8</v>
      </c>
      <c r="J12" s="11">
        <v>8</v>
      </c>
      <c r="K12" s="11">
        <v>8</v>
      </c>
      <c r="L12" s="11">
        <v>8</v>
      </c>
      <c r="M12" s="11">
        <v>8</v>
      </c>
      <c r="N12" s="11">
        <v>8</v>
      </c>
      <c r="O12" s="11">
        <v>8</v>
      </c>
      <c r="P12" s="11">
        <v>8</v>
      </c>
      <c r="Q12" s="11">
        <v>8</v>
      </c>
      <c r="R12" s="11">
        <v>8</v>
      </c>
      <c r="S12" s="11">
        <v>8</v>
      </c>
      <c r="T12" s="11">
        <v>8</v>
      </c>
      <c r="U12" s="11">
        <v>8</v>
      </c>
      <c r="V12" s="11">
        <v>8</v>
      </c>
    </row>
    <row r="13" spans="2:22" x14ac:dyDescent="0.25">
      <c r="B13" s="13" t="s">
        <v>38</v>
      </c>
      <c r="C13" s="11">
        <v>1.2</v>
      </c>
      <c r="D13" s="11">
        <v>1.2</v>
      </c>
      <c r="E13" s="11">
        <v>1.2</v>
      </c>
      <c r="F13" s="11">
        <v>1.2</v>
      </c>
      <c r="G13" s="11">
        <v>1.2</v>
      </c>
      <c r="H13" s="11">
        <v>1.2</v>
      </c>
      <c r="I13" s="11">
        <v>1.2</v>
      </c>
      <c r="J13" s="11">
        <v>1.2</v>
      </c>
      <c r="K13" s="11">
        <v>1.2</v>
      </c>
      <c r="L13" s="11">
        <v>1.2</v>
      </c>
      <c r="M13" s="11">
        <v>1.2</v>
      </c>
      <c r="N13" s="11">
        <v>1.2</v>
      </c>
      <c r="O13" s="11">
        <v>1.2</v>
      </c>
      <c r="P13" s="11">
        <v>1.2</v>
      </c>
      <c r="Q13" s="11">
        <v>1.2</v>
      </c>
      <c r="R13" s="11">
        <v>1.2</v>
      </c>
      <c r="S13" s="11">
        <v>1.2</v>
      </c>
      <c r="T13" s="11">
        <v>1.2</v>
      </c>
      <c r="U13" s="11">
        <v>1.2</v>
      </c>
      <c r="V13" s="11">
        <v>1.2</v>
      </c>
    </row>
    <row r="14" spans="2:22" x14ac:dyDescent="0.25">
      <c r="B14" s="13" t="s">
        <v>39</v>
      </c>
      <c r="C14" s="11" t="s">
        <v>41</v>
      </c>
      <c r="D14" s="11" t="s">
        <v>41</v>
      </c>
      <c r="E14" s="11" t="s">
        <v>41</v>
      </c>
      <c r="F14" s="11" t="s">
        <v>41</v>
      </c>
      <c r="G14" s="11" t="s">
        <v>41</v>
      </c>
      <c r="H14" s="11" t="s">
        <v>44</v>
      </c>
      <c r="I14" s="11" t="s">
        <v>44</v>
      </c>
      <c r="J14" s="11" t="s">
        <v>44</v>
      </c>
      <c r="K14" s="11" t="s">
        <v>44</v>
      </c>
      <c r="L14" s="11" t="s">
        <v>44</v>
      </c>
      <c r="M14" s="11" t="s">
        <v>45</v>
      </c>
      <c r="N14" s="11" t="s">
        <v>45</v>
      </c>
      <c r="O14" s="11" t="s">
        <v>45</v>
      </c>
      <c r="P14" s="11" t="s">
        <v>45</v>
      </c>
      <c r="Q14" s="11" t="s">
        <v>45</v>
      </c>
      <c r="R14" s="11" t="s">
        <v>46</v>
      </c>
      <c r="S14" s="11" t="s">
        <v>46</v>
      </c>
      <c r="T14" s="11" t="s">
        <v>46</v>
      </c>
      <c r="U14" s="11" t="s">
        <v>46</v>
      </c>
      <c r="V14" s="11" t="s">
        <v>46</v>
      </c>
    </row>
    <row r="15" spans="2:22" x14ac:dyDescent="0.25">
      <c r="B15" s="13" t="s">
        <v>47</v>
      </c>
      <c r="C15" s="11">
        <v>8</v>
      </c>
      <c r="D15" s="11">
        <v>8</v>
      </c>
      <c r="E15" s="11">
        <v>8</v>
      </c>
      <c r="F15" s="11">
        <v>8</v>
      </c>
      <c r="G15" s="11">
        <v>8</v>
      </c>
      <c r="H15" s="11">
        <v>8</v>
      </c>
      <c r="I15" s="11">
        <v>8</v>
      </c>
      <c r="J15" s="11">
        <v>8</v>
      </c>
      <c r="K15" s="11">
        <v>8</v>
      </c>
      <c r="L15" s="11">
        <v>8</v>
      </c>
      <c r="M15" s="11">
        <v>8</v>
      </c>
      <c r="N15" s="11">
        <v>8</v>
      </c>
      <c r="O15" s="11">
        <v>8</v>
      </c>
      <c r="P15" s="11">
        <v>8</v>
      </c>
      <c r="Q15" s="11">
        <v>8</v>
      </c>
      <c r="R15" s="11">
        <v>8</v>
      </c>
      <c r="S15" s="11">
        <v>8</v>
      </c>
      <c r="T15" s="11">
        <v>8</v>
      </c>
      <c r="U15" s="11">
        <v>8</v>
      </c>
      <c r="V15" s="11">
        <v>8</v>
      </c>
    </row>
    <row r="17" spans="2:22" ht="15.75" x14ac:dyDescent="0.25">
      <c r="B17" s="14" t="s">
        <v>43</v>
      </c>
    </row>
    <row r="18" spans="2:22" x14ac:dyDescent="0.25">
      <c r="B18" t="s">
        <v>48</v>
      </c>
      <c r="C18" s="15">
        <f>IF(C14="Heated Basement",C10*C11*C12+C15*C10,C10*C11*C12)</f>
        <v>16000</v>
      </c>
      <c r="D18" s="15">
        <f t="shared" ref="D18:V18" si="0">IF(D14="Heated Basement",D10*D11*D12+D15*D10,D10*D11*D12)</f>
        <v>16000</v>
      </c>
      <c r="E18" s="15">
        <f t="shared" si="0"/>
        <v>16000</v>
      </c>
      <c r="F18" s="15">
        <f t="shared" si="0"/>
        <v>16000</v>
      </c>
      <c r="G18" s="15">
        <f t="shared" si="0"/>
        <v>16000</v>
      </c>
      <c r="H18" s="15">
        <f t="shared" si="0"/>
        <v>16000</v>
      </c>
      <c r="I18" s="15">
        <f t="shared" si="0"/>
        <v>16000</v>
      </c>
      <c r="J18" s="15">
        <f t="shared" si="0"/>
        <v>16000</v>
      </c>
      <c r="K18" s="15">
        <f t="shared" si="0"/>
        <v>16000</v>
      </c>
      <c r="L18" s="15">
        <f t="shared" si="0"/>
        <v>16000</v>
      </c>
      <c r="M18" s="15">
        <f t="shared" si="0"/>
        <v>16000</v>
      </c>
      <c r="N18" s="15">
        <f t="shared" si="0"/>
        <v>16000</v>
      </c>
      <c r="O18" s="15">
        <f t="shared" si="0"/>
        <v>16000</v>
      </c>
      <c r="P18" s="15">
        <f t="shared" si="0"/>
        <v>16000</v>
      </c>
      <c r="Q18" s="15">
        <f t="shared" si="0"/>
        <v>16000</v>
      </c>
      <c r="R18" s="15">
        <f t="shared" si="0"/>
        <v>32000</v>
      </c>
      <c r="S18" s="15">
        <f t="shared" si="0"/>
        <v>32000</v>
      </c>
      <c r="T18" s="15">
        <f t="shared" si="0"/>
        <v>32000</v>
      </c>
      <c r="U18" s="15">
        <f t="shared" si="0"/>
        <v>32000</v>
      </c>
      <c r="V18" s="15">
        <f t="shared" si="0"/>
        <v>32000</v>
      </c>
    </row>
    <row r="19" spans="2:22" x14ac:dyDescent="0.25">
      <c r="B19" t="s">
        <v>49</v>
      </c>
      <c r="C19" s="22">
        <f>(C9/60)*C18</f>
        <v>533.33333333333337</v>
      </c>
      <c r="D19" s="22">
        <f t="shared" ref="D19:H19" si="1">(D9/60)*D18</f>
        <v>1333.3333333333333</v>
      </c>
      <c r="E19" s="22">
        <f t="shared" si="1"/>
        <v>2133.3333333333335</v>
      </c>
      <c r="F19" s="22">
        <f t="shared" si="1"/>
        <v>3200</v>
      </c>
      <c r="G19" s="22">
        <f t="shared" si="1"/>
        <v>4000</v>
      </c>
      <c r="H19" s="22">
        <f t="shared" si="1"/>
        <v>533.33333333333337</v>
      </c>
      <c r="I19" s="22">
        <f t="shared" ref="I19" si="2">(I9/60)*I18</f>
        <v>1333.3333333333333</v>
      </c>
      <c r="J19" s="22">
        <f t="shared" ref="J19" si="3">(J9/60)*J18</f>
        <v>2133.3333333333335</v>
      </c>
      <c r="K19" s="22">
        <f t="shared" ref="K19" si="4">(K9/60)*K18</f>
        <v>3200</v>
      </c>
      <c r="L19" s="22">
        <f t="shared" ref="L19:M19" si="5">(L9/60)*L18</f>
        <v>4000</v>
      </c>
      <c r="M19" s="22">
        <f t="shared" si="5"/>
        <v>533.33333333333337</v>
      </c>
      <c r="N19" s="22">
        <f t="shared" ref="N19" si="6">(N9/60)*N18</f>
        <v>1333.3333333333333</v>
      </c>
      <c r="O19" s="22">
        <f t="shared" ref="O19" si="7">(O9/60)*O18</f>
        <v>2133.3333333333335</v>
      </c>
      <c r="P19" s="22">
        <f t="shared" ref="P19" si="8">(P9/60)*P18</f>
        <v>3200</v>
      </c>
      <c r="Q19" s="22">
        <f t="shared" ref="Q19:R19" si="9">(Q9/60)*Q18</f>
        <v>4000</v>
      </c>
      <c r="R19" s="22">
        <f t="shared" si="9"/>
        <v>1066.6666666666667</v>
      </c>
      <c r="S19" s="22">
        <f t="shared" ref="S19" si="10">(S9/60)*S18</f>
        <v>2666.6666666666665</v>
      </c>
      <c r="T19" s="22">
        <f t="shared" ref="T19" si="11">(T9/60)*T18</f>
        <v>4266.666666666667</v>
      </c>
      <c r="U19" s="22">
        <f t="shared" ref="U19" si="12">(U9/60)*U18</f>
        <v>6400</v>
      </c>
      <c r="V19" s="22">
        <f t="shared" ref="V19" si="13">(V9/60)*V18</f>
        <v>8000</v>
      </c>
    </row>
    <row r="20" spans="2:22" ht="17.25" x14ac:dyDescent="0.25">
      <c r="B20" t="s">
        <v>50</v>
      </c>
      <c r="C20" s="18">
        <f>C19*$D$4</f>
        <v>0.25170530666666668</v>
      </c>
      <c r="D20" s="18">
        <f t="shared" ref="D20:V20" si="14">D19*$D$4</f>
        <v>0.62926326666666665</v>
      </c>
      <c r="E20" s="18">
        <f t="shared" si="14"/>
        <v>1.0068212266666667</v>
      </c>
      <c r="F20" s="18">
        <f t="shared" si="14"/>
        <v>1.5102318400000001</v>
      </c>
      <c r="G20" s="18">
        <f t="shared" si="14"/>
        <v>1.8877898</v>
      </c>
      <c r="H20" s="18">
        <f t="shared" si="14"/>
        <v>0.25170530666666668</v>
      </c>
      <c r="I20" s="18">
        <f t="shared" si="14"/>
        <v>0.62926326666666665</v>
      </c>
      <c r="J20" s="18">
        <f t="shared" si="14"/>
        <v>1.0068212266666667</v>
      </c>
      <c r="K20" s="18">
        <f t="shared" si="14"/>
        <v>1.5102318400000001</v>
      </c>
      <c r="L20" s="18">
        <f t="shared" si="14"/>
        <v>1.8877898</v>
      </c>
      <c r="M20" s="18">
        <f t="shared" si="14"/>
        <v>0.25170530666666668</v>
      </c>
      <c r="N20" s="18">
        <f t="shared" si="14"/>
        <v>0.62926326666666665</v>
      </c>
      <c r="O20" s="18">
        <f t="shared" si="14"/>
        <v>1.0068212266666667</v>
      </c>
      <c r="P20" s="18">
        <f t="shared" si="14"/>
        <v>1.5102318400000001</v>
      </c>
      <c r="Q20" s="18">
        <f t="shared" si="14"/>
        <v>1.8877898</v>
      </c>
      <c r="R20" s="18">
        <f t="shared" si="14"/>
        <v>0.50341061333333337</v>
      </c>
      <c r="S20" s="18">
        <f t="shared" si="14"/>
        <v>1.2585265333333333</v>
      </c>
      <c r="T20" s="18">
        <f t="shared" si="14"/>
        <v>2.0136424533333335</v>
      </c>
      <c r="U20" s="18">
        <f t="shared" si="14"/>
        <v>3.0204636800000002</v>
      </c>
      <c r="V20" s="18">
        <f t="shared" si="14"/>
        <v>3.7755795999999999</v>
      </c>
    </row>
    <row r="21" spans="2:22" ht="17.25" x14ac:dyDescent="0.25">
      <c r="B21" t="s">
        <v>51</v>
      </c>
      <c r="C21" s="18">
        <f>C20*(4/50)^$H$3</f>
        <v>4.8741721440530413E-2</v>
      </c>
      <c r="D21" s="18">
        <f t="shared" ref="D21:V21" si="15">D20*(4/50)^$H$3</f>
        <v>0.12185430360132603</v>
      </c>
      <c r="E21" s="18">
        <f t="shared" si="15"/>
        <v>0.19496688576212165</v>
      </c>
      <c r="F21" s="18">
        <f t="shared" si="15"/>
        <v>0.29245032864318249</v>
      </c>
      <c r="G21" s="18">
        <f t="shared" si="15"/>
        <v>0.36556291080397807</v>
      </c>
      <c r="H21" s="18">
        <f t="shared" si="15"/>
        <v>4.8741721440530413E-2</v>
      </c>
      <c r="I21" s="18">
        <f t="shared" si="15"/>
        <v>0.12185430360132603</v>
      </c>
      <c r="J21" s="18">
        <f t="shared" si="15"/>
        <v>0.19496688576212165</v>
      </c>
      <c r="K21" s="18">
        <f t="shared" si="15"/>
        <v>0.29245032864318249</v>
      </c>
      <c r="L21" s="18">
        <f t="shared" si="15"/>
        <v>0.36556291080397807</v>
      </c>
      <c r="M21" s="18">
        <f t="shared" si="15"/>
        <v>4.8741721440530413E-2</v>
      </c>
      <c r="N21" s="18">
        <f t="shared" si="15"/>
        <v>0.12185430360132603</v>
      </c>
      <c r="O21" s="18">
        <f t="shared" si="15"/>
        <v>0.19496688576212165</v>
      </c>
      <c r="P21" s="18">
        <f t="shared" si="15"/>
        <v>0.29245032864318249</v>
      </c>
      <c r="Q21" s="18">
        <f t="shared" si="15"/>
        <v>0.36556291080397807</v>
      </c>
      <c r="R21" s="18">
        <f t="shared" si="15"/>
        <v>9.7483442881060825E-2</v>
      </c>
      <c r="S21" s="18">
        <f t="shared" si="15"/>
        <v>0.24370860720265206</v>
      </c>
      <c r="T21" s="18">
        <f t="shared" si="15"/>
        <v>0.3899337715242433</v>
      </c>
      <c r="U21" s="18">
        <f t="shared" si="15"/>
        <v>0.58490065728636498</v>
      </c>
      <c r="V21" s="18">
        <f t="shared" si="15"/>
        <v>0.73112582160795614</v>
      </c>
    </row>
    <row r="22" spans="2:22" ht="17.25" x14ac:dyDescent="0.25">
      <c r="B22" t="s">
        <v>52</v>
      </c>
      <c r="C22" s="16">
        <f>C21*SQRT($H$2/(2*4))/1</f>
        <v>1.8916874965980924E-2</v>
      </c>
      <c r="D22" s="16">
        <f t="shared" ref="D22:V22" si="16">D21*SQRT($H$2/(2*4))/1</f>
        <v>4.7292187414952308E-2</v>
      </c>
      <c r="E22" s="16">
        <f t="shared" si="16"/>
        <v>7.5667499863923696E-2</v>
      </c>
      <c r="F22" s="16">
        <f t="shared" si="16"/>
        <v>0.11350124979588555</v>
      </c>
      <c r="G22" s="16">
        <f t="shared" si="16"/>
        <v>0.14187656224485692</v>
      </c>
      <c r="H22" s="16">
        <f t="shared" si="16"/>
        <v>1.8916874965980924E-2</v>
      </c>
      <c r="I22" s="16">
        <f t="shared" si="16"/>
        <v>4.7292187414952308E-2</v>
      </c>
      <c r="J22" s="16">
        <f t="shared" si="16"/>
        <v>7.5667499863923696E-2</v>
      </c>
      <c r="K22" s="16">
        <f t="shared" si="16"/>
        <v>0.11350124979588555</v>
      </c>
      <c r="L22" s="16">
        <f t="shared" si="16"/>
        <v>0.14187656224485692</v>
      </c>
      <c r="M22" s="16">
        <f t="shared" si="16"/>
        <v>1.8916874965980924E-2</v>
      </c>
      <c r="N22" s="16">
        <f t="shared" si="16"/>
        <v>4.7292187414952308E-2</v>
      </c>
      <c r="O22" s="16">
        <f t="shared" si="16"/>
        <v>7.5667499863923696E-2</v>
      </c>
      <c r="P22" s="16">
        <f t="shared" si="16"/>
        <v>0.11350124979588555</v>
      </c>
      <c r="Q22" s="16">
        <f t="shared" si="16"/>
        <v>0.14187656224485692</v>
      </c>
      <c r="R22" s="16">
        <f t="shared" si="16"/>
        <v>3.7833749931961848E-2</v>
      </c>
      <c r="S22" s="16">
        <f t="shared" si="16"/>
        <v>9.4584374829904616E-2</v>
      </c>
      <c r="T22" s="16">
        <f t="shared" si="16"/>
        <v>0.15133499972784739</v>
      </c>
      <c r="U22" s="16">
        <f t="shared" si="16"/>
        <v>0.2270024995917711</v>
      </c>
      <c r="V22" s="16">
        <f t="shared" si="16"/>
        <v>0.28375312448971385</v>
      </c>
    </row>
    <row r="23" spans="2:22" ht="17.25" x14ac:dyDescent="0.25">
      <c r="B23" t="s">
        <v>53</v>
      </c>
      <c r="C23" s="23">
        <f>C22*$D$5</f>
        <v>29.321156197270433</v>
      </c>
      <c r="D23" s="23">
        <f t="shared" ref="D23:V23" si="17">D22*$D$5</f>
        <v>73.302890493176079</v>
      </c>
      <c r="E23" s="23">
        <f t="shared" si="17"/>
        <v>117.28462478908173</v>
      </c>
      <c r="F23" s="23">
        <f t="shared" si="17"/>
        <v>175.92693718362261</v>
      </c>
      <c r="G23" s="23">
        <f t="shared" si="17"/>
        <v>219.90867147952824</v>
      </c>
      <c r="H23" s="23">
        <f t="shared" si="17"/>
        <v>29.321156197270433</v>
      </c>
      <c r="I23" s="23">
        <f t="shared" si="17"/>
        <v>73.302890493176079</v>
      </c>
      <c r="J23" s="23">
        <f t="shared" si="17"/>
        <v>117.28462478908173</v>
      </c>
      <c r="K23" s="23">
        <f t="shared" si="17"/>
        <v>175.92693718362261</v>
      </c>
      <c r="L23" s="23">
        <f t="shared" si="17"/>
        <v>219.90867147952824</v>
      </c>
      <c r="M23" s="23">
        <f t="shared" si="17"/>
        <v>29.321156197270433</v>
      </c>
      <c r="N23" s="23">
        <f t="shared" si="17"/>
        <v>73.302890493176079</v>
      </c>
      <c r="O23" s="23">
        <f t="shared" si="17"/>
        <v>117.28462478908173</v>
      </c>
      <c r="P23" s="23">
        <f t="shared" si="17"/>
        <v>175.92693718362261</v>
      </c>
      <c r="Q23" s="23">
        <f t="shared" si="17"/>
        <v>219.90867147952824</v>
      </c>
      <c r="R23" s="23">
        <f t="shared" si="17"/>
        <v>58.642312394540866</v>
      </c>
      <c r="S23" s="23">
        <f t="shared" si="17"/>
        <v>146.60578098635216</v>
      </c>
      <c r="T23" s="23">
        <f t="shared" si="17"/>
        <v>234.56924957816346</v>
      </c>
      <c r="U23" s="23">
        <f t="shared" si="17"/>
        <v>351.85387436724523</v>
      </c>
      <c r="V23" s="23">
        <f t="shared" si="17"/>
        <v>439.81734295905648</v>
      </c>
    </row>
    <row r="24" spans="2:22" x14ac:dyDescent="0.25">
      <c r="B24" t="s">
        <v>54</v>
      </c>
      <c r="C24" s="19">
        <f>C9/20</f>
        <v>0.1</v>
      </c>
      <c r="D24" s="19">
        <f t="shared" ref="D24:V24" si="18">D9/20</f>
        <v>0.25</v>
      </c>
      <c r="E24" s="19">
        <f t="shared" si="18"/>
        <v>0.4</v>
      </c>
      <c r="F24" s="19">
        <f t="shared" si="18"/>
        <v>0.6</v>
      </c>
      <c r="G24" s="19">
        <f t="shared" si="18"/>
        <v>0.75</v>
      </c>
      <c r="H24" s="19">
        <f t="shared" si="18"/>
        <v>0.1</v>
      </c>
      <c r="I24" s="19">
        <f t="shared" si="18"/>
        <v>0.25</v>
      </c>
      <c r="J24" s="19">
        <f t="shared" si="18"/>
        <v>0.4</v>
      </c>
      <c r="K24" s="19">
        <f t="shared" si="18"/>
        <v>0.6</v>
      </c>
      <c r="L24" s="19">
        <f t="shared" si="18"/>
        <v>0.75</v>
      </c>
      <c r="M24" s="19">
        <f t="shared" si="18"/>
        <v>0.1</v>
      </c>
      <c r="N24" s="19">
        <f t="shared" si="18"/>
        <v>0.25</v>
      </c>
      <c r="O24" s="19">
        <f t="shared" si="18"/>
        <v>0.4</v>
      </c>
      <c r="P24" s="19">
        <f t="shared" si="18"/>
        <v>0.6</v>
      </c>
      <c r="Q24" s="19">
        <f t="shared" si="18"/>
        <v>0.75</v>
      </c>
      <c r="R24" s="19">
        <f t="shared" si="18"/>
        <v>0.1</v>
      </c>
      <c r="S24" s="19">
        <f t="shared" si="18"/>
        <v>0.25</v>
      </c>
      <c r="T24" s="19">
        <f t="shared" si="18"/>
        <v>0.4</v>
      </c>
      <c r="U24" s="19">
        <f t="shared" si="18"/>
        <v>0.6</v>
      </c>
      <c r="V24" s="19">
        <f t="shared" si="18"/>
        <v>0.75</v>
      </c>
    </row>
    <row r="25" spans="2:22" x14ac:dyDescent="0.25">
      <c r="B25" t="s">
        <v>55</v>
      </c>
      <c r="C25" s="15">
        <f>VLOOKUP(C9&amp;"-1",'[1]Infiltration Reference'!$N$3:$R$50,5,FALSE)</f>
        <v>30.099999999999998</v>
      </c>
      <c r="D25" s="15">
        <f>VLOOKUP(D9&amp;"-1",'[1]Infiltration Reference'!$N$3:$R$50,5,FALSE)</f>
        <v>21.5</v>
      </c>
      <c r="E25" s="15">
        <f>VLOOKUP(E9&amp;"-1",'[1]Infiltration Reference'!$N$3:$R$50,5,FALSE)</f>
        <v>18.274999999999999</v>
      </c>
      <c r="F25" s="15">
        <f>VLOOKUP(F9&amp;"-1",'[1]Infiltration Reference'!$N$3:$R$50,5,FALSE)</f>
        <v>15.049999999999999</v>
      </c>
      <c r="G25" s="15">
        <f>VLOOKUP(G9&amp;"-1",'[1]Infiltration Reference'!$N$3:$R$50,5,FALSE)</f>
        <v>15.049999999999999</v>
      </c>
      <c r="H25" s="15">
        <f>VLOOKUP(H9&amp;"-1",'[1]Infiltration Reference'!$N$3:$R$50,5,FALSE)</f>
        <v>30.099999999999998</v>
      </c>
      <c r="I25" s="15">
        <f>VLOOKUP(I9&amp;"-1",'[1]Infiltration Reference'!$N$3:$R$50,5,FALSE)</f>
        <v>21.5</v>
      </c>
      <c r="J25" s="15">
        <f>VLOOKUP(J9&amp;"-1",'[1]Infiltration Reference'!$N$3:$R$50,5,FALSE)</f>
        <v>18.274999999999999</v>
      </c>
      <c r="K25" s="15">
        <f>VLOOKUP(K9&amp;"-1",'[1]Infiltration Reference'!$N$3:$R$50,5,FALSE)</f>
        <v>15.049999999999999</v>
      </c>
      <c r="L25" s="15">
        <f>VLOOKUP(L9&amp;"-1",'[1]Infiltration Reference'!$N$3:$R$50,5,FALSE)</f>
        <v>15.049999999999999</v>
      </c>
      <c r="M25" s="15">
        <f>VLOOKUP(M9&amp;"-1",'[1]Infiltration Reference'!$N$3:$R$50,5,FALSE)</f>
        <v>30.099999999999998</v>
      </c>
      <c r="N25" s="15">
        <f>VLOOKUP(N9&amp;"-1",'[1]Infiltration Reference'!$N$3:$R$50,5,FALSE)</f>
        <v>21.5</v>
      </c>
      <c r="O25" s="15">
        <f>VLOOKUP(O9&amp;"-1",'[1]Infiltration Reference'!$N$3:$R$50,5,FALSE)</f>
        <v>18.274999999999999</v>
      </c>
      <c r="P25" s="15">
        <f>VLOOKUP(P9&amp;"-1",'[1]Infiltration Reference'!$N$3:$R$50,5,FALSE)</f>
        <v>15.049999999999999</v>
      </c>
      <c r="Q25" s="15">
        <f>VLOOKUP(Q9&amp;"-1",'[1]Infiltration Reference'!$N$3:$R$50,5,FALSE)</f>
        <v>15.049999999999999</v>
      </c>
      <c r="R25" s="15">
        <f>VLOOKUP(R9&amp;"-1",'[1]Infiltration Reference'!$N$3:$R$50,5,FALSE)</f>
        <v>30.099999999999998</v>
      </c>
      <c r="S25" s="15">
        <f>VLOOKUP(S9&amp;"-1",'[1]Infiltration Reference'!$N$3:$R$50,5,FALSE)</f>
        <v>21.5</v>
      </c>
      <c r="T25" s="15">
        <f>VLOOKUP(T9&amp;"-1",'[1]Infiltration Reference'!$N$3:$R$50,5,FALSE)</f>
        <v>18.274999999999999</v>
      </c>
      <c r="U25" s="15">
        <f>VLOOKUP(U9&amp;"-1",'[1]Infiltration Reference'!$N$3:$R$50,5,FALSE)</f>
        <v>15.049999999999999</v>
      </c>
      <c r="V25" s="15">
        <f>VLOOKUP(V9&amp;"-1",'[1]Infiltration Reference'!$N$3:$R$50,5,FALSE)</f>
        <v>15.049999999999999</v>
      </c>
    </row>
    <row r="26" spans="2:22" x14ac:dyDescent="0.25">
      <c r="B26" t="s">
        <v>56</v>
      </c>
      <c r="C26" s="16">
        <f>C9/C25</f>
        <v>6.6445182724252497E-2</v>
      </c>
      <c r="D26" s="16">
        <f t="shared" ref="D26:V26" si="19">D9/D25</f>
        <v>0.23255813953488372</v>
      </c>
      <c r="E26" s="16">
        <f t="shared" si="19"/>
        <v>0.43775649794801647</v>
      </c>
      <c r="F26" s="16">
        <f t="shared" si="19"/>
        <v>0.79734219269102991</v>
      </c>
      <c r="G26" s="16">
        <f t="shared" si="19"/>
        <v>0.99667774086378746</v>
      </c>
      <c r="H26" s="16">
        <f t="shared" si="19"/>
        <v>6.6445182724252497E-2</v>
      </c>
      <c r="I26" s="16">
        <f t="shared" si="19"/>
        <v>0.23255813953488372</v>
      </c>
      <c r="J26" s="16">
        <f t="shared" si="19"/>
        <v>0.43775649794801647</v>
      </c>
      <c r="K26" s="16">
        <f t="shared" si="19"/>
        <v>0.79734219269102991</v>
      </c>
      <c r="L26" s="16">
        <f t="shared" si="19"/>
        <v>0.99667774086378746</v>
      </c>
      <c r="M26" s="16">
        <f t="shared" si="19"/>
        <v>6.6445182724252497E-2</v>
      </c>
      <c r="N26" s="16">
        <f t="shared" si="19"/>
        <v>0.23255813953488372</v>
      </c>
      <c r="O26" s="16">
        <f t="shared" si="19"/>
        <v>0.43775649794801647</v>
      </c>
      <c r="P26" s="16">
        <f t="shared" si="19"/>
        <v>0.79734219269102991</v>
      </c>
      <c r="Q26" s="16">
        <f t="shared" si="19"/>
        <v>0.99667774086378746</v>
      </c>
      <c r="R26" s="16">
        <f t="shared" si="19"/>
        <v>6.6445182724252497E-2</v>
      </c>
      <c r="S26" s="16">
        <f t="shared" si="19"/>
        <v>0.23255813953488372</v>
      </c>
      <c r="T26" s="16">
        <f t="shared" si="19"/>
        <v>0.43775649794801647</v>
      </c>
      <c r="U26" s="16">
        <f t="shared" si="19"/>
        <v>0.79734219269102991</v>
      </c>
      <c r="V26" s="16">
        <f t="shared" si="19"/>
        <v>0.99667774086378746</v>
      </c>
    </row>
    <row r="27" spans="2:22" x14ac:dyDescent="0.25">
      <c r="B27" t="s">
        <v>57</v>
      </c>
      <c r="C27" s="19">
        <f>MAX(C24,C26)</f>
        <v>0.1</v>
      </c>
      <c r="D27" s="19">
        <f t="shared" ref="D27:V27" si="20">MAX(D24,D26)</f>
        <v>0.25</v>
      </c>
      <c r="E27" s="19">
        <f t="shared" si="20"/>
        <v>0.43775649794801647</v>
      </c>
      <c r="F27" s="19">
        <f t="shared" si="20"/>
        <v>0.79734219269102991</v>
      </c>
      <c r="G27" s="19">
        <f t="shared" si="20"/>
        <v>0.99667774086378746</v>
      </c>
      <c r="H27" s="19">
        <f t="shared" si="20"/>
        <v>0.1</v>
      </c>
      <c r="I27" s="19">
        <f t="shared" si="20"/>
        <v>0.25</v>
      </c>
      <c r="J27" s="19">
        <f t="shared" si="20"/>
        <v>0.43775649794801647</v>
      </c>
      <c r="K27" s="19">
        <f t="shared" si="20"/>
        <v>0.79734219269102991</v>
      </c>
      <c r="L27" s="19">
        <f t="shared" si="20"/>
        <v>0.99667774086378746</v>
      </c>
      <c r="M27" s="19">
        <f t="shared" si="20"/>
        <v>0.1</v>
      </c>
      <c r="N27" s="19">
        <f t="shared" si="20"/>
        <v>0.25</v>
      </c>
      <c r="O27" s="19">
        <f t="shared" si="20"/>
        <v>0.43775649794801647</v>
      </c>
      <c r="P27" s="19">
        <f t="shared" si="20"/>
        <v>0.79734219269102991</v>
      </c>
      <c r="Q27" s="19">
        <f t="shared" si="20"/>
        <v>0.99667774086378746</v>
      </c>
      <c r="R27" s="19">
        <f t="shared" si="20"/>
        <v>0.1</v>
      </c>
      <c r="S27" s="19">
        <f t="shared" si="20"/>
        <v>0.25</v>
      </c>
      <c r="T27" s="19">
        <f t="shared" si="20"/>
        <v>0.43775649794801647</v>
      </c>
      <c r="U27" s="19">
        <f t="shared" si="20"/>
        <v>0.79734219269102991</v>
      </c>
      <c r="V27" s="19">
        <f t="shared" si="20"/>
        <v>0.99667774086378746</v>
      </c>
    </row>
    <row r="28" spans="2:22" x14ac:dyDescent="0.25">
      <c r="B28" t="s">
        <v>58</v>
      </c>
      <c r="C28" s="19">
        <f>MIN(C24,C26)</f>
        <v>6.6445182724252497E-2</v>
      </c>
      <c r="D28" s="19">
        <f t="shared" ref="D28:V28" si="21">MIN(D24,D26)</f>
        <v>0.23255813953488372</v>
      </c>
      <c r="E28" s="19">
        <f t="shared" si="21"/>
        <v>0.4</v>
      </c>
      <c r="F28" s="19">
        <f t="shared" si="21"/>
        <v>0.6</v>
      </c>
      <c r="G28" s="19">
        <f t="shared" si="21"/>
        <v>0.75</v>
      </c>
      <c r="H28" s="19">
        <f t="shared" si="21"/>
        <v>6.6445182724252497E-2</v>
      </c>
      <c r="I28" s="19">
        <f t="shared" si="21"/>
        <v>0.23255813953488372</v>
      </c>
      <c r="J28" s="19">
        <f t="shared" si="21"/>
        <v>0.4</v>
      </c>
      <c r="K28" s="19">
        <f t="shared" si="21"/>
        <v>0.6</v>
      </c>
      <c r="L28" s="19">
        <f t="shared" si="21"/>
        <v>0.75</v>
      </c>
      <c r="M28" s="19">
        <f t="shared" si="21"/>
        <v>6.6445182724252497E-2</v>
      </c>
      <c r="N28" s="19">
        <f t="shared" si="21"/>
        <v>0.23255813953488372</v>
      </c>
      <c r="O28" s="19">
        <f t="shared" si="21"/>
        <v>0.4</v>
      </c>
      <c r="P28" s="19">
        <f t="shared" si="21"/>
        <v>0.6</v>
      </c>
      <c r="Q28" s="19">
        <f t="shared" si="21"/>
        <v>0.75</v>
      </c>
      <c r="R28" s="19">
        <f t="shared" si="21"/>
        <v>6.6445182724252497E-2</v>
      </c>
      <c r="S28" s="19">
        <f t="shared" si="21"/>
        <v>0.23255813953488372</v>
      </c>
      <c r="T28" s="19">
        <f t="shared" si="21"/>
        <v>0.4</v>
      </c>
      <c r="U28" s="19">
        <f t="shared" si="21"/>
        <v>0.6</v>
      </c>
      <c r="V28" s="19">
        <f t="shared" si="21"/>
        <v>0.75</v>
      </c>
    </row>
    <row r="29" spans="2:2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17.25" x14ac:dyDescent="0.25">
      <c r="B30" t="s">
        <v>63</v>
      </c>
      <c r="C30" s="20">
        <f>IF(OR(C14="Vented Crawlspace",C14="Unheated Basement"),0.25/2,1/3/2)</f>
        <v>0.125</v>
      </c>
      <c r="D30" s="20">
        <f t="shared" ref="D30:V30" si="22">IF(OR(D14="Vented Crawlspace",D14="Unheated Basement"),0.25/2,1/3/2)</f>
        <v>0.125</v>
      </c>
      <c r="E30" s="20">
        <f t="shared" si="22"/>
        <v>0.125</v>
      </c>
      <c r="F30" s="20">
        <f t="shared" si="22"/>
        <v>0.125</v>
      </c>
      <c r="G30" s="20">
        <f t="shared" si="22"/>
        <v>0.125</v>
      </c>
      <c r="H30" s="20">
        <f t="shared" si="22"/>
        <v>0.16666666666666666</v>
      </c>
      <c r="I30" s="20">
        <f t="shared" si="22"/>
        <v>0.16666666666666666</v>
      </c>
      <c r="J30" s="20">
        <f t="shared" si="22"/>
        <v>0.16666666666666666</v>
      </c>
      <c r="K30" s="20">
        <f t="shared" si="22"/>
        <v>0.16666666666666666</v>
      </c>
      <c r="L30" s="20">
        <f t="shared" si="22"/>
        <v>0.16666666666666666</v>
      </c>
      <c r="M30" s="20">
        <f t="shared" si="22"/>
        <v>0.125</v>
      </c>
      <c r="N30" s="20">
        <f t="shared" si="22"/>
        <v>0.125</v>
      </c>
      <c r="O30" s="20">
        <f t="shared" si="22"/>
        <v>0.125</v>
      </c>
      <c r="P30" s="20">
        <f t="shared" si="22"/>
        <v>0.125</v>
      </c>
      <c r="Q30" s="20">
        <f t="shared" si="22"/>
        <v>0.125</v>
      </c>
      <c r="R30" s="20">
        <f t="shared" si="22"/>
        <v>0.16666666666666666</v>
      </c>
      <c r="S30" s="20">
        <f t="shared" si="22"/>
        <v>0.16666666666666666</v>
      </c>
      <c r="T30" s="20">
        <f t="shared" si="22"/>
        <v>0.16666666666666666</v>
      </c>
      <c r="U30" s="20">
        <f t="shared" si="22"/>
        <v>0.16666666666666666</v>
      </c>
      <c r="V30" s="20">
        <f t="shared" si="22"/>
        <v>0.16666666666666666</v>
      </c>
    </row>
    <row r="31" spans="2:22" ht="17.25" x14ac:dyDescent="0.25">
      <c r="B31" t="s">
        <v>64</v>
      </c>
      <c r="C31" s="20">
        <f>IF(OR(C14="Vented Crawlspace",C14="Unheated Basement"),0.25/2,1/3/2)</f>
        <v>0.125</v>
      </c>
      <c r="D31" s="20">
        <f t="shared" ref="D31:V31" si="23">IF(OR(D14="Vented Crawlspace",D14="Unheated Basement"),0.25/2,1/3/2)</f>
        <v>0.125</v>
      </c>
      <c r="E31" s="20">
        <f t="shared" si="23"/>
        <v>0.125</v>
      </c>
      <c r="F31" s="20">
        <f t="shared" si="23"/>
        <v>0.125</v>
      </c>
      <c r="G31" s="20">
        <f t="shared" si="23"/>
        <v>0.125</v>
      </c>
      <c r="H31" s="20">
        <f t="shared" si="23"/>
        <v>0.16666666666666666</v>
      </c>
      <c r="I31" s="20">
        <f t="shared" si="23"/>
        <v>0.16666666666666666</v>
      </c>
      <c r="J31" s="20">
        <f t="shared" si="23"/>
        <v>0.16666666666666666</v>
      </c>
      <c r="K31" s="20">
        <f t="shared" si="23"/>
        <v>0.16666666666666666</v>
      </c>
      <c r="L31" s="20">
        <f t="shared" si="23"/>
        <v>0.16666666666666666</v>
      </c>
      <c r="M31" s="20">
        <f t="shared" si="23"/>
        <v>0.125</v>
      </c>
      <c r="N31" s="20">
        <f t="shared" si="23"/>
        <v>0.125</v>
      </c>
      <c r="O31" s="20">
        <f t="shared" si="23"/>
        <v>0.125</v>
      </c>
      <c r="P31" s="20">
        <f t="shared" si="23"/>
        <v>0.125</v>
      </c>
      <c r="Q31" s="20">
        <f t="shared" si="23"/>
        <v>0.125</v>
      </c>
      <c r="R31" s="20">
        <f t="shared" si="23"/>
        <v>0.16666666666666666</v>
      </c>
      <c r="S31" s="20">
        <f t="shared" si="23"/>
        <v>0.16666666666666666</v>
      </c>
      <c r="T31" s="20">
        <f t="shared" si="23"/>
        <v>0.16666666666666666</v>
      </c>
      <c r="U31" s="20">
        <f t="shared" si="23"/>
        <v>0.16666666666666666</v>
      </c>
      <c r="V31" s="20">
        <f t="shared" si="23"/>
        <v>0.16666666666666666</v>
      </c>
    </row>
    <row r="32" spans="2:22" ht="17.25" x14ac:dyDescent="0.25">
      <c r="B32" t="s">
        <v>67</v>
      </c>
      <c r="C32" s="20">
        <f>2*C30+2*C31</f>
        <v>0.5</v>
      </c>
      <c r="D32" s="20">
        <f t="shared" ref="D32:V32" si="24">2*D30+2*D31</f>
        <v>0.5</v>
      </c>
      <c r="E32" s="20">
        <f t="shared" si="24"/>
        <v>0.5</v>
      </c>
      <c r="F32" s="20">
        <f t="shared" si="24"/>
        <v>0.5</v>
      </c>
      <c r="G32" s="20">
        <f t="shared" si="24"/>
        <v>0.5</v>
      </c>
      <c r="H32" s="20">
        <f t="shared" si="24"/>
        <v>0.66666666666666663</v>
      </c>
      <c r="I32" s="20">
        <f t="shared" si="24"/>
        <v>0.66666666666666663</v>
      </c>
      <c r="J32" s="20">
        <f t="shared" si="24"/>
        <v>0.66666666666666663</v>
      </c>
      <c r="K32" s="20">
        <f t="shared" si="24"/>
        <v>0.66666666666666663</v>
      </c>
      <c r="L32" s="20">
        <f t="shared" si="24"/>
        <v>0.66666666666666663</v>
      </c>
      <c r="M32" s="20">
        <f t="shared" si="24"/>
        <v>0.5</v>
      </c>
      <c r="N32" s="20">
        <f t="shared" si="24"/>
        <v>0.5</v>
      </c>
      <c r="O32" s="20">
        <f t="shared" si="24"/>
        <v>0.5</v>
      </c>
      <c r="P32" s="20">
        <f t="shared" si="24"/>
        <v>0.5</v>
      </c>
      <c r="Q32" s="20">
        <f t="shared" si="24"/>
        <v>0.5</v>
      </c>
      <c r="R32" s="20">
        <f t="shared" si="24"/>
        <v>0.66666666666666663</v>
      </c>
      <c r="S32" s="20">
        <f t="shared" si="24"/>
        <v>0.66666666666666663</v>
      </c>
      <c r="T32" s="20">
        <f t="shared" si="24"/>
        <v>0.66666666666666663</v>
      </c>
      <c r="U32" s="20">
        <f t="shared" si="24"/>
        <v>0.66666666666666663</v>
      </c>
      <c r="V32" s="20">
        <f t="shared" si="24"/>
        <v>0.66666666666666663</v>
      </c>
    </row>
    <row r="33" spans="2:22" ht="17.25" x14ac:dyDescent="0.25">
      <c r="B33" t="s">
        <v>65</v>
      </c>
      <c r="C33" s="20">
        <f>IF(OR(C14="Vented Crawlspace",C14="Unheated Basement"),0.25,1/3)</f>
        <v>0.25</v>
      </c>
      <c r="D33" s="20">
        <f t="shared" ref="D33:V33" si="25">IF(OR(D14="Vented Crawlspace",D14="Unheated Basement"),0.25,1/3)</f>
        <v>0.25</v>
      </c>
      <c r="E33" s="20">
        <f t="shared" si="25"/>
        <v>0.25</v>
      </c>
      <c r="F33" s="20">
        <f t="shared" si="25"/>
        <v>0.25</v>
      </c>
      <c r="G33" s="20">
        <f t="shared" si="25"/>
        <v>0.25</v>
      </c>
      <c r="H33" s="20">
        <f t="shared" si="25"/>
        <v>0.33333333333333331</v>
      </c>
      <c r="I33" s="20">
        <f t="shared" si="25"/>
        <v>0.33333333333333331</v>
      </c>
      <c r="J33" s="20">
        <f t="shared" si="25"/>
        <v>0.33333333333333331</v>
      </c>
      <c r="K33" s="20">
        <f t="shared" si="25"/>
        <v>0.33333333333333331</v>
      </c>
      <c r="L33" s="20">
        <f t="shared" si="25"/>
        <v>0.33333333333333331</v>
      </c>
      <c r="M33" s="20">
        <f t="shared" si="25"/>
        <v>0.25</v>
      </c>
      <c r="N33" s="20">
        <f t="shared" si="25"/>
        <v>0.25</v>
      </c>
      <c r="O33" s="20">
        <f t="shared" si="25"/>
        <v>0.25</v>
      </c>
      <c r="P33" s="20">
        <f t="shared" si="25"/>
        <v>0.25</v>
      </c>
      <c r="Q33" s="20">
        <f t="shared" si="25"/>
        <v>0.25</v>
      </c>
      <c r="R33" s="20">
        <f t="shared" si="25"/>
        <v>0.33333333333333331</v>
      </c>
      <c r="S33" s="20">
        <f t="shared" si="25"/>
        <v>0.33333333333333331</v>
      </c>
      <c r="T33" s="20">
        <f t="shared" si="25"/>
        <v>0.33333333333333331</v>
      </c>
      <c r="U33" s="20">
        <f t="shared" si="25"/>
        <v>0.33333333333333331</v>
      </c>
      <c r="V33" s="20">
        <f t="shared" si="25"/>
        <v>0.33333333333333331</v>
      </c>
    </row>
    <row r="34" spans="2:22" ht="17.25" x14ac:dyDescent="0.25">
      <c r="B34" t="s">
        <v>66</v>
      </c>
      <c r="C34" s="20">
        <f>IF(OR(C14="Vented Crawlspace",C14="Unheated Basement"),0.25,0)</f>
        <v>0.25</v>
      </c>
      <c r="D34" s="20">
        <f t="shared" ref="D34:V34" si="26">IF(OR(D14="Vented Crawlspace",D14="Unheated Basement"),0.25,0)</f>
        <v>0.25</v>
      </c>
      <c r="E34" s="20">
        <f t="shared" si="26"/>
        <v>0.25</v>
      </c>
      <c r="F34" s="20">
        <f t="shared" si="26"/>
        <v>0.25</v>
      </c>
      <c r="G34" s="20">
        <f t="shared" si="26"/>
        <v>0.25</v>
      </c>
      <c r="H34" s="20">
        <f t="shared" si="26"/>
        <v>0</v>
      </c>
      <c r="I34" s="20">
        <f t="shared" si="26"/>
        <v>0</v>
      </c>
      <c r="J34" s="20">
        <f t="shared" si="26"/>
        <v>0</v>
      </c>
      <c r="K34" s="20">
        <f t="shared" si="26"/>
        <v>0</v>
      </c>
      <c r="L34" s="20">
        <f t="shared" si="26"/>
        <v>0</v>
      </c>
      <c r="M34" s="20">
        <f t="shared" si="26"/>
        <v>0.25</v>
      </c>
      <c r="N34" s="20">
        <f t="shared" si="26"/>
        <v>0.25</v>
      </c>
      <c r="O34" s="20">
        <f t="shared" si="26"/>
        <v>0.25</v>
      </c>
      <c r="P34" s="20">
        <f t="shared" si="26"/>
        <v>0.25</v>
      </c>
      <c r="Q34" s="20">
        <f t="shared" si="26"/>
        <v>0.25</v>
      </c>
      <c r="R34" s="20">
        <f t="shared" si="26"/>
        <v>0</v>
      </c>
      <c r="S34" s="20">
        <f t="shared" si="26"/>
        <v>0</v>
      </c>
      <c r="T34" s="20">
        <f t="shared" si="26"/>
        <v>0</v>
      </c>
      <c r="U34" s="20">
        <f t="shared" si="26"/>
        <v>0</v>
      </c>
      <c r="V34" s="20">
        <f t="shared" si="26"/>
        <v>0</v>
      </c>
    </row>
    <row r="35" spans="2:22" x14ac:dyDescent="0.25">
      <c r="B35" t="s">
        <v>68</v>
      </c>
      <c r="C35" s="21">
        <f>SUM(C32:C34)</f>
        <v>1</v>
      </c>
      <c r="D35" s="21">
        <f t="shared" ref="D35:V35" si="27">SUM(D32:D34)</f>
        <v>1</v>
      </c>
      <c r="E35" s="21">
        <f t="shared" si="27"/>
        <v>1</v>
      </c>
      <c r="F35" s="21">
        <f t="shared" si="27"/>
        <v>1</v>
      </c>
      <c r="G35" s="21">
        <f t="shared" si="27"/>
        <v>1</v>
      </c>
      <c r="H35" s="21">
        <f t="shared" si="27"/>
        <v>1</v>
      </c>
      <c r="I35" s="21">
        <f t="shared" si="27"/>
        <v>1</v>
      </c>
      <c r="J35" s="21">
        <f t="shared" si="27"/>
        <v>1</v>
      </c>
      <c r="K35" s="21">
        <f t="shared" si="27"/>
        <v>1</v>
      </c>
      <c r="L35" s="21">
        <f t="shared" si="27"/>
        <v>1</v>
      </c>
      <c r="M35" s="21">
        <f t="shared" si="27"/>
        <v>1</v>
      </c>
      <c r="N35" s="21">
        <f t="shared" si="27"/>
        <v>1</v>
      </c>
      <c r="O35" s="21">
        <f t="shared" si="27"/>
        <v>1</v>
      </c>
      <c r="P35" s="21">
        <f t="shared" si="27"/>
        <v>1</v>
      </c>
      <c r="Q35" s="21">
        <f t="shared" si="27"/>
        <v>1</v>
      </c>
      <c r="R35" s="21">
        <f t="shared" si="27"/>
        <v>1</v>
      </c>
      <c r="S35" s="21">
        <f t="shared" si="27"/>
        <v>1</v>
      </c>
      <c r="T35" s="21">
        <f t="shared" si="27"/>
        <v>1</v>
      </c>
      <c r="U35" s="21">
        <f t="shared" si="27"/>
        <v>1</v>
      </c>
      <c r="V35" s="21">
        <f t="shared" si="27"/>
        <v>1</v>
      </c>
    </row>
    <row r="36" spans="2:2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ht="17.25" x14ac:dyDescent="0.25">
      <c r="B37" t="s">
        <v>59</v>
      </c>
      <c r="C37" s="15">
        <f>C30*C$22</f>
        <v>2.3646093707476155E-3</v>
      </c>
      <c r="D37" s="15">
        <f t="shared" ref="D37:V37" si="28">D30*D$22</f>
        <v>5.9115234268690385E-3</v>
      </c>
      <c r="E37" s="15">
        <f t="shared" si="28"/>
        <v>9.458437482990462E-3</v>
      </c>
      <c r="F37" s="15">
        <f t="shared" si="28"/>
        <v>1.4187656224485694E-2</v>
      </c>
      <c r="G37" s="15">
        <f t="shared" si="28"/>
        <v>1.7734570280607116E-2</v>
      </c>
      <c r="H37" s="15">
        <f t="shared" si="28"/>
        <v>3.1528124943301537E-3</v>
      </c>
      <c r="I37" s="15">
        <f t="shared" si="28"/>
        <v>7.8820312358253847E-3</v>
      </c>
      <c r="J37" s="15">
        <f t="shared" si="28"/>
        <v>1.2611249977320615E-2</v>
      </c>
      <c r="K37" s="15">
        <f t="shared" si="28"/>
        <v>1.8916874965980924E-2</v>
      </c>
      <c r="L37" s="15">
        <f t="shared" si="28"/>
        <v>2.3646093707476154E-2</v>
      </c>
      <c r="M37" s="15">
        <f t="shared" si="28"/>
        <v>2.3646093707476155E-3</v>
      </c>
      <c r="N37" s="15">
        <f t="shared" si="28"/>
        <v>5.9115234268690385E-3</v>
      </c>
      <c r="O37" s="15">
        <f t="shared" si="28"/>
        <v>9.458437482990462E-3</v>
      </c>
      <c r="P37" s="15">
        <f t="shared" si="28"/>
        <v>1.4187656224485694E-2</v>
      </c>
      <c r="Q37" s="15">
        <f t="shared" si="28"/>
        <v>1.7734570280607116E-2</v>
      </c>
      <c r="R37" s="15">
        <f t="shared" si="28"/>
        <v>6.3056249886603074E-3</v>
      </c>
      <c r="S37" s="15">
        <f t="shared" si="28"/>
        <v>1.5764062471650769E-2</v>
      </c>
      <c r="T37" s="15">
        <f t="shared" si="28"/>
        <v>2.522249995464123E-2</v>
      </c>
      <c r="U37" s="15">
        <f t="shared" si="28"/>
        <v>3.7833749931961848E-2</v>
      </c>
      <c r="V37" s="15">
        <f t="shared" si="28"/>
        <v>4.7292187414952308E-2</v>
      </c>
    </row>
    <row r="38" spans="2:22" ht="17.25" x14ac:dyDescent="0.25">
      <c r="B38" t="s">
        <v>60</v>
      </c>
      <c r="C38" s="15">
        <f>C31*C$22</f>
        <v>2.3646093707476155E-3</v>
      </c>
      <c r="D38" s="15">
        <f t="shared" ref="D38:V38" si="29">D31*D$22</f>
        <v>5.9115234268690385E-3</v>
      </c>
      <c r="E38" s="15">
        <f t="shared" si="29"/>
        <v>9.458437482990462E-3</v>
      </c>
      <c r="F38" s="15">
        <f t="shared" si="29"/>
        <v>1.4187656224485694E-2</v>
      </c>
      <c r="G38" s="15">
        <f t="shared" si="29"/>
        <v>1.7734570280607116E-2</v>
      </c>
      <c r="H38" s="15">
        <f t="shared" si="29"/>
        <v>3.1528124943301537E-3</v>
      </c>
      <c r="I38" s="15">
        <f t="shared" si="29"/>
        <v>7.8820312358253847E-3</v>
      </c>
      <c r="J38" s="15">
        <f t="shared" si="29"/>
        <v>1.2611249977320615E-2</v>
      </c>
      <c r="K38" s="15">
        <f t="shared" si="29"/>
        <v>1.8916874965980924E-2</v>
      </c>
      <c r="L38" s="15">
        <f t="shared" si="29"/>
        <v>2.3646093707476154E-2</v>
      </c>
      <c r="M38" s="15">
        <f t="shared" si="29"/>
        <v>2.3646093707476155E-3</v>
      </c>
      <c r="N38" s="15">
        <f t="shared" si="29"/>
        <v>5.9115234268690385E-3</v>
      </c>
      <c r="O38" s="15">
        <f t="shared" si="29"/>
        <v>9.458437482990462E-3</v>
      </c>
      <c r="P38" s="15">
        <f t="shared" si="29"/>
        <v>1.4187656224485694E-2</v>
      </c>
      <c r="Q38" s="15">
        <f t="shared" si="29"/>
        <v>1.7734570280607116E-2</v>
      </c>
      <c r="R38" s="15">
        <f t="shared" si="29"/>
        <v>6.3056249886603074E-3</v>
      </c>
      <c r="S38" s="15">
        <f t="shared" si="29"/>
        <v>1.5764062471650769E-2</v>
      </c>
      <c r="T38" s="15">
        <f t="shared" si="29"/>
        <v>2.522249995464123E-2</v>
      </c>
      <c r="U38" s="15">
        <f t="shared" si="29"/>
        <v>3.7833749931961848E-2</v>
      </c>
      <c r="V38" s="15">
        <f t="shared" si="29"/>
        <v>4.7292187414952308E-2</v>
      </c>
    </row>
    <row r="39" spans="2:22" ht="17.25" x14ac:dyDescent="0.25">
      <c r="B39" t="s">
        <v>69</v>
      </c>
      <c r="C39" s="15">
        <f>2*C37+2*C38</f>
        <v>9.458437482990462E-3</v>
      </c>
      <c r="D39" s="15">
        <f t="shared" ref="D39:V39" si="30">2*D37+2*D38</f>
        <v>2.3646093707476154E-2</v>
      </c>
      <c r="E39" s="15">
        <f t="shared" si="30"/>
        <v>3.7833749931961848E-2</v>
      </c>
      <c r="F39" s="15">
        <f t="shared" si="30"/>
        <v>5.6750624897942775E-2</v>
      </c>
      <c r="G39" s="15">
        <f t="shared" si="30"/>
        <v>7.0938281122428462E-2</v>
      </c>
      <c r="H39" s="15">
        <f t="shared" si="30"/>
        <v>1.2611249977320615E-2</v>
      </c>
      <c r="I39" s="15">
        <f t="shared" si="30"/>
        <v>3.1528124943301539E-2</v>
      </c>
      <c r="J39" s="15">
        <f t="shared" si="30"/>
        <v>5.0444999909282459E-2</v>
      </c>
      <c r="K39" s="15">
        <f t="shared" si="30"/>
        <v>7.5667499863923696E-2</v>
      </c>
      <c r="L39" s="15">
        <f t="shared" si="30"/>
        <v>9.4584374829904616E-2</v>
      </c>
      <c r="M39" s="15">
        <f t="shared" si="30"/>
        <v>9.458437482990462E-3</v>
      </c>
      <c r="N39" s="15">
        <f t="shared" si="30"/>
        <v>2.3646093707476154E-2</v>
      </c>
      <c r="O39" s="15">
        <f t="shared" si="30"/>
        <v>3.7833749931961848E-2</v>
      </c>
      <c r="P39" s="15">
        <f t="shared" si="30"/>
        <v>5.6750624897942775E-2</v>
      </c>
      <c r="Q39" s="15">
        <f t="shared" si="30"/>
        <v>7.0938281122428462E-2</v>
      </c>
      <c r="R39" s="15">
        <f t="shared" si="30"/>
        <v>2.522249995464123E-2</v>
      </c>
      <c r="S39" s="15">
        <f t="shared" si="30"/>
        <v>6.3056249886603077E-2</v>
      </c>
      <c r="T39" s="15">
        <f t="shared" si="30"/>
        <v>0.10088999981856492</v>
      </c>
      <c r="U39" s="15">
        <f t="shared" si="30"/>
        <v>0.15133499972784739</v>
      </c>
      <c r="V39" s="15">
        <f t="shared" si="30"/>
        <v>0.18916874965980923</v>
      </c>
    </row>
    <row r="40" spans="2:22" ht="17.25" x14ac:dyDescent="0.25">
      <c r="B40" t="s">
        <v>61</v>
      </c>
      <c r="C40" s="15">
        <f>C33*C$22</f>
        <v>4.729218741495231E-3</v>
      </c>
      <c r="D40" s="15">
        <f t="shared" ref="D40:V40" si="31">D33*D$22</f>
        <v>1.1823046853738077E-2</v>
      </c>
      <c r="E40" s="15">
        <f t="shared" si="31"/>
        <v>1.8916874965980924E-2</v>
      </c>
      <c r="F40" s="15">
        <f t="shared" si="31"/>
        <v>2.8375312448971388E-2</v>
      </c>
      <c r="G40" s="15">
        <f t="shared" si="31"/>
        <v>3.5469140561214231E-2</v>
      </c>
      <c r="H40" s="15">
        <f t="shared" si="31"/>
        <v>6.3056249886603074E-3</v>
      </c>
      <c r="I40" s="15">
        <f t="shared" si="31"/>
        <v>1.5764062471650769E-2</v>
      </c>
      <c r="J40" s="15">
        <f t="shared" si="31"/>
        <v>2.522249995464123E-2</v>
      </c>
      <c r="K40" s="15">
        <f t="shared" si="31"/>
        <v>3.7833749931961848E-2</v>
      </c>
      <c r="L40" s="15">
        <f t="shared" si="31"/>
        <v>4.7292187414952308E-2</v>
      </c>
      <c r="M40" s="15">
        <f t="shared" si="31"/>
        <v>4.729218741495231E-3</v>
      </c>
      <c r="N40" s="15">
        <f t="shared" si="31"/>
        <v>1.1823046853738077E-2</v>
      </c>
      <c r="O40" s="15">
        <f t="shared" si="31"/>
        <v>1.8916874965980924E-2</v>
      </c>
      <c r="P40" s="15">
        <f t="shared" si="31"/>
        <v>2.8375312448971388E-2</v>
      </c>
      <c r="Q40" s="15">
        <f t="shared" si="31"/>
        <v>3.5469140561214231E-2</v>
      </c>
      <c r="R40" s="15">
        <f t="shared" si="31"/>
        <v>1.2611249977320615E-2</v>
      </c>
      <c r="S40" s="15">
        <f t="shared" si="31"/>
        <v>3.1528124943301539E-2</v>
      </c>
      <c r="T40" s="15">
        <f t="shared" si="31"/>
        <v>5.0444999909282459E-2</v>
      </c>
      <c r="U40" s="15">
        <f t="shared" si="31"/>
        <v>7.5667499863923696E-2</v>
      </c>
      <c r="V40" s="15">
        <f t="shared" si="31"/>
        <v>9.4584374829904616E-2</v>
      </c>
    </row>
    <row r="41" spans="2:22" ht="17.25" x14ac:dyDescent="0.25">
      <c r="B41" t="s">
        <v>62</v>
      </c>
      <c r="C41" s="15">
        <f>C34*C$22</f>
        <v>4.729218741495231E-3</v>
      </c>
      <c r="D41" s="15">
        <f t="shared" ref="D41:V41" si="32">D34*D$22</f>
        <v>1.1823046853738077E-2</v>
      </c>
      <c r="E41" s="15">
        <f t="shared" si="32"/>
        <v>1.8916874965980924E-2</v>
      </c>
      <c r="F41" s="15">
        <f t="shared" si="32"/>
        <v>2.8375312448971388E-2</v>
      </c>
      <c r="G41" s="15">
        <f t="shared" si="32"/>
        <v>3.5469140561214231E-2</v>
      </c>
      <c r="H41" s="15">
        <f t="shared" si="32"/>
        <v>0</v>
      </c>
      <c r="I41" s="15">
        <f t="shared" si="32"/>
        <v>0</v>
      </c>
      <c r="J41" s="15">
        <f t="shared" si="32"/>
        <v>0</v>
      </c>
      <c r="K41" s="15">
        <f t="shared" si="32"/>
        <v>0</v>
      </c>
      <c r="L41" s="15">
        <f t="shared" si="32"/>
        <v>0</v>
      </c>
      <c r="M41" s="15">
        <f t="shared" si="32"/>
        <v>4.729218741495231E-3</v>
      </c>
      <c r="N41" s="15">
        <f t="shared" si="32"/>
        <v>1.1823046853738077E-2</v>
      </c>
      <c r="O41" s="15">
        <f t="shared" si="32"/>
        <v>1.8916874965980924E-2</v>
      </c>
      <c r="P41" s="15">
        <f t="shared" si="32"/>
        <v>2.8375312448971388E-2</v>
      </c>
      <c r="Q41" s="15">
        <f t="shared" si="32"/>
        <v>3.5469140561214231E-2</v>
      </c>
      <c r="R41" s="15">
        <f t="shared" si="32"/>
        <v>0</v>
      </c>
      <c r="S41" s="15">
        <f t="shared" si="32"/>
        <v>0</v>
      </c>
      <c r="T41" s="15">
        <f t="shared" si="32"/>
        <v>0</v>
      </c>
      <c r="U41" s="15">
        <f t="shared" si="32"/>
        <v>0</v>
      </c>
      <c r="V41" s="15">
        <f t="shared" si="32"/>
        <v>0</v>
      </c>
    </row>
    <row r="42" spans="2:22" ht="17.25" x14ac:dyDescent="0.25">
      <c r="B42" t="s">
        <v>70</v>
      </c>
      <c r="C42" s="15">
        <f>SUM(C39:C41)</f>
        <v>1.8916874965980924E-2</v>
      </c>
      <c r="D42" s="15">
        <f t="shared" ref="D42:V42" si="33">SUM(D39:D41)</f>
        <v>4.7292187414952308E-2</v>
      </c>
      <c r="E42" s="15">
        <f t="shared" si="33"/>
        <v>7.5667499863923696E-2</v>
      </c>
      <c r="F42" s="15">
        <f t="shared" si="33"/>
        <v>0.11350124979588555</v>
      </c>
      <c r="G42" s="15">
        <f t="shared" si="33"/>
        <v>0.14187656224485692</v>
      </c>
      <c r="H42" s="15">
        <f t="shared" si="33"/>
        <v>1.891687496598092E-2</v>
      </c>
      <c r="I42" s="15">
        <f t="shared" si="33"/>
        <v>4.7292187414952308E-2</v>
      </c>
      <c r="J42" s="15">
        <f t="shared" si="33"/>
        <v>7.5667499863923682E-2</v>
      </c>
      <c r="K42" s="15">
        <f t="shared" si="33"/>
        <v>0.11350124979588555</v>
      </c>
      <c r="L42" s="15">
        <f t="shared" si="33"/>
        <v>0.14187656224485692</v>
      </c>
      <c r="M42" s="15">
        <f t="shared" si="33"/>
        <v>1.8916874965980924E-2</v>
      </c>
      <c r="N42" s="15">
        <f t="shared" si="33"/>
        <v>4.7292187414952308E-2</v>
      </c>
      <c r="O42" s="15">
        <f t="shared" si="33"/>
        <v>7.5667499863923696E-2</v>
      </c>
      <c r="P42" s="15">
        <f t="shared" si="33"/>
        <v>0.11350124979588555</v>
      </c>
      <c r="Q42" s="15">
        <f t="shared" si="33"/>
        <v>0.14187656224485692</v>
      </c>
      <c r="R42" s="15">
        <f t="shared" si="33"/>
        <v>3.7833749931961841E-2</v>
      </c>
      <c r="S42" s="15">
        <f t="shared" si="33"/>
        <v>9.4584374829904616E-2</v>
      </c>
      <c r="T42" s="15">
        <f t="shared" si="33"/>
        <v>0.15133499972784736</v>
      </c>
      <c r="U42" s="15">
        <f t="shared" si="33"/>
        <v>0.2270024995917711</v>
      </c>
      <c r="V42" s="15">
        <f t="shared" si="33"/>
        <v>0.28375312448971385</v>
      </c>
    </row>
    <row r="43" spans="2:22" ht="17.25" x14ac:dyDescent="0.25">
      <c r="B43" t="s">
        <v>72</v>
      </c>
      <c r="C43" s="15">
        <f>C42*$D$5</f>
        <v>29.321156197270433</v>
      </c>
      <c r="D43" s="15">
        <f t="shared" ref="D43:V43" si="34">D42*$D$5</f>
        <v>73.302890493176079</v>
      </c>
      <c r="E43" s="15">
        <f t="shared" si="34"/>
        <v>117.28462478908173</v>
      </c>
      <c r="F43" s="15">
        <f t="shared" si="34"/>
        <v>175.92693718362261</v>
      </c>
      <c r="G43" s="15">
        <f t="shared" si="34"/>
        <v>219.90867147952824</v>
      </c>
      <c r="H43" s="15">
        <f t="shared" si="34"/>
        <v>29.321156197270426</v>
      </c>
      <c r="I43" s="15">
        <f t="shared" si="34"/>
        <v>73.302890493176079</v>
      </c>
      <c r="J43" s="15">
        <f t="shared" si="34"/>
        <v>117.2846247890817</v>
      </c>
      <c r="K43" s="15">
        <f t="shared" si="34"/>
        <v>175.92693718362261</v>
      </c>
      <c r="L43" s="15">
        <f t="shared" si="34"/>
        <v>219.90867147952824</v>
      </c>
      <c r="M43" s="15">
        <f t="shared" si="34"/>
        <v>29.321156197270433</v>
      </c>
      <c r="N43" s="15">
        <f t="shared" si="34"/>
        <v>73.302890493176079</v>
      </c>
      <c r="O43" s="15">
        <f t="shared" si="34"/>
        <v>117.28462478908173</v>
      </c>
      <c r="P43" s="15">
        <f t="shared" si="34"/>
        <v>175.92693718362261</v>
      </c>
      <c r="Q43" s="15">
        <f t="shared" si="34"/>
        <v>219.90867147952824</v>
      </c>
      <c r="R43" s="15">
        <f t="shared" si="34"/>
        <v>58.642312394540852</v>
      </c>
      <c r="S43" s="15">
        <f t="shared" si="34"/>
        <v>146.60578098635216</v>
      </c>
      <c r="T43" s="15">
        <f t="shared" si="34"/>
        <v>234.56924957816341</v>
      </c>
      <c r="U43" s="15">
        <f t="shared" si="34"/>
        <v>351.85387436724523</v>
      </c>
      <c r="V43" s="15">
        <f t="shared" si="34"/>
        <v>439.81734295905648</v>
      </c>
    </row>
    <row r="44" spans="2:22" x14ac:dyDescent="0.25">
      <c r="B44" t="s">
        <v>71</v>
      </c>
      <c r="C44" s="1" t="str">
        <f>IF(C42=C22,"YES","NO")</f>
        <v>YES</v>
      </c>
      <c r="D44" s="1" t="str">
        <f t="shared" ref="D44:V44" si="35">IF(D42=D22,"YES","NO")</f>
        <v>YES</v>
      </c>
      <c r="E44" s="1" t="str">
        <f t="shared" si="35"/>
        <v>YES</v>
      </c>
      <c r="F44" s="1" t="str">
        <f t="shared" si="35"/>
        <v>YES</v>
      </c>
      <c r="G44" s="1" t="str">
        <f t="shared" si="35"/>
        <v>YES</v>
      </c>
      <c r="H44" s="1" t="str">
        <f t="shared" si="35"/>
        <v>YES</v>
      </c>
      <c r="I44" s="1" t="str">
        <f t="shared" si="35"/>
        <v>YES</v>
      </c>
      <c r="J44" s="1" t="str">
        <f t="shared" si="35"/>
        <v>YES</v>
      </c>
      <c r="K44" s="1" t="str">
        <f t="shared" si="35"/>
        <v>YES</v>
      </c>
      <c r="L44" s="1" t="str">
        <f t="shared" si="35"/>
        <v>YES</v>
      </c>
      <c r="M44" s="1" t="str">
        <f t="shared" si="35"/>
        <v>YES</v>
      </c>
      <c r="N44" s="1" t="str">
        <f t="shared" si="35"/>
        <v>YES</v>
      </c>
      <c r="O44" s="1" t="str">
        <f t="shared" si="35"/>
        <v>YES</v>
      </c>
      <c r="P44" s="1" t="str">
        <f t="shared" si="35"/>
        <v>YES</v>
      </c>
      <c r="Q44" s="1" t="str">
        <f t="shared" si="35"/>
        <v>YES</v>
      </c>
      <c r="R44" s="1" t="str">
        <f t="shared" si="35"/>
        <v>YES</v>
      </c>
      <c r="S44" s="1" t="str">
        <f t="shared" si="35"/>
        <v>YES</v>
      </c>
      <c r="T44" s="1" t="str">
        <f t="shared" si="35"/>
        <v>YES</v>
      </c>
      <c r="U44" s="1" t="str">
        <f t="shared" si="35"/>
        <v>YES</v>
      </c>
      <c r="V44" s="1" t="str">
        <f t="shared" si="35"/>
        <v>YES</v>
      </c>
    </row>
  </sheetData>
  <conditionalFormatting sqref="C44:V44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Infiltration Calcs</vt:lpstr>
      <vt:lpstr>REEDR Implementation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2023-03-29T16:13:02Z</dcterms:created>
  <dcterms:modified xsi:type="dcterms:W3CDTF">2023-03-29T23:20:17Z</dcterms:modified>
</cp:coreProperties>
</file>