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\Resources\"/>
    </mc:Choice>
  </mc:AlternateContent>
  <xr:revisionPtr revIDLastSave="0" documentId="13_ncr:1_{0A98CAEC-6BBE-40C0-88CF-8BE2ED63713D}" xr6:coauthVersionLast="47" xr6:coauthVersionMax="47" xr10:uidLastSave="{00000000-0000-0000-0000-000000000000}"/>
  <bookViews>
    <workbookView xWindow="-120" yWindow="-120" windowWidth="29040" windowHeight="15840" activeTab="1" xr2:uid="{2049D6B4-F134-44AF-8070-D609C6F41BA8}"/>
  </bookViews>
  <sheets>
    <sheet name="Infiltration Calcs" sheetId="3" r:id="rId1"/>
    <sheet name="REEDR Implementa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2" i="4"/>
  <c r="N6" i="4"/>
  <c r="N4" i="4"/>
  <c r="N3" i="4"/>
  <c r="E25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18" i="4"/>
  <c r="D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6" i="4"/>
  <c r="C25" i="4"/>
  <c r="D33" i="4" l="1"/>
  <c r="E33" i="4"/>
  <c r="E40" i="4" s="1"/>
  <c r="F33" i="4"/>
  <c r="G33" i="4"/>
  <c r="H33" i="4"/>
  <c r="I33" i="4"/>
  <c r="I40" i="4" s="1"/>
  <c r="J33" i="4"/>
  <c r="K33" i="4"/>
  <c r="L33" i="4"/>
  <c r="M33" i="4"/>
  <c r="M40" i="4" s="1"/>
  <c r="N33" i="4"/>
  <c r="O33" i="4"/>
  <c r="P33" i="4"/>
  <c r="Q33" i="4"/>
  <c r="Q40" i="4" s="1"/>
  <c r="R33" i="4"/>
  <c r="S33" i="4"/>
  <c r="T33" i="4"/>
  <c r="U33" i="4"/>
  <c r="V33" i="4"/>
  <c r="C33" i="4"/>
  <c r="D32" i="4"/>
  <c r="E32" i="4"/>
  <c r="E39" i="4" s="1"/>
  <c r="F32" i="4"/>
  <c r="G32" i="4"/>
  <c r="H32" i="4"/>
  <c r="I32" i="4"/>
  <c r="I39" i="4" s="1"/>
  <c r="J32" i="4"/>
  <c r="K32" i="4"/>
  <c r="L32" i="4"/>
  <c r="M32" i="4"/>
  <c r="M39" i="4" s="1"/>
  <c r="N32" i="4"/>
  <c r="O32" i="4"/>
  <c r="P32" i="4"/>
  <c r="Q32" i="4"/>
  <c r="Q39" i="4" s="1"/>
  <c r="R32" i="4"/>
  <c r="S32" i="4"/>
  <c r="T32" i="4"/>
  <c r="U32" i="4"/>
  <c r="V32" i="4"/>
  <c r="C32" i="4"/>
  <c r="D30" i="4"/>
  <c r="E30" i="4"/>
  <c r="E37" i="4" s="1"/>
  <c r="F30" i="4"/>
  <c r="G30" i="4"/>
  <c r="H30" i="4"/>
  <c r="I30" i="4"/>
  <c r="I37" i="4" s="1"/>
  <c r="J30" i="4"/>
  <c r="K30" i="4"/>
  <c r="L30" i="4"/>
  <c r="M30" i="4"/>
  <c r="M37" i="4" s="1"/>
  <c r="N30" i="4"/>
  <c r="O30" i="4"/>
  <c r="P30" i="4"/>
  <c r="Q30" i="4"/>
  <c r="Q37" i="4" s="1"/>
  <c r="R30" i="4"/>
  <c r="S30" i="4"/>
  <c r="T30" i="4"/>
  <c r="U30" i="4"/>
  <c r="V30" i="4"/>
  <c r="C30" i="4"/>
  <c r="D29" i="4"/>
  <c r="E29" i="4"/>
  <c r="E36" i="4" s="1"/>
  <c r="E38" i="4" s="1"/>
  <c r="E41" i="4" s="1"/>
  <c r="E43" i="4" s="1"/>
  <c r="F29" i="4"/>
  <c r="G29" i="4"/>
  <c r="H29" i="4"/>
  <c r="I29" i="4"/>
  <c r="I36" i="4" s="1"/>
  <c r="I38" i="4" s="1"/>
  <c r="I41" i="4" s="1"/>
  <c r="I43" i="4" s="1"/>
  <c r="J29" i="4"/>
  <c r="K29" i="4"/>
  <c r="L29" i="4"/>
  <c r="M29" i="4"/>
  <c r="M36" i="4" s="1"/>
  <c r="M38" i="4" s="1"/>
  <c r="M41" i="4" s="1"/>
  <c r="M43" i="4" s="1"/>
  <c r="N29" i="4"/>
  <c r="O29" i="4"/>
  <c r="P29" i="4"/>
  <c r="Q29" i="4"/>
  <c r="Q36" i="4" s="1"/>
  <c r="Q38" i="4" s="1"/>
  <c r="Q41" i="4" s="1"/>
  <c r="Q43" i="4" s="1"/>
  <c r="R29" i="4"/>
  <c r="S29" i="4"/>
  <c r="T29" i="4"/>
  <c r="U29" i="4"/>
  <c r="V29" i="4"/>
  <c r="C29" i="4"/>
  <c r="C19" i="3"/>
  <c r="P21" i="4"/>
  <c r="P22" i="4" s="1"/>
  <c r="P23" i="4" s="1"/>
  <c r="P24" i="4" s="1"/>
  <c r="D3" i="4"/>
  <c r="D4" i="4"/>
  <c r="D5" i="4"/>
  <c r="D2" i="4"/>
  <c r="D19" i="4"/>
  <c r="D20" i="4" s="1"/>
  <c r="E19" i="4"/>
  <c r="E20" i="4" s="1"/>
  <c r="E21" i="4" s="1"/>
  <c r="E22" i="4" s="1"/>
  <c r="E23" i="4" s="1"/>
  <c r="F19" i="4"/>
  <c r="F20" i="4" s="1"/>
  <c r="F21" i="4" s="1"/>
  <c r="F22" i="4" s="1"/>
  <c r="F23" i="4" s="1"/>
  <c r="F24" i="4" s="1"/>
  <c r="G19" i="4"/>
  <c r="G20" i="4" s="1"/>
  <c r="H19" i="4"/>
  <c r="H20" i="4" s="1"/>
  <c r="I19" i="4"/>
  <c r="I20" i="4" s="1"/>
  <c r="I21" i="4" s="1"/>
  <c r="I22" i="4" s="1"/>
  <c r="I23" i="4" s="1"/>
  <c r="J19" i="4"/>
  <c r="J20" i="4" s="1"/>
  <c r="J21" i="4" s="1"/>
  <c r="J22" i="4" s="1"/>
  <c r="J23" i="4" s="1"/>
  <c r="J24" i="4" s="1"/>
  <c r="K19" i="4"/>
  <c r="K20" i="4" s="1"/>
  <c r="L19" i="4"/>
  <c r="L20" i="4" s="1"/>
  <c r="M19" i="4"/>
  <c r="M20" i="4" s="1"/>
  <c r="M21" i="4" s="1"/>
  <c r="M22" i="4" s="1"/>
  <c r="M23" i="4" s="1"/>
  <c r="N19" i="4"/>
  <c r="N20" i="4" s="1"/>
  <c r="N21" i="4" s="1"/>
  <c r="N22" i="4" s="1"/>
  <c r="N23" i="4" s="1"/>
  <c r="N24" i="4" s="1"/>
  <c r="O19" i="4"/>
  <c r="O20" i="4" s="1"/>
  <c r="P19" i="4"/>
  <c r="P20" i="4" s="1"/>
  <c r="Q19" i="4"/>
  <c r="Q20" i="4" s="1"/>
  <c r="Q21" i="4" s="1"/>
  <c r="Q22" i="4" s="1"/>
  <c r="Q23" i="4" s="1"/>
  <c r="R19" i="4"/>
  <c r="R20" i="4" s="1"/>
  <c r="R21" i="4" s="1"/>
  <c r="R22" i="4" s="1"/>
  <c r="R23" i="4" s="1"/>
  <c r="R24" i="4" s="1"/>
  <c r="S19" i="4"/>
  <c r="S20" i="4" s="1"/>
  <c r="T19" i="4"/>
  <c r="T20" i="4" s="1"/>
  <c r="U19" i="4"/>
  <c r="U20" i="4" s="1"/>
  <c r="U21" i="4" s="1"/>
  <c r="U22" i="4" s="1"/>
  <c r="U23" i="4" s="1"/>
  <c r="U24" i="4" s="1"/>
  <c r="V19" i="4"/>
  <c r="V20" i="4" s="1"/>
  <c r="V21" i="4" s="1"/>
  <c r="V22" i="4" s="1"/>
  <c r="V23" i="4" s="1"/>
  <c r="V24" i="4" s="1"/>
  <c r="C19" i="4"/>
  <c r="C20" i="4" s="1"/>
  <c r="U36" i="4" l="1"/>
  <c r="U37" i="4"/>
  <c r="U40" i="4"/>
  <c r="P36" i="4"/>
  <c r="P39" i="4"/>
  <c r="U39" i="4"/>
  <c r="P37" i="4"/>
  <c r="P40" i="4"/>
  <c r="C21" i="4"/>
  <c r="C22" i="4" s="1"/>
  <c r="C23" i="4" s="1"/>
  <c r="S21" i="4"/>
  <c r="S22" i="4" s="1"/>
  <c r="S23" i="4" s="1"/>
  <c r="S24" i="4" s="1"/>
  <c r="O21" i="4"/>
  <c r="O22" i="4" s="1"/>
  <c r="O23" i="4" s="1"/>
  <c r="O24" i="4" s="1"/>
  <c r="K21" i="4"/>
  <c r="K22" i="4" s="1"/>
  <c r="K23" i="4" s="1"/>
  <c r="K24" i="4" s="1"/>
  <c r="G21" i="4"/>
  <c r="G22" i="4" s="1"/>
  <c r="G23" i="4" s="1"/>
  <c r="G40" i="4" s="1"/>
  <c r="V36" i="4"/>
  <c r="R36" i="4"/>
  <c r="N36" i="4"/>
  <c r="J36" i="4"/>
  <c r="F36" i="4"/>
  <c r="V37" i="4"/>
  <c r="R37" i="4"/>
  <c r="N37" i="4"/>
  <c r="J37" i="4"/>
  <c r="F37" i="4"/>
  <c r="V39" i="4"/>
  <c r="R39" i="4"/>
  <c r="N39" i="4"/>
  <c r="J39" i="4"/>
  <c r="F39" i="4"/>
  <c r="V40" i="4"/>
  <c r="R40" i="4"/>
  <c r="N40" i="4"/>
  <c r="J40" i="4"/>
  <c r="F40" i="4"/>
  <c r="Q42" i="4"/>
  <c r="M42" i="4"/>
  <c r="I42" i="4"/>
  <c r="E42" i="4"/>
  <c r="C36" i="4"/>
  <c r="C37" i="4"/>
  <c r="C39" i="4"/>
  <c r="C40" i="4"/>
  <c r="C24" i="4"/>
  <c r="K40" i="4"/>
  <c r="C31" i="4"/>
  <c r="C34" i="4" s="1"/>
  <c r="S31" i="4"/>
  <c r="S34" i="4" s="1"/>
  <c r="O31" i="4"/>
  <c r="O34" i="4" s="1"/>
  <c r="K31" i="4"/>
  <c r="K34" i="4" s="1"/>
  <c r="G31" i="4"/>
  <c r="G34" i="4" s="1"/>
  <c r="V31" i="4"/>
  <c r="V34" i="4" s="1"/>
  <c r="R31" i="4"/>
  <c r="R34" i="4" s="1"/>
  <c r="N31" i="4"/>
  <c r="N34" i="4" s="1"/>
  <c r="J31" i="4"/>
  <c r="J34" i="4" s="1"/>
  <c r="F31" i="4"/>
  <c r="F34" i="4" s="1"/>
  <c r="E24" i="4"/>
  <c r="U31" i="4"/>
  <c r="U34" i="4" s="1"/>
  <c r="Q31" i="4"/>
  <c r="Q34" i="4" s="1"/>
  <c r="M31" i="4"/>
  <c r="M34" i="4" s="1"/>
  <c r="I31" i="4"/>
  <c r="I34" i="4" s="1"/>
  <c r="E31" i="4"/>
  <c r="E34" i="4" s="1"/>
  <c r="M24" i="4"/>
  <c r="I24" i="4"/>
  <c r="T21" i="4"/>
  <c r="T22" i="4" s="1"/>
  <c r="T23" i="4" s="1"/>
  <c r="T24" i="4" s="1"/>
  <c r="L21" i="4"/>
  <c r="L22" i="4" s="1"/>
  <c r="L23" i="4" s="1"/>
  <c r="L24" i="4" s="1"/>
  <c r="H21" i="4"/>
  <c r="H22" i="4" s="1"/>
  <c r="H23" i="4" s="1"/>
  <c r="H24" i="4" s="1"/>
  <c r="D21" i="4"/>
  <c r="D22" i="4" s="1"/>
  <c r="D23" i="4" s="1"/>
  <c r="D24" i="4" s="1"/>
  <c r="T31" i="4"/>
  <c r="T34" i="4" s="1"/>
  <c r="P31" i="4"/>
  <c r="P34" i="4" s="1"/>
  <c r="L31" i="4"/>
  <c r="L34" i="4" s="1"/>
  <c r="H31" i="4"/>
  <c r="H34" i="4" s="1"/>
  <c r="D31" i="4"/>
  <c r="D34" i="4" s="1"/>
  <c r="Q24" i="4"/>
  <c r="G24" i="4"/>
  <c r="P38" i="4" l="1"/>
  <c r="S39" i="4"/>
  <c r="G37" i="4"/>
  <c r="O40" i="4"/>
  <c r="G36" i="4"/>
  <c r="N38" i="4"/>
  <c r="N41" i="4" s="1"/>
  <c r="N43" i="4" s="1"/>
  <c r="S40" i="4"/>
  <c r="P41" i="4"/>
  <c r="O36" i="4"/>
  <c r="K37" i="4"/>
  <c r="F38" i="4"/>
  <c r="F41" i="4" s="1"/>
  <c r="V38" i="4"/>
  <c r="V41" i="4" s="1"/>
  <c r="G39" i="4"/>
  <c r="O37" i="4"/>
  <c r="S36" i="4"/>
  <c r="S38" i="4" s="1"/>
  <c r="S41" i="4" s="1"/>
  <c r="K39" i="4"/>
  <c r="R38" i="4"/>
  <c r="R41" i="4" s="1"/>
  <c r="D36" i="4"/>
  <c r="K36" i="4"/>
  <c r="K38" i="4" s="1"/>
  <c r="K41" i="4" s="1"/>
  <c r="J38" i="4"/>
  <c r="J41" i="4" s="1"/>
  <c r="O39" i="4"/>
  <c r="S37" i="4"/>
  <c r="U38" i="4"/>
  <c r="U41" i="4" s="1"/>
  <c r="C38" i="4"/>
  <c r="C41" i="4" s="1"/>
  <c r="L40" i="4"/>
  <c r="L39" i="4"/>
  <c r="L37" i="4"/>
  <c r="L36" i="4"/>
  <c r="D40" i="4"/>
  <c r="D39" i="4"/>
  <c r="D37" i="4"/>
  <c r="D38" i="4" s="1"/>
  <c r="D41" i="4" s="1"/>
  <c r="H40" i="4"/>
  <c r="H39" i="4"/>
  <c r="H37" i="4"/>
  <c r="H36" i="4"/>
  <c r="H38" i="4" s="1"/>
  <c r="T40" i="4"/>
  <c r="T39" i="4"/>
  <c r="T37" i="4"/>
  <c r="T36" i="4"/>
  <c r="T38" i="4" s="1"/>
  <c r="D8" i="3"/>
  <c r="D9" i="3" s="1"/>
  <c r="E8" i="3"/>
  <c r="C8" i="3"/>
  <c r="C9" i="3" s="1"/>
  <c r="E11" i="3"/>
  <c r="D11" i="3"/>
  <c r="C11" i="3"/>
  <c r="E10" i="3"/>
  <c r="D10" i="3"/>
  <c r="C10" i="3"/>
  <c r="E9" i="3"/>
  <c r="E3" i="3"/>
  <c r="D3" i="3"/>
  <c r="C3" i="3"/>
  <c r="G38" i="4" l="1"/>
  <c r="G41" i="4" s="1"/>
  <c r="N42" i="4"/>
  <c r="P43" i="4"/>
  <c r="P42" i="4"/>
  <c r="D43" i="4"/>
  <c r="D42" i="4"/>
  <c r="S43" i="4"/>
  <c r="S42" i="4"/>
  <c r="F43" i="4"/>
  <c r="F42" i="4"/>
  <c r="G43" i="4"/>
  <c r="G42" i="4"/>
  <c r="K43" i="4"/>
  <c r="K42" i="4"/>
  <c r="V43" i="4"/>
  <c r="V42" i="4"/>
  <c r="U43" i="4"/>
  <c r="U42" i="4"/>
  <c r="J43" i="4"/>
  <c r="J42" i="4"/>
  <c r="T41" i="4"/>
  <c r="H41" i="4"/>
  <c r="R43" i="4"/>
  <c r="R42" i="4"/>
  <c r="O38" i="4"/>
  <c r="O41" i="4" s="1"/>
  <c r="C43" i="4"/>
  <c r="C42" i="4"/>
  <c r="L38" i="4"/>
  <c r="L41" i="4" s="1"/>
  <c r="D12" i="3"/>
  <c r="D14" i="3" s="1"/>
  <c r="C12" i="3"/>
  <c r="C13" i="3" s="1"/>
  <c r="E12" i="3"/>
  <c r="D13" i="3"/>
  <c r="D15" i="3"/>
  <c r="D16" i="3"/>
  <c r="H43" i="4" l="1"/>
  <c r="H42" i="4"/>
  <c r="T43" i="4"/>
  <c r="T42" i="4"/>
  <c r="L43" i="4"/>
  <c r="L42" i="4"/>
  <c r="O43" i="4"/>
  <c r="O42" i="4"/>
  <c r="C14" i="3"/>
  <c r="C16" i="3" s="1"/>
  <c r="D18" i="3"/>
  <c r="D19" i="3" s="1"/>
  <c r="D20" i="3" s="1"/>
  <c r="C18" i="3"/>
  <c r="C20" i="3" s="1"/>
  <c r="E14" i="3"/>
  <c r="E13" i="3"/>
  <c r="C15" i="3"/>
  <c r="E18" i="3" l="1"/>
  <c r="E19" i="3" s="1"/>
  <c r="E20" i="3" s="1"/>
  <c r="E16" i="3"/>
  <c r="E15" i="3"/>
</calcChain>
</file>

<file path=xl/sharedStrings.xml><?xml version="1.0" encoding="utf-8"?>
<sst xmlns="http://schemas.openxmlformats.org/spreadsheetml/2006/main" count="108" uniqueCount="75">
  <si>
    <t>1 l/s =</t>
  </si>
  <si>
    <t>cfm</t>
  </si>
  <si>
    <t>ach50</t>
  </si>
  <si>
    <t>ACH50 = CFM50 x 60/ Building Volume (cubic feet)</t>
  </si>
  <si>
    <r>
      <t>Volume 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</si>
  <si>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achn@N=20</t>
  </si>
  <si>
    <t>achn@N=15</t>
  </si>
  <si>
    <t>pressure exponent</t>
  </si>
  <si>
    <t>n</t>
  </si>
  <si>
    <r>
      <t>n</t>
    </r>
    <r>
      <rPr>
        <sz val="11"/>
        <color theme="1"/>
        <rFont val="Calibri"/>
        <family val="2"/>
        <scheme val="minor"/>
      </rPr>
      <t xml:space="preserve"> (0.5 to 1)</t>
    </r>
  </si>
  <si>
    <r>
      <t>Leaking Envelope Area (ft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</si>
  <si>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Q/m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@75 </t>
    </r>
    <r>
      <rPr>
        <sz val="11"/>
        <color theme="1"/>
        <rFont val="Calibri"/>
        <family val="2"/>
        <scheme val="minor"/>
      </rPr>
      <t>(L/sm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@75)</t>
    </r>
  </si>
  <si>
    <r>
      <rPr>
        <b/>
        <sz val="11"/>
        <color theme="1"/>
        <rFont val="Calibri"/>
        <family val="2"/>
        <scheme val="minor"/>
      </rPr>
      <t>Q/ft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@75</t>
    </r>
    <r>
      <rPr>
        <sz val="11"/>
        <color theme="1"/>
        <rFont val="Calibri"/>
        <family val="2"/>
        <scheme val="minor"/>
      </rPr>
      <t xml:space="preserve"> (cfm/ft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@75)</t>
    </r>
  </si>
  <si>
    <r>
      <rPr>
        <b/>
        <sz val="11"/>
        <color theme="1"/>
        <rFont val="Calibri"/>
        <family val="2"/>
        <scheme val="minor"/>
      </rPr>
      <t>Q/m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@50</t>
    </r>
    <r>
      <rPr>
        <sz val="11"/>
        <color theme="1"/>
        <rFont val="Calibri"/>
        <family val="2"/>
        <scheme val="minor"/>
      </rPr>
      <t xml:space="preserve"> (L/sm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@50)</t>
    </r>
  </si>
  <si>
    <r>
      <rPr>
        <b/>
        <sz val="11"/>
        <color theme="1"/>
        <rFont val="Calibri"/>
        <family val="2"/>
        <scheme val="minor"/>
      </rPr>
      <t>Q/ft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@50</t>
    </r>
    <r>
      <rPr>
        <sz val="11"/>
        <color theme="1"/>
        <rFont val="Calibri"/>
        <family val="2"/>
        <scheme val="minor"/>
      </rPr>
      <t xml:space="preserve"> (cfm/ft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@50)</t>
    </r>
  </si>
  <si>
    <r>
      <t>1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</si>
  <si>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</si>
  <si>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1 cfm = 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</si>
  <si>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</si>
  <si>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airflow</t>
  </si>
  <si>
    <t>airflow per area</t>
  </si>
  <si>
    <t>effective leakage area</t>
  </si>
  <si>
    <t>density of air at sea level, 20°C</t>
  </si>
  <si>
    <r>
      <rPr>
        <b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(air, 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</si>
  <si>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ELA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@ 4 Pa</t>
    </r>
  </si>
  <si>
    <t>https://unmethours.com/question/11481/difference-of-n50-and-infiltration-rate/</t>
  </si>
  <si>
    <t>https://en.wikipedia.org/wiki/Blower_door#Power_law_model_of_airflow</t>
  </si>
  <si>
    <t>https://www.sciencedirect.com/topics/engineering/effective-leakage-area</t>
  </si>
  <si>
    <t>Owens Corning. "05_Air leakage to models_Karagiozis.pdf"</t>
  </si>
  <si>
    <r>
      <rPr>
        <b/>
        <sz val="11"/>
        <color theme="1"/>
        <rFont val="Calibri"/>
        <family val="2"/>
        <scheme val="minor"/>
      </rPr>
      <t>ELA</t>
    </r>
    <r>
      <rPr>
        <sz val="11"/>
        <color theme="1"/>
        <rFont val="Calibri"/>
        <family val="2"/>
        <scheme val="minor"/>
      </rPr>
      <t xml:space="preserve">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@ 4 Pa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</si>
  <si>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</si>
  <si>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Q@50</t>
    </r>
    <r>
      <rPr>
        <sz val="11"/>
        <color theme="1"/>
        <rFont val="Calibri"/>
        <family val="2"/>
        <scheme val="minor"/>
      </rPr>
      <t xml:space="preserve"> (cfm@50)</t>
    </r>
  </si>
  <si>
    <r>
      <rPr>
        <b/>
        <sz val="11"/>
        <color theme="1"/>
        <rFont val="Calibri"/>
        <family val="2"/>
        <scheme val="minor"/>
      </rPr>
      <t>Q@50</t>
    </r>
    <r>
      <rPr>
        <sz val="11"/>
        <color theme="1"/>
        <rFont val="Calibri"/>
        <family val="2"/>
        <scheme val="minor"/>
      </rPr>
      <t xml:space="preserve"> (m3/s)</t>
    </r>
  </si>
  <si>
    <r>
      <rPr>
        <b/>
        <sz val="11"/>
        <color theme="1"/>
        <rFont val="Calibri"/>
        <family val="2"/>
        <scheme val="minor"/>
      </rPr>
      <t>Q@4</t>
    </r>
    <r>
      <rPr>
        <sz val="11"/>
        <color theme="1"/>
        <rFont val="Calibri"/>
        <family val="2"/>
        <scheme val="minor"/>
      </rPr>
      <t xml:space="preserve"> (m3/s)</t>
    </r>
  </si>
  <si>
    <t>https://en.wikipedia.org/wiki/Blower_door</t>
  </si>
  <si>
    <t>Conditioned Footprint Area [ft^2]</t>
  </si>
  <si>
    <t>Average Number of Stories Above Foundation</t>
  </si>
  <si>
    <t>Average Ceiling Height Per Story [ft]</t>
  </si>
  <si>
    <t>Building Width to Depth Ratio</t>
  </si>
  <si>
    <t>Foundation Type</t>
  </si>
  <si>
    <t>Conditioned Envelope Infiltration [ACH50]</t>
  </si>
  <si>
    <t>Vented Crawlspace</t>
  </si>
  <si>
    <t>Inputs</t>
  </si>
  <si>
    <t>Calculations</t>
  </si>
  <si>
    <t>Slab</t>
  </si>
  <si>
    <t>Unheated Basement</t>
  </si>
  <si>
    <t>Heated Basement</t>
  </si>
  <si>
    <t>Basement Height [ft]</t>
  </si>
  <si>
    <t>Conditioned Volume [ft^3]</t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</si>
  <si>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, CFM @ 50 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</si>
  <si>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 @ 50 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</si>
  <si>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 @ 4 Pa</t>
    </r>
  </si>
  <si>
    <r>
      <rPr>
        <b/>
        <sz val="11"/>
        <color theme="1"/>
        <rFont val="Calibri"/>
        <family val="2"/>
        <scheme val="minor"/>
      </rPr>
      <t>ELA (total)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@ 4 Pa</t>
    </r>
  </si>
  <si>
    <r>
      <rPr>
        <b/>
        <sz val="11"/>
        <color theme="1"/>
        <rFont val="Calibri"/>
        <family val="2"/>
        <scheme val="minor"/>
      </rPr>
      <t>ELA (total)</t>
    </r>
    <r>
      <rPr>
        <sz val="11"/>
        <color theme="1"/>
        <rFont val="Calibri"/>
        <family val="2"/>
        <scheme val="minor"/>
      </rPr>
      <t>, 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@ 4 Pa</t>
    </r>
  </si>
  <si>
    <t>ACHn est. high</t>
  </si>
  <si>
    <t>ACHn est. low</t>
  </si>
  <si>
    <r>
      <t>ELA, ZoneLeak_FrontBackWall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</si>
  <si>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ELA, ZoneLeak_LeftRightWall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</si>
  <si>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ELA, ZoneLeak_Ceiling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</si>
  <si>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ELA, ZoneLeak_Floor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</si>
  <si>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ZoneLeak_FrontBackWall (%)</t>
  </si>
  <si>
    <t>ZoneLeak_LeftRightWall (%)</t>
  </si>
  <si>
    <t>ZoneLeak_Ceiling (%)</t>
  </si>
  <si>
    <t>ZoneLeak_Floor (%)</t>
  </si>
  <si>
    <t>ZoneLeak_TotalWall (%)</t>
  </si>
  <si>
    <t>ZoneLeak_Total (%)</t>
  </si>
  <si>
    <r>
      <t>ZoneLeak_TotalWall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</si>
  <si>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ELA, ZoneLeak_Total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</si>
  <si>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QC_Check</t>
  </si>
  <si>
    <r>
      <t>ELA, ZoneLeak_Total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</si>
  <si>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NL (normalized leakage)</t>
  </si>
  <si>
    <r>
      <t>Conditioned Square Footage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</si>
  <si>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Floor</t>
  </si>
  <si>
    <t>Wall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</si>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</sst>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0.0"/>
    <numFmt numFmtId="168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2"/>
    </xf>
    <xf numFmtId="166" fontId="0" fillId="0" borderId="0" xfId="1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indent="2"/>
    </xf>
    <xf numFmtId="168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0" fillId="3" borderId="0" xfId="2" applyFont="1" applyFill="1" applyAlignment="1">
      <alignment horizontal="center"/>
    </xf>
    <xf numFmtId="9" fontId="0" fillId="3" borderId="0" xfId="0" applyNumberFormat="1" applyFill="1" applyAlignment="1">
      <alignment horizontal="center"/>
    </xf>
    <xf numFmtId="167" fontId="0" fillId="3" borderId="0" xfId="1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3" borderId="0" xfId="0" applyFill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1</xdr:row>
      <xdr:rowOff>0</xdr:rowOff>
    </xdr:from>
    <xdr:to>
      <xdr:col>25</xdr:col>
      <xdr:colOff>371476</xdr:colOff>
      <xdr:row>12</xdr:row>
      <xdr:rowOff>46572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E9FEF-D70F-47F3-B769-3546E2189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90500"/>
          <a:ext cx="6724650" cy="237067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57150</xdr:rowOff>
    </xdr:from>
    <xdr:to>
      <xdr:col>25</xdr:col>
      <xdr:colOff>580158</xdr:colOff>
      <xdr:row>27</xdr:row>
      <xdr:rowOff>161615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6341BF-F162-4710-AB08-D1AAC117A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3114675"/>
          <a:ext cx="6933333" cy="24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27</xdr:col>
      <xdr:colOff>218101</xdr:colOff>
      <xdr:row>35</xdr:row>
      <xdr:rowOff>180833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316D7D-A93E-CF30-7177-DE8B7C618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8325" y="6029325"/>
          <a:ext cx="7790476" cy="11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50</xdr:row>
      <xdr:rowOff>19050</xdr:rowOff>
    </xdr:from>
    <xdr:to>
      <xdr:col>29</xdr:col>
      <xdr:colOff>608425</xdr:colOff>
      <xdr:row>53</xdr:row>
      <xdr:rowOff>190407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0C6232-2C40-8955-C96D-59C8186E3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58325" y="7324725"/>
          <a:ext cx="9400000" cy="7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24</xdr:col>
      <xdr:colOff>208806</xdr:colOff>
      <xdr:row>47</xdr:row>
      <xdr:rowOff>95024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7BB4BC-7E6B-13EE-E7E9-C63EB5DBB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58325" y="7553325"/>
          <a:ext cx="5952381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</xdr:row>
      <xdr:rowOff>28576</xdr:rowOff>
    </xdr:from>
    <xdr:to>
      <xdr:col>11</xdr:col>
      <xdr:colOff>257175</xdr:colOff>
      <xdr:row>4</xdr:row>
      <xdr:rowOff>125197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A8CCEB-DCB0-473B-96D1-7F0608D594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2980"/>
        <a:stretch/>
      </xdr:blipFill>
      <xdr:spPr>
        <a:xfrm>
          <a:off x="12954000" y="219076"/>
          <a:ext cx="1400175" cy="753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0FBD-F939-496E-BED1-45AA54680E84}">
  <dimension ref="B2:P58"/>
  <sheetViews>
    <sheetView workbookViewId="0">
      <selection activeCell="N37" sqref="N37"/>
    </sheetView>
  </sheetViews>
  <sheetFormatPr defaultRowHeight="15" x14ac:dyDescent="0.25"/>
  <cols>
    <col min="1" max="1" width="5.5703125" customWidth="1"/>
    <col min="2" max="2" width="28.140625" bestFit="1" customWidth="1"/>
    <col min="3" max="3" width="8.42578125" customWidth="1"/>
    <col min="4" max="5" width="12" bestFit="1" customWidth="1"/>
    <col min="6" max="6" width="13.28515625" bestFit="1" customWidth="1"/>
    <col min="10" max="10" width="7.5703125" bestFit="1" customWidth="1"/>
    <col min="15" max="15" width="3.28515625" customWidth="1"/>
    <col min="16" max="16" width="6.7109375" customWidth="1"/>
    <col min="17" max="17" width="3" customWidth="1"/>
  </cols>
  <sheetData>
    <row r="2" spans="2:14" ht="17.25" x14ac:dyDescent="0.25">
      <c r="B2" s="4" t="s">
        <v>11</v>
      </c>
      <c r="C2">
        <v>0.2</v>
      </c>
      <c r="D2">
        <v>0.4</v>
      </c>
      <c r="E2">
        <v>0.6</v>
      </c>
      <c r="F2" t="s">
        <v>20</v>
      </c>
      <c r="J2" t="s">
        <v>0</v>
      </c>
      <c r="K2">
        <v>2.1188799727597001</v>
      </c>
      <c r="L2" t="s">
        <v>1</v>
      </c>
    </row>
    <row r="3" spans="2:14" ht="17.25" x14ac:dyDescent="0.25">
      <c r="B3" s="4" t="s">
        <v>12</v>
      </c>
      <c r="C3" s="3">
        <f>C2*$K$2/$K$3</f>
        <v>3.9370116273092469E-2</v>
      </c>
      <c r="D3" s="3">
        <f t="shared" ref="D3:E3" si="0">D2*$K$2/$K$3</f>
        <v>7.8740232546184938E-2</v>
      </c>
      <c r="E3" s="3">
        <f t="shared" si="0"/>
        <v>0.1181103488192774</v>
      </c>
      <c r="F3" t="s">
        <v>20</v>
      </c>
      <c r="J3" t="s">
        <v>15</v>
      </c>
      <c r="K3">
        <v>10.7639</v>
      </c>
      <c r="L3" t="s">
        <v>16</v>
      </c>
    </row>
    <row r="4" spans="2:14" ht="17.25" x14ac:dyDescent="0.25">
      <c r="J4" t="s">
        <v>17</v>
      </c>
      <c r="K4">
        <v>4.7194745E-4</v>
      </c>
      <c r="L4" t="s">
        <v>18</v>
      </c>
    </row>
    <row r="5" spans="2:14" ht="17.25" x14ac:dyDescent="0.25">
      <c r="J5" t="s">
        <v>15</v>
      </c>
      <c r="K5">
        <v>1550</v>
      </c>
      <c r="L5" t="s">
        <v>30</v>
      </c>
    </row>
    <row r="6" spans="2:14" x14ac:dyDescent="0.25">
      <c r="B6" s="8" t="s">
        <v>9</v>
      </c>
      <c r="C6">
        <v>0.65</v>
      </c>
      <c r="D6">
        <v>0.65</v>
      </c>
      <c r="E6">
        <v>0.65</v>
      </c>
      <c r="F6" t="s">
        <v>7</v>
      </c>
    </row>
    <row r="8" spans="2:14" ht="17.25" x14ac:dyDescent="0.25">
      <c r="B8" s="4" t="s">
        <v>13</v>
      </c>
      <c r="C8">
        <f>C2*(50/75)^C6</f>
        <v>0.15366348456247339</v>
      </c>
      <c r="D8">
        <f>D2*(50/75)^D6</f>
        <v>0.30732696912494678</v>
      </c>
      <c r="E8">
        <f>E2*(50/75)^E6</f>
        <v>0.46099045368742014</v>
      </c>
      <c r="F8" t="s">
        <v>20</v>
      </c>
    </row>
    <row r="9" spans="2:14" ht="17.25" x14ac:dyDescent="0.25">
      <c r="B9" s="4" t="s">
        <v>14</v>
      </c>
      <c r="C9" s="2">
        <f>C8*$K$2/$K$3</f>
        <v>3.0248746270765639E-2</v>
      </c>
      <c r="D9" s="2">
        <f t="shared" ref="D9:E9" si="1">D8*$K$2/$K$3</f>
        <v>6.0497492541531278E-2</v>
      </c>
      <c r="E9" s="2">
        <f t="shared" si="1"/>
        <v>9.0746238812296903E-2</v>
      </c>
      <c r="F9" t="s">
        <v>20</v>
      </c>
    </row>
    <row r="10" spans="2:14" ht="17.25" x14ac:dyDescent="0.25">
      <c r="B10" s="4" t="s">
        <v>10</v>
      </c>
      <c r="C10" s="5">
        <f>8.5*2*30*2+8.5*2*40*2+30*40</f>
        <v>3580</v>
      </c>
      <c r="D10" s="5">
        <f t="shared" ref="D10:E10" si="2">8.5*2*30*2+8.5*2*40*2+30*40</f>
        <v>3580</v>
      </c>
      <c r="E10" s="5">
        <f t="shared" si="2"/>
        <v>3580</v>
      </c>
    </row>
    <row r="11" spans="2:14" ht="17.25" x14ac:dyDescent="0.25">
      <c r="B11" s="4" t="s">
        <v>4</v>
      </c>
      <c r="C11" s="5">
        <f>30*40*8.5*2</f>
        <v>20400</v>
      </c>
      <c r="D11" s="5">
        <f t="shared" ref="D11:E11" si="3">30*40*8.5*2</f>
        <v>20400</v>
      </c>
      <c r="E11" s="5">
        <f t="shared" si="3"/>
        <v>20400</v>
      </c>
    </row>
    <row r="12" spans="2:14" x14ac:dyDescent="0.25">
      <c r="B12" s="4" t="s">
        <v>31</v>
      </c>
      <c r="C12" s="5">
        <f>C9*C10</f>
        <v>108.29051164934098</v>
      </c>
      <c r="D12" s="5">
        <f t="shared" ref="D12:E12" si="4">D9*D10</f>
        <v>216.58102329868197</v>
      </c>
      <c r="E12" s="5">
        <f t="shared" si="4"/>
        <v>324.87153494802294</v>
      </c>
      <c r="F12" t="s">
        <v>19</v>
      </c>
    </row>
    <row r="13" spans="2:14" x14ac:dyDescent="0.25">
      <c r="B13" s="4" t="s">
        <v>32</v>
      </c>
      <c r="C13" s="6">
        <f>C12*$K$4</f>
        <v>5.1107430832101772E-2</v>
      </c>
      <c r="D13" s="6">
        <f t="shared" ref="D13:E13" si="5">D12*$K$4</f>
        <v>0.10221486166420354</v>
      </c>
      <c r="E13" s="6">
        <f t="shared" si="5"/>
        <v>0.1533222924963053</v>
      </c>
      <c r="F13" t="s">
        <v>19</v>
      </c>
    </row>
    <row r="14" spans="2:14" x14ac:dyDescent="0.25">
      <c r="B14" s="4" t="s">
        <v>2</v>
      </c>
      <c r="C14" s="3">
        <f>C12*60/C11</f>
        <v>0.31850150485100293</v>
      </c>
      <c r="D14" s="3">
        <f>D12*60/D11</f>
        <v>0.63700300970200585</v>
      </c>
      <c r="E14" s="3">
        <f>E12*60/E11</f>
        <v>0.95550451455300867</v>
      </c>
      <c r="N14" t="s">
        <v>28</v>
      </c>
    </row>
    <row r="15" spans="2:14" x14ac:dyDescent="0.25">
      <c r="B15" s="4" t="s">
        <v>5</v>
      </c>
      <c r="C15">
        <f>C14/20</f>
        <v>1.5925075242550147E-2</v>
      </c>
      <c r="D15">
        <f t="shared" ref="D15:E15" si="6">D14/20</f>
        <v>3.1850150485100294E-2</v>
      </c>
      <c r="E15">
        <f t="shared" si="6"/>
        <v>4.7775225727650431E-2</v>
      </c>
    </row>
    <row r="16" spans="2:14" x14ac:dyDescent="0.25">
      <c r="B16" s="4" t="s">
        <v>6</v>
      </c>
      <c r="C16">
        <f>C14/15</f>
        <v>2.1233433656733528E-2</v>
      </c>
      <c r="D16">
        <f t="shared" ref="D16:E16" si="7">D14/15</f>
        <v>4.2466867313467056E-2</v>
      </c>
      <c r="E16">
        <f t="shared" si="7"/>
        <v>6.3700300970200574E-2</v>
      </c>
    </row>
    <row r="17" spans="2:14" ht="17.25" x14ac:dyDescent="0.25">
      <c r="B17" s="4" t="s">
        <v>23</v>
      </c>
      <c r="C17">
        <v>1.2050000000000001</v>
      </c>
      <c r="D17">
        <v>1.2050000000000001</v>
      </c>
      <c r="E17">
        <v>1.2050000000000001</v>
      </c>
      <c r="F17" t="s">
        <v>22</v>
      </c>
    </row>
    <row r="18" spans="2:14" x14ac:dyDescent="0.25">
      <c r="B18" s="4" t="s">
        <v>33</v>
      </c>
      <c r="C18" s="6">
        <f>C13*(4/50)^C6</f>
        <v>9.8967486627462974E-3</v>
      </c>
      <c r="D18" s="6">
        <f t="shared" ref="D18:E18" si="8">D13*(4/50)^D6</f>
        <v>1.9793497325492595E-2</v>
      </c>
      <c r="E18" s="6">
        <f t="shared" si="8"/>
        <v>2.9690245988238887E-2</v>
      </c>
    </row>
    <row r="19" spans="2:14" ht="17.25" x14ac:dyDescent="0.25">
      <c r="B19" s="4" t="s">
        <v>24</v>
      </c>
      <c r="C19" s="6">
        <f t="shared" ref="C19:E19" si="9">C18*SQRT(C17/(2*4))/1</f>
        <v>3.8409713791362826E-3</v>
      </c>
      <c r="D19" s="6">
        <f t="shared" si="9"/>
        <v>7.6819427582725652E-3</v>
      </c>
      <c r="E19" s="6">
        <f t="shared" si="9"/>
        <v>1.1522914137408847E-2</v>
      </c>
      <c r="F19" t="s">
        <v>21</v>
      </c>
    </row>
    <row r="20" spans="2:14" ht="17.25" x14ac:dyDescent="0.25">
      <c r="B20" s="4" t="s">
        <v>29</v>
      </c>
      <c r="C20" s="6">
        <f>C19*$K$5</f>
        <v>5.9535056376612383</v>
      </c>
      <c r="D20" s="6">
        <f t="shared" ref="D20:E20" si="10">D19*$K$5</f>
        <v>11.907011275322477</v>
      </c>
      <c r="E20" s="6">
        <f t="shared" si="10"/>
        <v>17.860516912983712</v>
      </c>
    </row>
    <row r="21" spans="2:14" x14ac:dyDescent="0.25">
      <c r="B21" s="4"/>
      <c r="C21" s="2"/>
      <c r="D21" s="2"/>
      <c r="E21" s="2"/>
    </row>
    <row r="22" spans="2:14" x14ac:dyDescent="0.25">
      <c r="B22" s="4"/>
      <c r="C22" s="5"/>
      <c r="D22" s="5"/>
      <c r="E22" s="5"/>
      <c r="F22" s="5"/>
    </row>
    <row r="23" spans="2:14" x14ac:dyDescent="0.25">
      <c r="B23" s="4"/>
      <c r="C23" s="5"/>
      <c r="D23" s="5"/>
      <c r="E23" s="5"/>
    </row>
    <row r="24" spans="2:14" x14ac:dyDescent="0.25">
      <c r="B24" s="4"/>
      <c r="C24" s="5"/>
      <c r="D24" s="5"/>
      <c r="E24" s="5"/>
    </row>
    <row r="25" spans="2:14" x14ac:dyDescent="0.25">
      <c r="B25" s="4"/>
      <c r="C25" s="3"/>
      <c r="D25" s="3"/>
      <c r="E25" s="3"/>
    </row>
    <row r="26" spans="2:14" x14ac:dyDescent="0.25">
      <c r="B26" s="4"/>
    </row>
    <row r="27" spans="2:14" x14ac:dyDescent="0.25">
      <c r="B27" s="4"/>
    </row>
    <row r="28" spans="2:14" x14ac:dyDescent="0.25">
      <c r="B28" s="4"/>
    </row>
    <row r="29" spans="2:14" x14ac:dyDescent="0.25">
      <c r="N29" t="s">
        <v>26</v>
      </c>
    </row>
    <row r="32" spans="2:14" x14ac:dyDescent="0.25">
      <c r="C32" s="9"/>
      <c r="D32" s="9"/>
      <c r="E32" s="9"/>
    </row>
    <row r="33" spans="3:14" x14ac:dyDescent="0.25">
      <c r="C33" s="9"/>
      <c r="D33" s="9"/>
      <c r="E33" s="9"/>
    </row>
    <row r="37" spans="3:14" x14ac:dyDescent="0.25">
      <c r="N37" t="s">
        <v>27</v>
      </c>
    </row>
    <row r="49" spans="14:16" x14ac:dyDescent="0.25">
      <c r="N49" t="s">
        <v>34</v>
      </c>
    </row>
    <row r="54" spans="14:16" x14ac:dyDescent="0.25">
      <c r="P54" s="1"/>
    </row>
    <row r="55" spans="14:16" x14ac:dyDescent="0.25">
      <c r="N55" t="s">
        <v>25</v>
      </c>
    </row>
    <row r="58" spans="14:16" x14ac:dyDescent="0.25">
      <c r="N58" t="s">
        <v>3</v>
      </c>
      <c r="P58" s="7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46A5-4F5D-4675-B19F-39DC2FBE8D01}">
  <dimension ref="B2:V43"/>
  <sheetViews>
    <sheetView tabSelected="1" workbookViewId="0">
      <pane xSplit="2" ySplit="8" topLeftCell="K9" activePane="bottomRight" state="frozen"/>
      <selection pane="topRight" activeCell="C1" sqref="C1"/>
      <selection pane="bottomLeft" activeCell="A3" sqref="A3"/>
      <selection pane="bottomRight" activeCell="O5" sqref="O5"/>
    </sheetView>
  </sheetViews>
  <sheetFormatPr defaultRowHeight="15" x14ac:dyDescent="0.25"/>
  <cols>
    <col min="1" max="1" width="4.140625" customWidth="1"/>
    <col min="2" max="2" width="42.7109375" bestFit="1" customWidth="1"/>
    <col min="3" max="12" width="18.28515625" bestFit="1" customWidth="1"/>
    <col min="13" max="22" width="19.28515625" bestFit="1" customWidth="1"/>
  </cols>
  <sheetData>
    <row r="2" spans="2:22" ht="17.25" x14ac:dyDescent="0.25">
      <c r="C2" t="s">
        <v>0</v>
      </c>
      <c r="D2">
        <f>'Infiltration Calcs'!K2</f>
        <v>2.1188799727597001</v>
      </c>
      <c r="E2" t="s">
        <v>1</v>
      </c>
      <c r="G2" s="4" t="s">
        <v>23</v>
      </c>
      <c r="H2">
        <v>1.2050000000000001</v>
      </c>
      <c r="I2" t="s">
        <v>22</v>
      </c>
      <c r="M2" t="s">
        <v>72</v>
      </c>
      <c r="N2">
        <v>1.0000000000000001E-5</v>
      </c>
      <c r="O2" s="23">
        <f>N2/$N$6</f>
        <v>4.1929008936832096E-4</v>
      </c>
    </row>
    <row r="3" spans="2:22" ht="17.25" x14ac:dyDescent="0.25">
      <c r="C3" t="s">
        <v>15</v>
      </c>
      <c r="D3">
        <f>'Infiltration Calcs'!K3</f>
        <v>10.7639</v>
      </c>
      <c r="E3" t="s">
        <v>16</v>
      </c>
      <c r="G3" s="15" t="s">
        <v>8</v>
      </c>
      <c r="H3">
        <v>0.65</v>
      </c>
      <c r="I3" t="s">
        <v>7</v>
      </c>
      <c r="M3" t="s">
        <v>73</v>
      </c>
      <c r="N3">
        <f>2*0.00340012477060435</f>
        <v>6.8002495412086998E-3</v>
      </c>
      <c r="O3" s="23">
        <f t="shared" ref="O3:O5" si="0">N3/$N$6</f>
        <v>0.28512772378602791</v>
      </c>
    </row>
    <row r="4" spans="2:22" ht="17.25" x14ac:dyDescent="0.25">
      <c r="C4" t="s">
        <v>17</v>
      </c>
      <c r="D4">
        <f>'Infiltration Calcs'!K4</f>
        <v>4.7194745E-4</v>
      </c>
      <c r="E4" t="s">
        <v>18</v>
      </c>
      <c r="M4" t="s">
        <v>73</v>
      </c>
      <c r="N4">
        <f>2*0.00255009357795326</f>
        <v>5.1001871559065203E-3</v>
      </c>
      <c r="O4" s="23">
        <f t="shared" si="0"/>
        <v>0.21384579283952074</v>
      </c>
    </row>
    <row r="5" spans="2:22" ht="17.25" x14ac:dyDescent="0.25">
      <c r="C5" t="s">
        <v>15</v>
      </c>
      <c r="D5">
        <f>'Infiltration Calcs'!K5</f>
        <v>1550</v>
      </c>
      <c r="E5" t="s">
        <v>30</v>
      </c>
      <c r="M5" t="s">
        <v>74</v>
      </c>
      <c r="N5">
        <v>1.1939399618037E-2</v>
      </c>
      <c r="O5" s="23">
        <f t="shared" si="0"/>
        <v>0.50060719328508307</v>
      </c>
    </row>
    <row r="6" spans="2:22" x14ac:dyDescent="0.25">
      <c r="N6">
        <f>SUM(N2:N5)</f>
        <v>2.384983631515222E-2</v>
      </c>
    </row>
    <row r="8" spans="2:22" ht="15.75" x14ac:dyDescent="0.25">
      <c r="B8" s="12" t="s">
        <v>42</v>
      </c>
    </row>
    <row r="9" spans="2:22" x14ac:dyDescent="0.25">
      <c r="B9" t="s">
        <v>40</v>
      </c>
      <c r="C9" s="10">
        <v>2</v>
      </c>
      <c r="D9" s="10">
        <v>5</v>
      </c>
      <c r="E9" s="10">
        <v>8</v>
      </c>
      <c r="F9" s="10">
        <v>12</v>
      </c>
      <c r="G9" s="10">
        <v>15</v>
      </c>
      <c r="H9" s="10">
        <v>2</v>
      </c>
      <c r="I9" s="10">
        <v>5</v>
      </c>
      <c r="J9" s="10">
        <v>8</v>
      </c>
      <c r="K9" s="10">
        <v>12</v>
      </c>
      <c r="L9" s="10">
        <v>15</v>
      </c>
      <c r="M9" s="10">
        <v>2</v>
      </c>
      <c r="N9" s="10">
        <v>5</v>
      </c>
      <c r="O9" s="10">
        <v>8</v>
      </c>
      <c r="P9" s="10">
        <v>12</v>
      </c>
      <c r="Q9" s="10">
        <v>15</v>
      </c>
      <c r="R9" s="10">
        <v>2</v>
      </c>
      <c r="S9" s="10">
        <v>5</v>
      </c>
      <c r="T9" s="10">
        <v>8</v>
      </c>
      <c r="U9" s="10">
        <v>12</v>
      </c>
      <c r="V9" s="10">
        <v>15</v>
      </c>
    </row>
    <row r="10" spans="2:22" x14ac:dyDescent="0.25">
      <c r="B10" t="s">
        <v>35</v>
      </c>
      <c r="C10" s="11">
        <v>2000</v>
      </c>
      <c r="D10" s="11">
        <v>2000</v>
      </c>
      <c r="E10" s="11">
        <v>2000</v>
      </c>
      <c r="F10" s="11">
        <v>2000</v>
      </c>
      <c r="G10" s="11">
        <v>2000</v>
      </c>
      <c r="H10" s="11">
        <v>2000</v>
      </c>
      <c r="I10" s="11">
        <v>2000</v>
      </c>
      <c r="J10" s="11">
        <v>2000</v>
      </c>
      <c r="K10" s="11">
        <v>2000</v>
      </c>
      <c r="L10" s="11">
        <v>2000</v>
      </c>
      <c r="M10" s="11">
        <v>2000</v>
      </c>
      <c r="N10" s="11">
        <v>2000</v>
      </c>
      <c r="O10" s="11">
        <v>2000</v>
      </c>
      <c r="P10" s="11">
        <v>2000</v>
      </c>
      <c r="Q10" s="11">
        <v>2000</v>
      </c>
      <c r="R10" s="11">
        <v>2000</v>
      </c>
      <c r="S10" s="11">
        <v>2000</v>
      </c>
      <c r="T10" s="11">
        <v>2000</v>
      </c>
      <c r="U10" s="11">
        <v>2000</v>
      </c>
      <c r="V10" s="11">
        <v>2000</v>
      </c>
    </row>
    <row r="11" spans="2:22" x14ac:dyDescent="0.25">
      <c r="B11" t="s">
        <v>36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</row>
    <row r="12" spans="2:22" x14ac:dyDescent="0.25">
      <c r="B12" t="s">
        <v>37</v>
      </c>
      <c r="C12" s="10">
        <v>8</v>
      </c>
      <c r="D12" s="10">
        <v>8</v>
      </c>
      <c r="E12" s="10">
        <v>8</v>
      </c>
      <c r="F12" s="10">
        <v>8</v>
      </c>
      <c r="G12" s="10">
        <v>8</v>
      </c>
      <c r="H12" s="10">
        <v>8</v>
      </c>
      <c r="I12" s="10">
        <v>8</v>
      </c>
      <c r="J12" s="10">
        <v>8</v>
      </c>
      <c r="K12" s="10">
        <v>8</v>
      </c>
      <c r="L12" s="10">
        <v>8</v>
      </c>
      <c r="M12" s="10">
        <v>8</v>
      </c>
      <c r="N12" s="10">
        <v>8</v>
      </c>
      <c r="O12" s="10">
        <v>8</v>
      </c>
      <c r="P12" s="10">
        <v>8</v>
      </c>
      <c r="Q12" s="10">
        <v>8</v>
      </c>
      <c r="R12" s="10">
        <v>8</v>
      </c>
      <c r="S12" s="10">
        <v>8</v>
      </c>
      <c r="T12" s="10">
        <v>8</v>
      </c>
      <c r="U12" s="10">
        <v>8</v>
      </c>
      <c r="V12" s="10">
        <v>8</v>
      </c>
    </row>
    <row r="13" spans="2:22" x14ac:dyDescent="0.25">
      <c r="B13" t="s">
        <v>38</v>
      </c>
      <c r="C13" s="10">
        <v>1.2</v>
      </c>
      <c r="D13" s="10">
        <v>1.2</v>
      </c>
      <c r="E13" s="10">
        <v>1.2</v>
      </c>
      <c r="F13" s="10">
        <v>1.2</v>
      </c>
      <c r="G13" s="10">
        <v>1.2</v>
      </c>
      <c r="H13" s="10">
        <v>1.2</v>
      </c>
      <c r="I13" s="10">
        <v>1.2</v>
      </c>
      <c r="J13" s="10">
        <v>1.2</v>
      </c>
      <c r="K13" s="10">
        <v>1.2</v>
      </c>
      <c r="L13" s="10">
        <v>1.2</v>
      </c>
      <c r="M13" s="10">
        <v>1.2</v>
      </c>
      <c r="N13" s="10">
        <v>1.2</v>
      </c>
      <c r="O13" s="10">
        <v>1.2</v>
      </c>
      <c r="P13" s="10">
        <v>1.2</v>
      </c>
      <c r="Q13" s="10">
        <v>1.2</v>
      </c>
      <c r="R13" s="10">
        <v>1.2</v>
      </c>
      <c r="S13" s="10">
        <v>1.2</v>
      </c>
      <c r="T13" s="10">
        <v>1.2</v>
      </c>
      <c r="U13" s="10">
        <v>1.2</v>
      </c>
      <c r="V13" s="10">
        <v>1.2</v>
      </c>
    </row>
    <row r="14" spans="2:22" x14ac:dyDescent="0.25">
      <c r="B14" t="s">
        <v>39</v>
      </c>
      <c r="C14" s="10" t="s">
        <v>41</v>
      </c>
      <c r="D14" s="10" t="s">
        <v>41</v>
      </c>
      <c r="E14" s="10" t="s">
        <v>41</v>
      </c>
      <c r="F14" s="10" t="s">
        <v>41</v>
      </c>
      <c r="G14" s="10" t="s">
        <v>41</v>
      </c>
      <c r="H14" s="10" t="s">
        <v>44</v>
      </c>
      <c r="I14" s="10" t="s">
        <v>44</v>
      </c>
      <c r="J14" s="10" t="s">
        <v>44</v>
      </c>
      <c r="K14" s="10" t="s">
        <v>44</v>
      </c>
      <c r="L14" s="10" t="s">
        <v>44</v>
      </c>
      <c r="M14" s="10" t="s">
        <v>45</v>
      </c>
      <c r="N14" s="10" t="s">
        <v>45</v>
      </c>
      <c r="O14" s="10" t="s">
        <v>45</v>
      </c>
      <c r="P14" s="10" t="s">
        <v>45</v>
      </c>
      <c r="Q14" s="10" t="s">
        <v>45</v>
      </c>
      <c r="R14" s="10" t="s">
        <v>46</v>
      </c>
      <c r="S14" s="10" t="s">
        <v>46</v>
      </c>
      <c r="T14" s="10" t="s">
        <v>46</v>
      </c>
      <c r="U14" s="10" t="s">
        <v>46</v>
      </c>
      <c r="V14" s="10" t="s">
        <v>46</v>
      </c>
    </row>
    <row r="15" spans="2:22" x14ac:dyDescent="0.25">
      <c r="B15" t="s">
        <v>47</v>
      </c>
      <c r="C15" s="10">
        <v>8</v>
      </c>
      <c r="D15" s="10">
        <v>8</v>
      </c>
      <c r="E15" s="10">
        <v>8</v>
      </c>
      <c r="F15" s="10">
        <v>8</v>
      </c>
      <c r="G15" s="10">
        <v>8</v>
      </c>
      <c r="H15" s="10">
        <v>8</v>
      </c>
      <c r="I15" s="10">
        <v>8</v>
      </c>
      <c r="J15" s="10">
        <v>8</v>
      </c>
      <c r="K15" s="10">
        <v>8</v>
      </c>
      <c r="L15" s="10">
        <v>8</v>
      </c>
      <c r="M15" s="10">
        <v>8</v>
      </c>
      <c r="N15" s="10">
        <v>8</v>
      </c>
      <c r="O15" s="10">
        <v>8</v>
      </c>
      <c r="P15" s="10">
        <v>8</v>
      </c>
      <c r="Q15" s="10">
        <v>8</v>
      </c>
      <c r="R15" s="10">
        <v>8</v>
      </c>
      <c r="S15" s="10">
        <v>8</v>
      </c>
      <c r="T15" s="10">
        <v>8</v>
      </c>
      <c r="U15" s="10">
        <v>8</v>
      </c>
      <c r="V15" s="10">
        <v>8</v>
      </c>
    </row>
    <row r="17" spans="2:22" ht="15.75" x14ac:dyDescent="0.25">
      <c r="B17" s="12" t="s">
        <v>43</v>
      </c>
    </row>
    <row r="18" spans="2:22" ht="17.25" x14ac:dyDescent="0.25">
      <c r="B18" t="s">
        <v>71</v>
      </c>
      <c r="C18" s="22">
        <f>IF(C14&lt;&gt;"Heated Basement",(C10*C11)/$D$3,(C10*(C11+1))/$D$3)</f>
        <v>185.8062598128931</v>
      </c>
      <c r="D18" s="22">
        <f t="shared" ref="D18:V18" si="1">IF(D14&lt;&gt;"Heated Basement",(D10*D11)/$D$3,(D10*(D11+1))/$D$3)</f>
        <v>185.8062598128931</v>
      </c>
      <c r="E18" s="22">
        <f t="shared" si="1"/>
        <v>185.8062598128931</v>
      </c>
      <c r="F18" s="22">
        <f t="shared" si="1"/>
        <v>185.8062598128931</v>
      </c>
      <c r="G18" s="22">
        <f t="shared" si="1"/>
        <v>185.8062598128931</v>
      </c>
      <c r="H18" s="22">
        <f t="shared" si="1"/>
        <v>185.8062598128931</v>
      </c>
      <c r="I18" s="22">
        <f t="shared" si="1"/>
        <v>185.8062598128931</v>
      </c>
      <c r="J18" s="22">
        <f t="shared" si="1"/>
        <v>185.8062598128931</v>
      </c>
      <c r="K18" s="22">
        <f t="shared" si="1"/>
        <v>185.8062598128931</v>
      </c>
      <c r="L18" s="22">
        <f t="shared" si="1"/>
        <v>185.8062598128931</v>
      </c>
      <c r="M18" s="22">
        <f t="shared" si="1"/>
        <v>185.8062598128931</v>
      </c>
      <c r="N18" s="22">
        <f t="shared" si="1"/>
        <v>185.8062598128931</v>
      </c>
      <c r="O18" s="22">
        <f t="shared" si="1"/>
        <v>185.8062598128931</v>
      </c>
      <c r="P18" s="22">
        <f t="shared" si="1"/>
        <v>185.8062598128931</v>
      </c>
      <c r="Q18" s="22">
        <f t="shared" si="1"/>
        <v>185.8062598128931</v>
      </c>
      <c r="R18" s="22">
        <f t="shared" si="1"/>
        <v>371.61251962578621</v>
      </c>
      <c r="S18" s="22">
        <f t="shared" si="1"/>
        <v>371.61251962578621</v>
      </c>
      <c r="T18" s="22">
        <f t="shared" si="1"/>
        <v>371.61251962578621</v>
      </c>
      <c r="U18" s="22">
        <f t="shared" si="1"/>
        <v>371.61251962578621</v>
      </c>
      <c r="V18" s="22">
        <f t="shared" si="1"/>
        <v>371.61251962578621</v>
      </c>
    </row>
    <row r="19" spans="2:22" x14ac:dyDescent="0.25">
      <c r="B19" t="s">
        <v>48</v>
      </c>
      <c r="C19" s="13">
        <f>IF(C14="Heated Basement",C10*C11*C12+C15*C10,C10*C11*C12)</f>
        <v>16000</v>
      </c>
      <c r="D19" s="13">
        <f t="shared" ref="D19:V19" si="2">IF(D14="Heated Basement",D10*D11*D12+D15*D10,D10*D11*D12)</f>
        <v>16000</v>
      </c>
      <c r="E19" s="13">
        <f t="shared" si="2"/>
        <v>16000</v>
      </c>
      <c r="F19" s="13">
        <f t="shared" si="2"/>
        <v>16000</v>
      </c>
      <c r="G19" s="13">
        <f t="shared" si="2"/>
        <v>16000</v>
      </c>
      <c r="H19" s="13">
        <f t="shared" si="2"/>
        <v>16000</v>
      </c>
      <c r="I19" s="13">
        <f t="shared" si="2"/>
        <v>16000</v>
      </c>
      <c r="J19" s="13">
        <f t="shared" si="2"/>
        <v>16000</v>
      </c>
      <c r="K19" s="13">
        <f t="shared" si="2"/>
        <v>16000</v>
      </c>
      <c r="L19" s="13">
        <f t="shared" si="2"/>
        <v>16000</v>
      </c>
      <c r="M19" s="13">
        <f t="shared" si="2"/>
        <v>16000</v>
      </c>
      <c r="N19" s="13">
        <f t="shared" si="2"/>
        <v>16000</v>
      </c>
      <c r="O19" s="13">
        <f t="shared" si="2"/>
        <v>16000</v>
      </c>
      <c r="P19" s="13">
        <f t="shared" si="2"/>
        <v>16000</v>
      </c>
      <c r="Q19" s="13">
        <f t="shared" si="2"/>
        <v>16000</v>
      </c>
      <c r="R19" s="13">
        <f t="shared" si="2"/>
        <v>32000</v>
      </c>
      <c r="S19" s="13">
        <f t="shared" si="2"/>
        <v>32000</v>
      </c>
      <c r="T19" s="13">
        <f t="shared" si="2"/>
        <v>32000</v>
      </c>
      <c r="U19" s="13">
        <f t="shared" si="2"/>
        <v>32000</v>
      </c>
      <c r="V19" s="13">
        <f t="shared" si="2"/>
        <v>32000</v>
      </c>
    </row>
    <row r="20" spans="2:22" x14ac:dyDescent="0.25">
      <c r="B20" t="s">
        <v>49</v>
      </c>
      <c r="C20" s="20">
        <f>(C9/60)*C19</f>
        <v>533.33333333333337</v>
      </c>
      <c r="D20" s="20">
        <f t="shared" ref="D20:H20" si="3">(D9/60)*D19</f>
        <v>1333.3333333333333</v>
      </c>
      <c r="E20" s="20">
        <f t="shared" si="3"/>
        <v>2133.3333333333335</v>
      </c>
      <c r="F20" s="20">
        <f t="shared" si="3"/>
        <v>3200</v>
      </c>
      <c r="G20" s="20">
        <f t="shared" si="3"/>
        <v>4000</v>
      </c>
      <c r="H20" s="20">
        <f t="shared" si="3"/>
        <v>533.33333333333337</v>
      </c>
      <c r="I20" s="20">
        <f t="shared" ref="I20" si="4">(I9/60)*I19</f>
        <v>1333.3333333333333</v>
      </c>
      <c r="J20" s="20">
        <f t="shared" ref="J20" si="5">(J9/60)*J19</f>
        <v>2133.3333333333335</v>
      </c>
      <c r="K20" s="20">
        <f t="shared" ref="K20" si="6">(K9/60)*K19</f>
        <v>3200</v>
      </c>
      <c r="L20" s="20">
        <f t="shared" ref="L20:M20" si="7">(L9/60)*L19</f>
        <v>4000</v>
      </c>
      <c r="M20" s="20">
        <f t="shared" si="7"/>
        <v>533.33333333333337</v>
      </c>
      <c r="N20" s="20">
        <f t="shared" ref="N20" si="8">(N9/60)*N19</f>
        <v>1333.3333333333333</v>
      </c>
      <c r="O20" s="20">
        <f t="shared" ref="O20" si="9">(O9/60)*O19</f>
        <v>2133.3333333333335</v>
      </c>
      <c r="P20" s="20">
        <f t="shared" ref="P20" si="10">(P9/60)*P19</f>
        <v>3200</v>
      </c>
      <c r="Q20" s="20">
        <f t="shared" ref="Q20:R20" si="11">(Q9/60)*Q19</f>
        <v>4000</v>
      </c>
      <c r="R20" s="20">
        <f t="shared" si="11"/>
        <v>1066.6666666666667</v>
      </c>
      <c r="S20" s="20">
        <f t="shared" ref="S20" si="12">(S9/60)*S19</f>
        <v>2666.6666666666665</v>
      </c>
      <c r="T20" s="20">
        <f t="shared" ref="T20" si="13">(T9/60)*T19</f>
        <v>4266.666666666667</v>
      </c>
      <c r="U20" s="20">
        <f t="shared" ref="U20" si="14">(U9/60)*U19</f>
        <v>6400</v>
      </c>
      <c r="V20" s="20">
        <f t="shared" ref="V20" si="15">(V9/60)*V19</f>
        <v>8000</v>
      </c>
    </row>
    <row r="21" spans="2:22" ht="17.25" x14ac:dyDescent="0.25">
      <c r="B21" t="s">
        <v>50</v>
      </c>
      <c r="C21" s="16">
        <f>C20*$D$4</f>
        <v>0.25170530666666668</v>
      </c>
      <c r="D21" s="16">
        <f t="shared" ref="D21:V21" si="16">D20*$D$4</f>
        <v>0.62926326666666665</v>
      </c>
      <c r="E21" s="16">
        <f t="shared" si="16"/>
        <v>1.0068212266666667</v>
      </c>
      <c r="F21" s="16">
        <f t="shared" si="16"/>
        <v>1.5102318400000001</v>
      </c>
      <c r="G21" s="16">
        <f t="shared" si="16"/>
        <v>1.8877898</v>
      </c>
      <c r="H21" s="16">
        <f t="shared" si="16"/>
        <v>0.25170530666666668</v>
      </c>
      <c r="I21" s="16">
        <f t="shared" si="16"/>
        <v>0.62926326666666665</v>
      </c>
      <c r="J21" s="16">
        <f t="shared" si="16"/>
        <v>1.0068212266666667</v>
      </c>
      <c r="K21" s="16">
        <f t="shared" si="16"/>
        <v>1.5102318400000001</v>
      </c>
      <c r="L21" s="16">
        <f t="shared" si="16"/>
        <v>1.8877898</v>
      </c>
      <c r="M21" s="16">
        <f t="shared" si="16"/>
        <v>0.25170530666666668</v>
      </c>
      <c r="N21" s="16">
        <f t="shared" si="16"/>
        <v>0.62926326666666665</v>
      </c>
      <c r="O21" s="16">
        <f t="shared" si="16"/>
        <v>1.0068212266666667</v>
      </c>
      <c r="P21" s="16">
        <f t="shared" si="16"/>
        <v>1.5102318400000001</v>
      </c>
      <c r="Q21" s="16">
        <f t="shared" si="16"/>
        <v>1.8877898</v>
      </c>
      <c r="R21" s="16">
        <f t="shared" si="16"/>
        <v>0.50341061333333337</v>
      </c>
      <c r="S21" s="16">
        <f t="shared" si="16"/>
        <v>1.2585265333333333</v>
      </c>
      <c r="T21" s="16">
        <f t="shared" si="16"/>
        <v>2.0136424533333335</v>
      </c>
      <c r="U21" s="16">
        <f t="shared" si="16"/>
        <v>3.0204636800000002</v>
      </c>
      <c r="V21" s="16">
        <f t="shared" si="16"/>
        <v>3.7755795999999999</v>
      </c>
    </row>
    <row r="22" spans="2:22" ht="17.25" x14ac:dyDescent="0.25">
      <c r="B22" t="s">
        <v>51</v>
      </c>
      <c r="C22" s="16">
        <f>C21*(4/50)^$H$3</f>
        <v>4.8741721440530413E-2</v>
      </c>
      <c r="D22" s="16">
        <f t="shared" ref="D22:V22" si="17">D21*(4/50)^$H$3</f>
        <v>0.12185430360132603</v>
      </c>
      <c r="E22" s="16">
        <f t="shared" si="17"/>
        <v>0.19496688576212165</v>
      </c>
      <c r="F22" s="16">
        <f t="shared" si="17"/>
        <v>0.29245032864318249</v>
      </c>
      <c r="G22" s="16">
        <f t="shared" si="17"/>
        <v>0.36556291080397807</v>
      </c>
      <c r="H22" s="16">
        <f t="shared" si="17"/>
        <v>4.8741721440530413E-2</v>
      </c>
      <c r="I22" s="16">
        <f t="shared" si="17"/>
        <v>0.12185430360132603</v>
      </c>
      <c r="J22" s="16">
        <f t="shared" si="17"/>
        <v>0.19496688576212165</v>
      </c>
      <c r="K22" s="16">
        <f t="shared" si="17"/>
        <v>0.29245032864318249</v>
      </c>
      <c r="L22" s="16">
        <f t="shared" si="17"/>
        <v>0.36556291080397807</v>
      </c>
      <c r="M22" s="16">
        <f t="shared" si="17"/>
        <v>4.8741721440530413E-2</v>
      </c>
      <c r="N22" s="16">
        <f t="shared" si="17"/>
        <v>0.12185430360132603</v>
      </c>
      <c r="O22" s="16">
        <f t="shared" si="17"/>
        <v>0.19496688576212165</v>
      </c>
      <c r="P22" s="16">
        <f t="shared" si="17"/>
        <v>0.29245032864318249</v>
      </c>
      <c r="Q22" s="16">
        <f t="shared" si="17"/>
        <v>0.36556291080397807</v>
      </c>
      <c r="R22" s="16">
        <f t="shared" si="17"/>
        <v>9.7483442881060825E-2</v>
      </c>
      <c r="S22" s="16">
        <f t="shared" si="17"/>
        <v>0.24370860720265206</v>
      </c>
      <c r="T22" s="16">
        <f t="shared" si="17"/>
        <v>0.3899337715242433</v>
      </c>
      <c r="U22" s="16">
        <f t="shared" si="17"/>
        <v>0.58490065728636498</v>
      </c>
      <c r="V22" s="16">
        <f t="shared" si="17"/>
        <v>0.73112582160795614</v>
      </c>
    </row>
    <row r="23" spans="2:22" ht="17.25" x14ac:dyDescent="0.25">
      <c r="B23" t="s">
        <v>52</v>
      </c>
      <c r="C23" s="14">
        <f>C22*SQRT($H$2/(2*4))/1</f>
        <v>1.8916874965980924E-2</v>
      </c>
      <c r="D23" s="14">
        <f t="shared" ref="D23:V23" si="18">D22*SQRT($H$2/(2*4))/1</f>
        <v>4.7292187414952308E-2</v>
      </c>
      <c r="E23" s="14">
        <f t="shared" si="18"/>
        <v>7.5667499863923696E-2</v>
      </c>
      <c r="F23" s="14">
        <f t="shared" si="18"/>
        <v>0.11350124979588555</v>
      </c>
      <c r="G23" s="14">
        <f t="shared" si="18"/>
        <v>0.14187656224485692</v>
      </c>
      <c r="H23" s="14">
        <f t="shared" si="18"/>
        <v>1.8916874965980924E-2</v>
      </c>
      <c r="I23" s="14">
        <f t="shared" si="18"/>
        <v>4.7292187414952308E-2</v>
      </c>
      <c r="J23" s="14">
        <f t="shared" si="18"/>
        <v>7.5667499863923696E-2</v>
      </c>
      <c r="K23" s="14">
        <f t="shared" si="18"/>
        <v>0.11350124979588555</v>
      </c>
      <c r="L23" s="14">
        <f t="shared" si="18"/>
        <v>0.14187656224485692</v>
      </c>
      <c r="M23" s="14">
        <f t="shared" si="18"/>
        <v>1.8916874965980924E-2</v>
      </c>
      <c r="N23" s="14">
        <f t="shared" si="18"/>
        <v>4.7292187414952308E-2</v>
      </c>
      <c r="O23" s="14">
        <f t="shared" si="18"/>
        <v>7.5667499863923696E-2</v>
      </c>
      <c r="P23" s="14">
        <f t="shared" si="18"/>
        <v>0.11350124979588555</v>
      </c>
      <c r="Q23" s="14">
        <f t="shared" si="18"/>
        <v>0.14187656224485692</v>
      </c>
      <c r="R23" s="14">
        <f t="shared" si="18"/>
        <v>3.7833749931961848E-2</v>
      </c>
      <c r="S23" s="14">
        <f t="shared" si="18"/>
        <v>9.4584374829904616E-2</v>
      </c>
      <c r="T23" s="14">
        <f t="shared" si="18"/>
        <v>0.15133499972784739</v>
      </c>
      <c r="U23" s="14">
        <f t="shared" si="18"/>
        <v>0.2270024995917711</v>
      </c>
      <c r="V23" s="14">
        <f t="shared" si="18"/>
        <v>0.28375312448971385</v>
      </c>
    </row>
    <row r="24" spans="2:22" ht="17.25" x14ac:dyDescent="0.25">
      <c r="B24" t="s">
        <v>53</v>
      </c>
      <c r="C24" s="21">
        <f>C23*$D$5</f>
        <v>29.321156197270433</v>
      </c>
      <c r="D24" s="21">
        <f t="shared" ref="D24:V24" si="19">D23*$D$5</f>
        <v>73.302890493176079</v>
      </c>
      <c r="E24" s="21">
        <f t="shared" si="19"/>
        <v>117.28462478908173</v>
      </c>
      <c r="F24" s="21">
        <f t="shared" si="19"/>
        <v>175.92693718362261</v>
      </c>
      <c r="G24" s="21">
        <f t="shared" si="19"/>
        <v>219.90867147952824</v>
      </c>
      <c r="H24" s="21">
        <f t="shared" si="19"/>
        <v>29.321156197270433</v>
      </c>
      <c r="I24" s="21">
        <f t="shared" si="19"/>
        <v>73.302890493176079</v>
      </c>
      <c r="J24" s="21">
        <f t="shared" si="19"/>
        <v>117.28462478908173</v>
      </c>
      <c r="K24" s="21">
        <f t="shared" si="19"/>
        <v>175.92693718362261</v>
      </c>
      <c r="L24" s="21">
        <f t="shared" si="19"/>
        <v>219.90867147952824</v>
      </c>
      <c r="M24" s="21">
        <f t="shared" si="19"/>
        <v>29.321156197270433</v>
      </c>
      <c r="N24" s="21">
        <f t="shared" si="19"/>
        <v>73.302890493176079</v>
      </c>
      <c r="O24" s="21">
        <f t="shared" si="19"/>
        <v>117.28462478908173</v>
      </c>
      <c r="P24" s="21">
        <f t="shared" si="19"/>
        <v>175.92693718362261</v>
      </c>
      <c r="Q24" s="21">
        <f t="shared" si="19"/>
        <v>219.90867147952824</v>
      </c>
      <c r="R24" s="21">
        <f t="shared" si="19"/>
        <v>58.642312394540866</v>
      </c>
      <c r="S24" s="21">
        <f t="shared" si="19"/>
        <v>146.60578098635216</v>
      </c>
      <c r="T24" s="21">
        <f t="shared" si="19"/>
        <v>234.56924957816346</v>
      </c>
      <c r="U24" s="21">
        <f t="shared" si="19"/>
        <v>351.85387436724523</v>
      </c>
      <c r="V24" s="21">
        <f t="shared" si="19"/>
        <v>439.81734295905648</v>
      </c>
    </row>
    <row r="25" spans="2:22" x14ac:dyDescent="0.25">
      <c r="B25" t="s">
        <v>54</v>
      </c>
      <c r="C25" s="17">
        <f>C9/10</f>
        <v>0.2</v>
      </c>
      <c r="D25" s="17">
        <f t="shared" ref="D25:V25" si="20">D9/10</f>
        <v>0.5</v>
      </c>
      <c r="E25" s="17">
        <f t="shared" si="20"/>
        <v>0.8</v>
      </c>
      <c r="F25" s="17">
        <f t="shared" si="20"/>
        <v>1.2</v>
      </c>
      <c r="G25" s="17">
        <f t="shared" si="20"/>
        <v>1.5</v>
      </c>
      <c r="H25" s="17">
        <f t="shared" si="20"/>
        <v>0.2</v>
      </c>
      <c r="I25" s="17">
        <f t="shared" si="20"/>
        <v>0.5</v>
      </c>
      <c r="J25" s="17">
        <f t="shared" si="20"/>
        <v>0.8</v>
      </c>
      <c r="K25" s="17">
        <f t="shared" si="20"/>
        <v>1.2</v>
      </c>
      <c r="L25" s="17">
        <f t="shared" si="20"/>
        <v>1.5</v>
      </c>
      <c r="M25" s="17">
        <f t="shared" si="20"/>
        <v>0.2</v>
      </c>
      <c r="N25" s="17">
        <f t="shared" si="20"/>
        <v>0.5</v>
      </c>
      <c r="O25" s="17">
        <f t="shared" si="20"/>
        <v>0.8</v>
      </c>
      <c r="P25" s="17">
        <f t="shared" si="20"/>
        <v>1.2</v>
      </c>
      <c r="Q25" s="17">
        <f t="shared" si="20"/>
        <v>1.5</v>
      </c>
      <c r="R25" s="17">
        <f t="shared" si="20"/>
        <v>0.2</v>
      </c>
      <c r="S25" s="17">
        <f t="shared" si="20"/>
        <v>0.5</v>
      </c>
      <c r="T25" s="17">
        <f t="shared" si="20"/>
        <v>0.8</v>
      </c>
      <c r="U25" s="17">
        <f t="shared" si="20"/>
        <v>1.2</v>
      </c>
      <c r="V25" s="17">
        <f t="shared" si="20"/>
        <v>1.5</v>
      </c>
    </row>
    <row r="26" spans="2:22" x14ac:dyDescent="0.25">
      <c r="B26" t="s">
        <v>55</v>
      </c>
      <c r="C26" s="17">
        <f>C9/30</f>
        <v>6.6666666666666666E-2</v>
      </c>
      <c r="D26" s="17">
        <f t="shared" ref="D26:V26" si="21">D9/30</f>
        <v>0.16666666666666666</v>
      </c>
      <c r="E26" s="17">
        <f t="shared" si="21"/>
        <v>0.26666666666666666</v>
      </c>
      <c r="F26" s="17">
        <f t="shared" si="21"/>
        <v>0.4</v>
      </c>
      <c r="G26" s="17">
        <f t="shared" si="21"/>
        <v>0.5</v>
      </c>
      <c r="H26" s="17">
        <f t="shared" si="21"/>
        <v>6.6666666666666666E-2</v>
      </c>
      <c r="I26" s="17">
        <f t="shared" si="21"/>
        <v>0.16666666666666666</v>
      </c>
      <c r="J26" s="17">
        <f t="shared" si="21"/>
        <v>0.26666666666666666</v>
      </c>
      <c r="K26" s="17">
        <f t="shared" si="21"/>
        <v>0.4</v>
      </c>
      <c r="L26" s="17">
        <f t="shared" si="21"/>
        <v>0.5</v>
      </c>
      <c r="M26" s="17">
        <f t="shared" si="21"/>
        <v>6.6666666666666666E-2</v>
      </c>
      <c r="N26" s="17">
        <f t="shared" si="21"/>
        <v>0.16666666666666666</v>
      </c>
      <c r="O26" s="17">
        <f t="shared" si="21"/>
        <v>0.26666666666666666</v>
      </c>
      <c r="P26" s="17">
        <f t="shared" si="21"/>
        <v>0.4</v>
      </c>
      <c r="Q26" s="17">
        <f t="shared" si="21"/>
        <v>0.5</v>
      </c>
      <c r="R26" s="17">
        <f t="shared" si="21"/>
        <v>6.6666666666666666E-2</v>
      </c>
      <c r="S26" s="17">
        <f t="shared" si="21"/>
        <v>0.16666666666666666</v>
      </c>
      <c r="T26" s="17">
        <f t="shared" si="21"/>
        <v>0.26666666666666666</v>
      </c>
      <c r="U26" s="17">
        <f t="shared" si="21"/>
        <v>0.4</v>
      </c>
      <c r="V26" s="17">
        <f t="shared" si="21"/>
        <v>0.5</v>
      </c>
    </row>
    <row r="27" spans="2:22" x14ac:dyDescent="0.25">
      <c r="B27" t="s">
        <v>70</v>
      </c>
      <c r="C27" s="17">
        <f>1000*(C23/C18)*(CONVERT(C11*C12,"ft","m")/2.5)^0.3</f>
        <v>0.10105051572275663</v>
      </c>
      <c r="D27" s="17">
        <f t="shared" ref="D27:V27" si="22">1000*(D23/D18)*(CONVERT(D11*D12,"ft","m")/2.5)^0.3</f>
        <v>0.25262628930689157</v>
      </c>
      <c r="E27" s="17">
        <f t="shared" si="22"/>
        <v>0.4042020628910265</v>
      </c>
      <c r="F27" s="17">
        <f t="shared" si="22"/>
        <v>0.60630309433653973</v>
      </c>
      <c r="G27" s="17">
        <f t="shared" si="22"/>
        <v>0.7578788679206746</v>
      </c>
      <c r="H27" s="17">
        <f t="shared" si="22"/>
        <v>0.10105051572275663</v>
      </c>
      <c r="I27" s="17">
        <f t="shared" si="22"/>
        <v>0.25262628930689157</v>
      </c>
      <c r="J27" s="17">
        <f t="shared" si="22"/>
        <v>0.4042020628910265</v>
      </c>
      <c r="K27" s="17">
        <f t="shared" si="22"/>
        <v>0.60630309433653973</v>
      </c>
      <c r="L27" s="17">
        <f t="shared" si="22"/>
        <v>0.7578788679206746</v>
      </c>
      <c r="M27" s="17">
        <f t="shared" si="22"/>
        <v>0.10105051572275663</v>
      </c>
      <c r="N27" s="17">
        <f t="shared" si="22"/>
        <v>0.25262628930689157</v>
      </c>
      <c r="O27" s="17">
        <f t="shared" si="22"/>
        <v>0.4042020628910265</v>
      </c>
      <c r="P27" s="17">
        <f t="shared" si="22"/>
        <v>0.60630309433653973</v>
      </c>
      <c r="Q27" s="17">
        <f t="shared" si="22"/>
        <v>0.7578788679206746</v>
      </c>
      <c r="R27" s="17">
        <f t="shared" si="22"/>
        <v>0.10105051572275663</v>
      </c>
      <c r="S27" s="17">
        <f t="shared" si="22"/>
        <v>0.25262628930689157</v>
      </c>
      <c r="T27" s="17">
        <f t="shared" si="22"/>
        <v>0.4042020628910265</v>
      </c>
      <c r="U27" s="17">
        <f t="shared" si="22"/>
        <v>0.60630309433653973</v>
      </c>
      <c r="V27" s="17">
        <f t="shared" si="22"/>
        <v>0.7578788679206746</v>
      </c>
    </row>
    <row r="28" spans="2:2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17.25" x14ac:dyDescent="0.25">
      <c r="B29" t="s">
        <v>60</v>
      </c>
      <c r="C29" s="18">
        <f t="shared" ref="C29:V29" si="23">IF(OR(C14="Vented Crawlspace",C14="Unheated Basement"),0.25/2,1/3/2)</f>
        <v>0.125</v>
      </c>
      <c r="D29" s="18">
        <f t="shared" si="23"/>
        <v>0.125</v>
      </c>
      <c r="E29" s="18">
        <f t="shared" si="23"/>
        <v>0.125</v>
      </c>
      <c r="F29" s="18">
        <f t="shared" si="23"/>
        <v>0.125</v>
      </c>
      <c r="G29" s="18">
        <f t="shared" si="23"/>
        <v>0.125</v>
      </c>
      <c r="H29" s="18">
        <f t="shared" si="23"/>
        <v>0.16666666666666666</v>
      </c>
      <c r="I29" s="18">
        <f t="shared" si="23"/>
        <v>0.16666666666666666</v>
      </c>
      <c r="J29" s="18">
        <f t="shared" si="23"/>
        <v>0.16666666666666666</v>
      </c>
      <c r="K29" s="18">
        <f t="shared" si="23"/>
        <v>0.16666666666666666</v>
      </c>
      <c r="L29" s="18">
        <f t="shared" si="23"/>
        <v>0.16666666666666666</v>
      </c>
      <c r="M29" s="18">
        <f t="shared" si="23"/>
        <v>0.125</v>
      </c>
      <c r="N29" s="18">
        <f t="shared" si="23"/>
        <v>0.125</v>
      </c>
      <c r="O29" s="18">
        <f t="shared" si="23"/>
        <v>0.125</v>
      </c>
      <c r="P29" s="18">
        <f t="shared" si="23"/>
        <v>0.125</v>
      </c>
      <c r="Q29" s="18">
        <f t="shared" si="23"/>
        <v>0.125</v>
      </c>
      <c r="R29" s="18">
        <f t="shared" si="23"/>
        <v>0.16666666666666666</v>
      </c>
      <c r="S29" s="18">
        <f t="shared" si="23"/>
        <v>0.16666666666666666</v>
      </c>
      <c r="T29" s="18">
        <f t="shared" si="23"/>
        <v>0.16666666666666666</v>
      </c>
      <c r="U29" s="18">
        <f t="shared" si="23"/>
        <v>0.16666666666666666</v>
      </c>
      <c r="V29" s="18">
        <f t="shared" si="23"/>
        <v>0.16666666666666666</v>
      </c>
    </row>
    <row r="30" spans="2:22" ht="17.25" x14ac:dyDescent="0.25">
      <c r="B30" t="s">
        <v>61</v>
      </c>
      <c r="C30" s="18">
        <f t="shared" ref="C30:V30" si="24">IF(OR(C14="Vented Crawlspace",C14="Unheated Basement"),0.25/2,1/3/2)</f>
        <v>0.125</v>
      </c>
      <c r="D30" s="18">
        <f t="shared" si="24"/>
        <v>0.125</v>
      </c>
      <c r="E30" s="18">
        <f t="shared" si="24"/>
        <v>0.125</v>
      </c>
      <c r="F30" s="18">
        <f t="shared" si="24"/>
        <v>0.125</v>
      </c>
      <c r="G30" s="18">
        <f t="shared" si="24"/>
        <v>0.125</v>
      </c>
      <c r="H30" s="18">
        <f t="shared" si="24"/>
        <v>0.16666666666666666</v>
      </c>
      <c r="I30" s="18">
        <f t="shared" si="24"/>
        <v>0.16666666666666666</v>
      </c>
      <c r="J30" s="18">
        <f t="shared" si="24"/>
        <v>0.16666666666666666</v>
      </c>
      <c r="K30" s="18">
        <f t="shared" si="24"/>
        <v>0.16666666666666666</v>
      </c>
      <c r="L30" s="18">
        <f t="shared" si="24"/>
        <v>0.16666666666666666</v>
      </c>
      <c r="M30" s="18">
        <f t="shared" si="24"/>
        <v>0.125</v>
      </c>
      <c r="N30" s="18">
        <f t="shared" si="24"/>
        <v>0.125</v>
      </c>
      <c r="O30" s="18">
        <f t="shared" si="24"/>
        <v>0.125</v>
      </c>
      <c r="P30" s="18">
        <f t="shared" si="24"/>
        <v>0.125</v>
      </c>
      <c r="Q30" s="18">
        <f t="shared" si="24"/>
        <v>0.125</v>
      </c>
      <c r="R30" s="18">
        <f t="shared" si="24"/>
        <v>0.16666666666666666</v>
      </c>
      <c r="S30" s="18">
        <f t="shared" si="24"/>
        <v>0.16666666666666666</v>
      </c>
      <c r="T30" s="18">
        <f t="shared" si="24"/>
        <v>0.16666666666666666</v>
      </c>
      <c r="U30" s="18">
        <f t="shared" si="24"/>
        <v>0.16666666666666666</v>
      </c>
      <c r="V30" s="18">
        <f t="shared" si="24"/>
        <v>0.16666666666666666</v>
      </c>
    </row>
    <row r="31" spans="2:22" ht="17.25" x14ac:dyDescent="0.25">
      <c r="B31" t="s">
        <v>64</v>
      </c>
      <c r="C31" s="18">
        <f>2*C29+2*C30</f>
        <v>0.5</v>
      </c>
      <c r="D31" s="18">
        <f t="shared" ref="D31:V31" si="25">2*D29+2*D30</f>
        <v>0.5</v>
      </c>
      <c r="E31" s="18">
        <f t="shared" si="25"/>
        <v>0.5</v>
      </c>
      <c r="F31" s="18">
        <f t="shared" si="25"/>
        <v>0.5</v>
      </c>
      <c r="G31" s="18">
        <f t="shared" si="25"/>
        <v>0.5</v>
      </c>
      <c r="H31" s="18">
        <f t="shared" si="25"/>
        <v>0.66666666666666663</v>
      </c>
      <c r="I31" s="18">
        <f t="shared" si="25"/>
        <v>0.66666666666666663</v>
      </c>
      <c r="J31" s="18">
        <f t="shared" si="25"/>
        <v>0.66666666666666663</v>
      </c>
      <c r="K31" s="18">
        <f t="shared" si="25"/>
        <v>0.66666666666666663</v>
      </c>
      <c r="L31" s="18">
        <f t="shared" si="25"/>
        <v>0.66666666666666663</v>
      </c>
      <c r="M31" s="18">
        <f t="shared" si="25"/>
        <v>0.5</v>
      </c>
      <c r="N31" s="18">
        <f t="shared" si="25"/>
        <v>0.5</v>
      </c>
      <c r="O31" s="18">
        <f t="shared" si="25"/>
        <v>0.5</v>
      </c>
      <c r="P31" s="18">
        <f t="shared" si="25"/>
        <v>0.5</v>
      </c>
      <c r="Q31" s="18">
        <f t="shared" si="25"/>
        <v>0.5</v>
      </c>
      <c r="R31" s="18">
        <f t="shared" si="25"/>
        <v>0.66666666666666663</v>
      </c>
      <c r="S31" s="18">
        <f t="shared" si="25"/>
        <v>0.66666666666666663</v>
      </c>
      <c r="T31" s="18">
        <f t="shared" si="25"/>
        <v>0.66666666666666663</v>
      </c>
      <c r="U31" s="18">
        <f t="shared" si="25"/>
        <v>0.66666666666666663</v>
      </c>
      <c r="V31" s="18">
        <f t="shared" si="25"/>
        <v>0.66666666666666663</v>
      </c>
    </row>
    <row r="32" spans="2:22" ht="17.25" x14ac:dyDescent="0.25">
      <c r="B32" t="s">
        <v>62</v>
      </c>
      <c r="C32" s="18">
        <f t="shared" ref="C32:V32" si="26">IF(OR(C14="Vented Crawlspace",C14="Unheated Basement"),0.25,1/3)</f>
        <v>0.25</v>
      </c>
      <c r="D32" s="18">
        <f t="shared" si="26"/>
        <v>0.25</v>
      </c>
      <c r="E32" s="18">
        <f t="shared" si="26"/>
        <v>0.25</v>
      </c>
      <c r="F32" s="18">
        <f t="shared" si="26"/>
        <v>0.25</v>
      </c>
      <c r="G32" s="18">
        <f t="shared" si="26"/>
        <v>0.25</v>
      </c>
      <c r="H32" s="18">
        <f t="shared" si="26"/>
        <v>0.33333333333333331</v>
      </c>
      <c r="I32" s="18">
        <f t="shared" si="26"/>
        <v>0.33333333333333331</v>
      </c>
      <c r="J32" s="18">
        <f t="shared" si="26"/>
        <v>0.33333333333333331</v>
      </c>
      <c r="K32" s="18">
        <f t="shared" si="26"/>
        <v>0.33333333333333331</v>
      </c>
      <c r="L32" s="18">
        <f t="shared" si="26"/>
        <v>0.33333333333333331</v>
      </c>
      <c r="M32" s="18">
        <f t="shared" si="26"/>
        <v>0.25</v>
      </c>
      <c r="N32" s="18">
        <f t="shared" si="26"/>
        <v>0.25</v>
      </c>
      <c r="O32" s="18">
        <f t="shared" si="26"/>
        <v>0.25</v>
      </c>
      <c r="P32" s="18">
        <f t="shared" si="26"/>
        <v>0.25</v>
      </c>
      <c r="Q32" s="18">
        <f t="shared" si="26"/>
        <v>0.25</v>
      </c>
      <c r="R32" s="18">
        <f t="shared" si="26"/>
        <v>0.33333333333333331</v>
      </c>
      <c r="S32" s="18">
        <f t="shared" si="26"/>
        <v>0.33333333333333331</v>
      </c>
      <c r="T32" s="18">
        <f t="shared" si="26"/>
        <v>0.33333333333333331</v>
      </c>
      <c r="U32" s="18">
        <f t="shared" si="26"/>
        <v>0.33333333333333331</v>
      </c>
      <c r="V32" s="18">
        <f t="shared" si="26"/>
        <v>0.33333333333333331</v>
      </c>
    </row>
    <row r="33" spans="2:22" ht="17.25" x14ac:dyDescent="0.25">
      <c r="B33" t="s">
        <v>63</v>
      </c>
      <c r="C33" s="18">
        <f t="shared" ref="C33:V33" si="27">IF(OR(C14="Vented Crawlspace",C14="Unheated Basement"),0.25,0)</f>
        <v>0.25</v>
      </c>
      <c r="D33" s="18">
        <f t="shared" si="27"/>
        <v>0.25</v>
      </c>
      <c r="E33" s="18">
        <f t="shared" si="27"/>
        <v>0.25</v>
      </c>
      <c r="F33" s="18">
        <f t="shared" si="27"/>
        <v>0.25</v>
      </c>
      <c r="G33" s="18">
        <f t="shared" si="27"/>
        <v>0.25</v>
      </c>
      <c r="H33" s="18">
        <f t="shared" si="27"/>
        <v>0</v>
      </c>
      <c r="I33" s="18">
        <f t="shared" si="27"/>
        <v>0</v>
      </c>
      <c r="J33" s="18">
        <f t="shared" si="27"/>
        <v>0</v>
      </c>
      <c r="K33" s="18">
        <f t="shared" si="27"/>
        <v>0</v>
      </c>
      <c r="L33" s="18">
        <f t="shared" si="27"/>
        <v>0</v>
      </c>
      <c r="M33" s="18">
        <f t="shared" si="27"/>
        <v>0.25</v>
      </c>
      <c r="N33" s="18">
        <f t="shared" si="27"/>
        <v>0.25</v>
      </c>
      <c r="O33" s="18">
        <f t="shared" si="27"/>
        <v>0.25</v>
      </c>
      <c r="P33" s="18">
        <f t="shared" si="27"/>
        <v>0.25</v>
      </c>
      <c r="Q33" s="18">
        <f t="shared" si="27"/>
        <v>0.25</v>
      </c>
      <c r="R33" s="18">
        <f t="shared" si="27"/>
        <v>0</v>
      </c>
      <c r="S33" s="18">
        <f t="shared" si="27"/>
        <v>0</v>
      </c>
      <c r="T33" s="18">
        <f t="shared" si="27"/>
        <v>0</v>
      </c>
      <c r="U33" s="18">
        <f t="shared" si="27"/>
        <v>0</v>
      </c>
      <c r="V33" s="18">
        <f t="shared" si="27"/>
        <v>0</v>
      </c>
    </row>
    <row r="34" spans="2:22" x14ac:dyDescent="0.25">
      <c r="B34" t="s">
        <v>65</v>
      </c>
      <c r="C34" s="19">
        <f>SUM(C31:C33)</f>
        <v>1</v>
      </c>
      <c r="D34" s="19">
        <f t="shared" ref="D34:V34" si="28">SUM(D31:D33)</f>
        <v>1</v>
      </c>
      <c r="E34" s="19">
        <f t="shared" si="28"/>
        <v>1</v>
      </c>
      <c r="F34" s="19">
        <f t="shared" si="28"/>
        <v>1</v>
      </c>
      <c r="G34" s="19">
        <f t="shared" si="28"/>
        <v>1</v>
      </c>
      <c r="H34" s="19">
        <f t="shared" si="28"/>
        <v>1</v>
      </c>
      <c r="I34" s="19">
        <f t="shared" si="28"/>
        <v>1</v>
      </c>
      <c r="J34" s="19">
        <f t="shared" si="28"/>
        <v>1</v>
      </c>
      <c r="K34" s="19">
        <f t="shared" si="28"/>
        <v>1</v>
      </c>
      <c r="L34" s="19">
        <f t="shared" si="28"/>
        <v>1</v>
      </c>
      <c r="M34" s="19">
        <f t="shared" si="28"/>
        <v>1</v>
      </c>
      <c r="N34" s="19">
        <f t="shared" si="28"/>
        <v>1</v>
      </c>
      <c r="O34" s="19">
        <f t="shared" si="28"/>
        <v>1</v>
      </c>
      <c r="P34" s="19">
        <f t="shared" si="28"/>
        <v>1</v>
      </c>
      <c r="Q34" s="19">
        <f t="shared" si="28"/>
        <v>1</v>
      </c>
      <c r="R34" s="19">
        <f t="shared" si="28"/>
        <v>1</v>
      </c>
      <c r="S34" s="19">
        <f t="shared" si="28"/>
        <v>1</v>
      </c>
      <c r="T34" s="19">
        <f t="shared" si="28"/>
        <v>1</v>
      </c>
      <c r="U34" s="19">
        <f t="shared" si="28"/>
        <v>1</v>
      </c>
      <c r="V34" s="19">
        <f t="shared" si="28"/>
        <v>1</v>
      </c>
    </row>
    <row r="35" spans="2:2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ht="17.25" x14ac:dyDescent="0.25">
      <c r="B36" t="s">
        <v>56</v>
      </c>
      <c r="C36" s="13">
        <f>C29*C$23</f>
        <v>2.3646093707476155E-3</v>
      </c>
      <c r="D36" s="13">
        <f t="shared" ref="D36:V36" si="29">D29*D$23</f>
        <v>5.9115234268690385E-3</v>
      </c>
      <c r="E36" s="13">
        <f t="shared" si="29"/>
        <v>9.458437482990462E-3</v>
      </c>
      <c r="F36" s="13">
        <f t="shared" si="29"/>
        <v>1.4187656224485694E-2</v>
      </c>
      <c r="G36" s="13">
        <f t="shared" si="29"/>
        <v>1.7734570280607116E-2</v>
      </c>
      <c r="H36" s="13">
        <f t="shared" si="29"/>
        <v>3.1528124943301537E-3</v>
      </c>
      <c r="I36" s="13">
        <f t="shared" si="29"/>
        <v>7.8820312358253847E-3</v>
      </c>
      <c r="J36" s="13">
        <f t="shared" si="29"/>
        <v>1.2611249977320615E-2</v>
      </c>
      <c r="K36" s="13">
        <f t="shared" si="29"/>
        <v>1.8916874965980924E-2</v>
      </c>
      <c r="L36" s="13">
        <f t="shared" si="29"/>
        <v>2.3646093707476154E-2</v>
      </c>
      <c r="M36" s="13">
        <f t="shared" si="29"/>
        <v>2.3646093707476155E-3</v>
      </c>
      <c r="N36" s="13">
        <f t="shared" si="29"/>
        <v>5.9115234268690385E-3</v>
      </c>
      <c r="O36" s="13">
        <f t="shared" si="29"/>
        <v>9.458437482990462E-3</v>
      </c>
      <c r="P36" s="13">
        <f t="shared" si="29"/>
        <v>1.4187656224485694E-2</v>
      </c>
      <c r="Q36" s="13">
        <f t="shared" si="29"/>
        <v>1.7734570280607116E-2</v>
      </c>
      <c r="R36" s="13">
        <f t="shared" si="29"/>
        <v>6.3056249886603074E-3</v>
      </c>
      <c r="S36" s="13">
        <f t="shared" si="29"/>
        <v>1.5764062471650769E-2</v>
      </c>
      <c r="T36" s="13">
        <f t="shared" si="29"/>
        <v>2.522249995464123E-2</v>
      </c>
      <c r="U36" s="13">
        <f t="shared" si="29"/>
        <v>3.7833749931961848E-2</v>
      </c>
      <c r="V36" s="13">
        <f t="shared" si="29"/>
        <v>4.7292187414952308E-2</v>
      </c>
    </row>
    <row r="37" spans="2:22" ht="17.25" x14ac:dyDescent="0.25">
      <c r="B37" t="s">
        <v>57</v>
      </c>
      <c r="C37" s="13">
        <f>C30*C$23</f>
        <v>2.3646093707476155E-3</v>
      </c>
      <c r="D37" s="13">
        <f t="shared" ref="D37:V37" si="30">D30*D$23</f>
        <v>5.9115234268690385E-3</v>
      </c>
      <c r="E37" s="13">
        <f t="shared" si="30"/>
        <v>9.458437482990462E-3</v>
      </c>
      <c r="F37" s="13">
        <f t="shared" si="30"/>
        <v>1.4187656224485694E-2</v>
      </c>
      <c r="G37" s="13">
        <f t="shared" si="30"/>
        <v>1.7734570280607116E-2</v>
      </c>
      <c r="H37" s="13">
        <f t="shared" si="30"/>
        <v>3.1528124943301537E-3</v>
      </c>
      <c r="I37" s="13">
        <f t="shared" si="30"/>
        <v>7.8820312358253847E-3</v>
      </c>
      <c r="J37" s="13">
        <f t="shared" si="30"/>
        <v>1.2611249977320615E-2</v>
      </c>
      <c r="K37" s="13">
        <f t="shared" si="30"/>
        <v>1.8916874965980924E-2</v>
      </c>
      <c r="L37" s="13">
        <f t="shared" si="30"/>
        <v>2.3646093707476154E-2</v>
      </c>
      <c r="M37" s="13">
        <f t="shared" si="30"/>
        <v>2.3646093707476155E-3</v>
      </c>
      <c r="N37" s="13">
        <f t="shared" si="30"/>
        <v>5.9115234268690385E-3</v>
      </c>
      <c r="O37" s="13">
        <f t="shared" si="30"/>
        <v>9.458437482990462E-3</v>
      </c>
      <c r="P37" s="13">
        <f t="shared" si="30"/>
        <v>1.4187656224485694E-2</v>
      </c>
      <c r="Q37" s="13">
        <f t="shared" si="30"/>
        <v>1.7734570280607116E-2</v>
      </c>
      <c r="R37" s="13">
        <f t="shared" si="30"/>
        <v>6.3056249886603074E-3</v>
      </c>
      <c r="S37" s="13">
        <f t="shared" si="30"/>
        <v>1.5764062471650769E-2</v>
      </c>
      <c r="T37" s="13">
        <f t="shared" si="30"/>
        <v>2.522249995464123E-2</v>
      </c>
      <c r="U37" s="13">
        <f t="shared" si="30"/>
        <v>3.7833749931961848E-2</v>
      </c>
      <c r="V37" s="13">
        <f t="shared" si="30"/>
        <v>4.7292187414952308E-2</v>
      </c>
    </row>
    <row r="38" spans="2:22" ht="17.25" x14ac:dyDescent="0.25">
      <c r="B38" t="s">
        <v>66</v>
      </c>
      <c r="C38" s="13">
        <f>2*C36+2*C37</f>
        <v>9.458437482990462E-3</v>
      </c>
      <c r="D38" s="13">
        <f t="shared" ref="D38:V38" si="31">2*D36+2*D37</f>
        <v>2.3646093707476154E-2</v>
      </c>
      <c r="E38" s="13">
        <f t="shared" si="31"/>
        <v>3.7833749931961848E-2</v>
      </c>
      <c r="F38" s="13">
        <f t="shared" si="31"/>
        <v>5.6750624897942775E-2</v>
      </c>
      <c r="G38" s="13">
        <f t="shared" si="31"/>
        <v>7.0938281122428462E-2</v>
      </c>
      <c r="H38" s="13">
        <f t="shared" si="31"/>
        <v>1.2611249977320615E-2</v>
      </c>
      <c r="I38" s="13">
        <f t="shared" si="31"/>
        <v>3.1528124943301539E-2</v>
      </c>
      <c r="J38" s="13">
        <f t="shared" si="31"/>
        <v>5.0444999909282459E-2</v>
      </c>
      <c r="K38" s="13">
        <f t="shared" si="31"/>
        <v>7.5667499863923696E-2</v>
      </c>
      <c r="L38" s="13">
        <f t="shared" si="31"/>
        <v>9.4584374829904616E-2</v>
      </c>
      <c r="M38" s="13">
        <f t="shared" si="31"/>
        <v>9.458437482990462E-3</v>
      </c>
      <c r="N38" s="13">
        <f t="shared" si="31"/>
        <v>2.3646093707476154E-2</v>
      </c>
      <c r="O38" s="13">
        <f t="shared" si="31"/>
        <v>3.7833749931961848E-2</v>
      </c>
      <c r="P38" s="13">
        <f t="shared" si="31"/>
        <v>5.6750624897942775E-2</v>
      </c>
      <c r="Q38" s="13">
        <f t="shared" si="31"/>
        <v>7.0938281122428462E-2</v>
      </c>
      <c r="R38" s="13">
        <f t="shared" si="31"/>
        <v>2.522249995464123E-2</v>
      </c>
      <c r="S38" s="13">
        <f t="shared" si="31"/>
        <v>6.3056249886603077E-2</v>
      </c>
      <c r="T38" s="13">
        <f t="shared" si="31"/>
        <v>0.10088999981856492</v>
      </c>
      <c r="U38" s="13">
        <f t="shared" si="31"/>
        <v>0.15133499972784739</v>
      </c>
      <c r="V38" s="13">
        <f t="shared" si="31"/>
        <v>0.18916874965980923</v>
      </c>
    </row>
    <row r="39" spans="2:22" ht="17.25" x14ac:dyDescent="0.25">
      <c r="B39" t="s">
        <v>58</v>
      </c>
      <c r="C39" s="13">
        <f>C32*C$23</f>
        <v>4.729218741495231E-3</v>
      </c>
      <c r="D39" s="13">
        <f t="shared" ref="D39:V39" si="32">D32*D$23</f>
        <v>1.1823046853738077E-2</v>
      </c>
      <c r="E39" s="13">
        <f t="shared" si="32"/>
        <v>1.8916874965980924E-2</v>
      </c>
      <c r="F39" s="13">
        <f t="shared" si="32"/>
        <v>2.8375312448971388E-2</v>
      </c>
      <c r="G39" s="13">
        <f t="shared" si="32"/>
        <v>3.5469140561214231E-2</v>
      </c>
      <c r="H39" s="13">
        <f t="shared" si="32"/>
        <v>6.3056249886603074E-3</v>
      </c>
      <c r="I39" s="13">
        <f t="shared" si="32"/>
        <v>1.5764062471650769E-2</v>
      </c>
      <c r="J39" s="13">
        <f t="shared" si="32"/>
        <v>2.522249995464123E-2</v>
      </c>
      <c r="K39" s="13">
        <f t="shared" si="32"/>
        <v>3.7833749931961848E-2</v>
      </c>
      <c r="L39" s="13">
        <f t="shared" si="32"/>
        <v>4.7292187414952308E-2</v>
      </c>
      <c r="M39" s="13">
        <f t="shared" si="32"/>
        <v>4.729218741495231E-3</v>
      </c>
      <c r="N39" s="13">
        <f t="shared" si="32"/>
        <v>1.1823046853738077E-2</v>
      </c>
      <c r="O39" s="13">
        <f t="shared" si="32"/>
        <v>1.8916874965980924E-2</v>
      </c>
      <c r="P39" s="13">
        <f t="shared" si="32"/>
        <v>2.8375312448971388E-2</v>
      </c>
      <c r="Q39" s="13">
        <f t="shared" si="32"/>
        <v>3.5469140561214231E-2</v>
      </c>
      <c r="R39" s="13">
        <f t="shared" si="32"/>
        <v>1.2611249977320615E-2</v>
      </c>
      <c r="S39" s="13">
        <f t="shared" si="32"/>
        <v>3.1528124943301539E-2</v>
      </c>
      <c r="T39" s="13">
        <f t="shared" si="32"/>
        <v>5.0444999909282459E-2</v>
      </c>
      <c r="U39" s="13">
        <f t="shared" si="32"/>
        <v>7.5667499863923696E-2</v>
      </c>
      <c r="V39" s="13">
        <f t="shared" si="32"/>
        <v>9.4584374829904616E-2</v>
      </c>
    </row>
    <row r="40" spans="2:22" ht="17.25" x14ac:dyDescent="0.25">
      <c r="B40" t="s">
        <v>59</v>
      </c>
      <c r="C40" s="13">
        <f>C33*C$23</f>
        <v>4.729218741495231E-3</v>
      </c>
      <c r="D40" s="13">
        <f t="shared" ref="D40:V40" si="33">D33*D$23</f>
        <v>1.1823046853738077E-2</v>
      </c>
      <c r="E40" s="13">
        <f t="shared" si="33"/>
        <v>1.8916874965980924E-2</v>
      </c>
      <c r="F40" s="13">
        <f t="shared" si="33"/>
        <v>2.8375312448971388E-2</v>
      </c>
      <c r="G40" s="13">
        <f t="shared" si="33"/>
        <v>3.5469140561214231E-2</v>
      </c>
      <c r="H40" s="13">
        <f t="shared" si="33"/>
        <v>0</v>
      </c>
      <c r="I40" s="13">
        <f t="shared" si="33"/>
        <v>0</v>
      </c>
      <c r="J40" s="13">
        <f t="shared" si="33"/>
        <v>0</v>
      </c>
      <c r="K40" s="13">
        <f t="shared" si="33"/>
        <v>0</v>
      </c>
      <c r="L40" s="13">
        <f t="shared" si="33"/>
        <v>0</v>
      </c>
      <c r="M40" s="13">
        <f t="shared" si="33"/>
        <v>4.729218741495231E-3</v>
      </c>
      <c r="N40" s="13">
        <f t="shared" si="33"/>
        <v>1.1823046853738077E-2</v>
      </c>
      <c r="O40" s="13">
        <f t="shared" si="33"/>
        <v>1.8916874965980924E-2</v>
      </c>
      <c r="P40" s="13">
        <f t="shared" si="33"/>
        <v>2.8375312448971388E-2</v>
      </c>
      <c r="Q40" s="13">
        <f t="shared" si="33"/>
        <v>3.5469140561214231E-2</v>
      </c>
      <c r="R40" s="13">
        <f t="shared" si="33"/>
        <v>0</v>
      </c>
      <c r="S40" s="13">
        <f t="shared" si="33"/>
        <v>0</v>
      </c>
      <c r="T40" s="13">
        <f t="shared" si="33"/>
        <v>0</v>
      </c>
      <c r="U40" s="13">
        <f t="shared" si="33"/>
        <v>0</v>
      </c>
      <c r="V40" s="13">
        <f t="shared" si="33"/>
        <v>0</v>
      </c>
    </row>
    <row r="41" spans="2:22" ht="17.25" x14ac:dyDescent="0.25">
      <c r="B41" t="s">
        <v>67</v>
      </c>
      <c r="C41" s="13">
        <f>SUM(C38:C40)</f>
        <v>1.8916874965980924E-2</v>
      </c>
      <c r="D41" s="13">
        <f t="shared" ref="D41:V41" si="34">SUM(D38:D40)</f>
        <v>4.7292187414952308E-2</v>
      </c>
      <c r="E41" s="13">
        <f t="shared" si="34"/>
        <v>7.5667499863923696E-2</v>
      </c>
      <c r="F41" s="13">
        <f t="shared" si="34"/>
        <v>0.11350124979588555</v>
      </c>
      <c r="G41" s="13">
        <f t="shared" si="34"/>
        <v>0.14187656224485692</v>
      </c>
      <c r="H41" s="13">
        <f t="shared" si="34"/>
        <v>1.891687496598092E-2</v>
      </c>
      <c r="I41" s="13">
        <f t="shared" si="34"/>
        <v>4.7292187414952308E-2</v>
      </c>
      <c r="J41" s="13">
        <f t="shared" si="34"/>
        <v>7.5667499863923682E-2</v>
      </c>
      <c r="K41" s="13">
        <f t="shared" si="34"/>
        <v>0.11350124979588555</v>
      </c>
      <c r="L41" s="13">
        <f t="shared" si="34"/>
        <v>0.14187656224485692</v>
      </c>
      <c r="M41" s="13">
        <f t="shared" si="34"/>
        <v>1.8916874965980924E-2</v>
      </c>
      <c r="N41" s="13">
        <f t="shared" si="34"/>
        <v>4.7292187414952308E-2</v>
      </c>
      <c r="O41" s="13">
        <f t="shared" si="34"/>
        <v>7.5667499863923696E-2</v>
      </c>
      <c r="P41" s="13">
        <f t="shared" si="34"/>
        <v>0.11350124979588555</v>
      </c>
      <c r="Q41" s="13">
        <f t="shared" si="34"/>
        <v>0.14187656224485692</v>
      </c>
      <c r="R41" s="13">
        <f t="shared" si="34"/>
        <v>3.7833749931961841E-2</v>
      </c>
      <c r="S41" s="13">
        <f t="shared" si="34"/>
        <v>9.4584374829904616E-2</v>
      </c>
      <c r="T41" s="13">
        <f t="shared" si="34"/>
        <v>0.15133499972784736</v>
      </c>
      <c r="U41" s="13">
        <f t="shared" si="34"/>
        <v>0.2270024995917711</v>
      </c>
      <c r="V41" s="13">
        <f t="shared" si="34"/>
        <v>0.28375312448971385</v>
      </c>
    </row>
    <row r="42" spans="2:22" ht="17.25" x14ac:dyDescent="0.25">
      <c r="B42" t="s">
        <v>69</v>
      </c>
      <c r="C42" s="13">
        <f>C41*$D$5</f>
        <v>29.321156197270433</v>
      </c>
      <c r="D42" s="13">
        <f t="shared" ref="D42:V42" si="35">D41*$D$5</f>
        <v>73.302890493176079</v>
      </c>
      <c r="E42" s="13">
        <f t="shared" si="35"/>
        <v>117.28462478908173</v>
      </c>
      <c r="F42" s="13">
        <f t="shared" si="35"/>
        <v>175.92693718362261</v>
      </c>
      <c r="G42" s="13">
        <f t="shared" si="35"/>
        <v>219.90867147952824</v>
      </c>
      <c r="H42" s="13">
        <f t="shared" si="35"/>
        <v>29.321156197270426</v>
      </c>
      <c r="I42" s="13">
        <f t="shared" si="35"/>
        <v>73.302890493176079</v>
      </c>
      <c r="J42" s="13">
        <f t="shared" si="35"/>
        <v>117.2846247890817</v>
      </c>
      <c r="K42" s="13">
        <f t="shared" si="35"/>
        <v>175.92693718362261</v>
      </c>
      <c r="L42" s="13">
        <f t="shared" si="35"/>
        <v>219.90867147952824</v>
      </c>
      <c r="M42" s="13">
        <f t="shared" si="35"/>
        <v>29.321156197270433</v>
      </c>
      <c r="N42" s="13">
        <f t="shared" si="35"/>
        <v>73.302890493176079</v>
      </c>
      <c r="O42" s="13">
        <f t="shared" si="35"/>
        <v>117.28462478908173</v>
      </c>
      <c r="P42" s="13">
        <f t="shared" si="35"/>
        <v>175.92693718362261</v>
      </c>
      <c r="Q42" s="13">
        <f t="shared" si="35"/>
        <v>219.90867147952824</v>
      </c>
      <c r="R42" s="13">
        <f t="shared" si="35"/>
        <v>58.642312394540852</v>
      </c>
      <c r="S42" s="13">
        <f t="shared" si="35"/>
        <v>146.60578098635216</v>
      </c>
      <c r="T42" s="13">
        <f t="shared" si="35"/>
        <v>234.56924957816341</v>
      </c>
      <c r="U42" s="13">
        <f t="shared" si="35"/>
        <v>351.85387436724523</v>
      </c>
      <c r="V42" s="13">
        <f t="shared" si="35"/>
        <v>439.81734295905648</v>
      </c>
    </row>
    <row r="43" spans="2:22" x14ac:dyDescent="0.25">
      <c r="B43" t="s">
        <v>68</v>
      </c>
      <c r="C43" s="1" t="str">
        <f t="shared" ref="C43:V43" si="36">IF(C41=C23,"YES","NO")</f>
        <v>YES</v>
      </c>
      <c r="D43" s="1" t="str">
        <f t="shared" si="36"/>
        <v>YES</v>
      </c>
      <c r="E43" s="1" t="str">
        <f t="shared" si="36"/>
        <v>YES</v>
      </c>
      <c r="F43" s="1" t="str">
        <f t="shared" si="36"/>
        <v>YES</v>
      </c>
      <c r="G43" s="1" t="str">
        <f t="shared" si="36"/>
        <v>YES</v>
      </c>
      <c r="H43" s="1" t="str">
        <f t="shared" si="36"/>
        <v>YES</v>
      </c>
      <c r="I43" s="1" t="str">
        <f t="shared" si="36"/>
        <v>YES</v>
      </c>
      <c r="J43" s="1" t="str">
        <f t="shared" si="36"/>
        <v>YES</v>
      </c>
      <c r="K43" s="1" t="str">
        <f t="shared" si="36"/>
        <v>YES</v>
      </c>
      <c r="L43" s="1" t="str">
        <f t="shared" si="36"/>
        <v>YES</v>
      </c>
      <c r="M43" s="1" t="str">
        <f t="shared" si="36"/>
        <v>YES</v>
      </c>
      <c r="N43" s="1" t="str">
        <f t="shared" si="36"/>
        <v>YES</v>
      </c>
      <c r="O43" s="1" t="str">
        <f t="shared" si="36"/>
        <v>YES</v>
      </c>
      <c r="P43" s="1" t="str">
        <f t="shared" si="36"/>
        <v>YES</v>
      </c>
      <c r="Q43" s="1" t="str">
        <f t="shared" si="36"/>
        <v>YES</v>
      </c>
      <c r="R43" s="1" t="str">
        <f t="shared" si="36"/>
        <v>YES</v>
      </c>
      <c r="S43" s="1" t="str">
        <f t="shared" si="36"/>
        <v>YES</v>
      </c>
      <c r="T43" s="1" t="str">
        <f t="shared" si="36"/>
        <v>YES</v>
      </c>
      <c r="U43" s="1" t="str">
        <f t="shared" si="36"/>
        <v>YES</v>
      </c>
      <c r="V43" s="1" t="str">
        <f t="shared" si="36"/>
        <v>YES</v>
      </c>
    </row>
  </sheetData>
  <conditionalFormatting sqref="C43:V43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Infiltration Calcs</vt:lpstr>
      <vt:lpstr>REEDR Implementation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2023-03-29T16:13:02Z</dcterms:created>
  <dcterms:modified xsi:type="dcterms:W3CDTF">2023-04-14T16:45:28Z</dcterms:modified>
</cp:coreProperties>
</file>